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Le Mans\2023\La Roche Posay (86)\"/>
    </mc:Choice>
  </mc:AlternateContent>
  <xr:revisionPtr revIDLastSave="0" documentId="13_ncr:1_{B8EB7369-1BEA-45D4-8EC2-C7ECA7B18C73}" xr6:coauthVersionLast="47" xr6:coauthVersionMax="47" xr10:uidLastSave="{00000000-0000-0000-0000-000000000000}"/>
  <bookViews>
    <workbookView xWindow="2400" yWindow="5205" windowWidth="21975" windowHeight="1431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6" i="1" l="1"/>
  <c r="B146" i="1"/>
  <c r="D145" i="1"/>
  <c r="D144" i="1"/>
  <c r="D143" i="1"/>
  <c r="D142" i="1"/>
  <c r="D141" i="1"/>
  <c r="D140" i="1"/>
  <c r="B45" i="1"/>
  <c r="D45" i="1" s="1"/>
  <c r="D94" i="1"/>
  <c r="I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A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HH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HG20" i="2"/>
  <c r="HH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L28" i="2"/>
  <c r="CF28" i="2"/>
  <c r="BB28" i="2"/>
  <c r="CG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O33" i="2"/>
  <c r="BK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L43" i="2"/>
  <c r="CF43" i="2"/>
  <c r="BB43" i="2"/>
  <c r="CG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O53" i="2"/>
  <c r="BK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L63" i="2"/>
  <c r="CQ63" i="2"/>
  <c r="CF63" i="2"/>
  <c r="BB63" i="2"/>
  <c r="DA63" i="2"/>
  <c r="CG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O73" i="2"/>
  <c r="BK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L83" i="2"/>
  <c r="CF83" i="2"/>
  <c r="BB83" i="2"/>
  <c r="CQ83" i="2"/>
  <c r="CG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O93" i="2"/>
  <c r="BK93" i="2"/>
  <c r="DL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L103" i="2"/>
  <c r="CF103" i="2"/>
  <c r="BB103" i="2"/>
  <c r="CG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O113" i="2"/>
  <c r="BK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G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D154" i="2"/>
  <c r="EX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DH156" i="2" l="1"/>
  <c r="EX156" i="2"/>
  <c r="EB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DG160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B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DI161" i="2"/>
  <c r="EB162" i="2"/>
  <c r="HH162" i="2"/>
  <c r="HG162" i="2"/>
  <c r="FS162" i="2"/>
  <c r="AU162" i="2"/>
  <c r="EX162" i="2"/>
  <c r="EY162" i="2" s="1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DH164" i="2"/>
  <c r="HH164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W168" i="2"/>
  <c r="HI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B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HH178" i="2"/>
  <c r="HG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G179" i="2"/>
  <c r="HI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W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V190" i="2"/>
  <c r="EW190" i="2"/>
  <c r="HG190" i="2"/>
  <c r="HI190" i="2"/>
  <c r="EX190" i="2"/>
  <c r="EC190" i="2"/>
  <c r="ED190" i="2" s="1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C192" i="2"/>
  <c r="EW192" i="2"/>
  <c r="HG192" i="2"/>
  <c r="EA192" i="2"/>
  <c r="ED192" i="2" s="1"/>
  <c r="EV192" i="2"/>
  <c r="EY192" i="2" s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D194" i="2" s="1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51" i="2" l="1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82" i="2" a="1"/>
  <c r="BC82" i="2" s="1"/>
  <c r="BC143" i="2" a="1"/>
  <c r="BC143" i="2" s="1"/>
  <c r="BC181" i="2" a="1"/>
  <c r="BC181" i="2" s="1"/>
  <c r="BC34" i="2" a="1"/>
  <c r="BC34" i="2" s="1"/>
  <c r="BC164" i="2" a="1"/>
  <c r="BC16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76" i="2" a="1"/>
  <c r="BX176" i="2" s="1"/>
  <c r="BX159" i="2" a="1"/>
  <c r="BX159" i="2" s="1"/>
  <c r="BX152" i="2" a="1"/>
  <c r="BX152" i="2" s="1"/>
  <c r="BX155" i="2" a="1"/>
  <c r="BX155" i="2" s="1"/>
  <c r="BX158" i="2" a="1"/>
  <c r="BX158" i="2" s="1"/>
  <c r="BX142" i="2" a="1"/>
  <c r="BX142" i="2" s="1"/>
  <c r="BX125" i="2" a="1"/>
  <c r="BX125" i="2" s="1"/>
  <c r="BX163" i="2" a="1"/>
  <c r="BX163" i="2" s="1"/>
  <c r="BX177" i="2" a="1"/>
  <c r="BX177" i="2" s="1"/>
  <c r="BX157" i="2" a="1"/>
  <c r="BX157" i="2" s="1"/>
  <c r="BX136" i="2" a="1"/>
  <c r="BX136" i="2" s="1"/>
  <c r="BX182" i="2" a="1"/>
  <c r="BX182" i="2" s="1"/>
  <c r="BX197" i="2" a="1"/>
  <c r="BX197" i="2" s="1"/>
  <c r="BX146" i="2" a="1"/>
  <c r="BX146" i="2" s="1"/>
  <c r="BX171" i="2" a="1"/>
  <c r="BX171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86" i="2" a="1"/>
  <c r="BX186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162" i="2" a="1"/>
  <c r="BX162" i="2" s="1"/>
  <c r="BX187" i="2" a="1"/>
  <c r="BX187" i="2" s="1"/>
  <c r="M179" i="2" a="1"/>
  <c r="M179" i="2" s="1"/>
  <c r="M181" i="2" a="1"/>
  <c r="M181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96" i="2" a="1"/>
  <c r="BX196" i="2" s="1"/>
  <c r="M78" i="2" a="1"/>
  <c r="M78" i="2" s="1"/>
  <c r="M156" i="2" a="1"/>
  <c r="M156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41" i="2" a="1"/>
  <c r="BX141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BV28" i="2" l="1"/>
  <c r="BV73" i="2"/>
  <c r="BV83" i="2"/>
  <c r="BV63" i="2"/>
  <c r="BV93" i="2"/>
  <c r="BV103" i="2"/>
  <c r="BV113" i="2"/>
  <c r="BV43" i="2"/>
  <c r="BV53" i="2"/>
  <c r="BV33" i="2"/>
  <c r="I123" i="1"/>
  <c r="BW113" i="2" s="1"/>
  <c r="I124" i="1"/>
  <c r="BW123" i="2" s="1"/>
  <c r="I120" i="1"/>
  <c r="BW83" i="2"/>
  <c r="I117" i="1"/>
  <c r="BW53" i="2"/>
  <c r="I116" i="1"/>
  <c r="BW43" i="2" s="1"/>
  <c r="I115" i="1"/>
  <c r="BW33" i="2" s="1"/>
  <c r="BX19" i="2" s="1" a="1"/>
  <c r="BX19" i="2" s="1"/>
  <c r="I121" i="1"/>
  <c r="BW93" i="2"/>
  <c r="I122" i="1"/>
  <c r="BW103" i="2" s="1"/>
  <c r="I118" i="1"/>
  <c r="BW63" i="2" s="1"/>
  <c r="I119" i="1"/>
  <c r="BW73" i="2" s="1"/>
  <c r="BV205" i="2"/>
  <c r="I114" i="1"/>
  <c r="BW28" i="2" s="1"/>
  <c r="BX28" i="2" s="1" a="1"/>
  <c r="BX28" i="2" s="1"/>
  <c r="BX84" i="2" l="1" a="1"/>
  <c r="BX84" i="2" s="1"/>
  <c r="BX91" i="2" a="1"/>
  <c r="BX91" i="2" s="1"/>
  <c r="BX101" i="2" a="1"/>
  <c r="BX101" i="2" s="1"/>
  <c r="BX102" i="2" a="1"/>
  <c r="BX102" i="2" s="1"/>
  <c r="BX95" i="2" a="1"/>
  <c r="BX95" i="2" s="1"/>
  <c r="BX87" i="2" a="1"/>
  <c r="BX87" i="2" s="1"/>
  <c r="BX100" i="2" a="1"/>
  <c r="BX100" i="2" s="1"/>
  <c r="BX94" i="2" a="1"/>
  <c r="BX94" i="2" s="1"/>
  <c r="BX98" i="2" a="1"/>
  <c r="BX98" i="2" s="1"/>
  <c r="BX103" i="2" a="1"/>
  <c r="BX103" i="2" s="1"/>
  <c r="BX85" i="2" a="1"/>
  <c r="BX85" i="2" s="1"/>
  <c r="BX96" i="2" a="1"/>
  <c r="BX96" i="2" s="1"/>
  <c r="BX99" i="2" a="1"/>
  <c r="BX99" i="2" s="1"/>
  <c r="BX97" i="2" a="1"/>
  <c r="BX97" i="2" s="1"/>
  <c r="BX119" i="2" a="1"/>
  <c r="BX119" i="2" s="1"/>
  <c r="BX115" i="2" a="1"/>
  <c r="BX115" i="2" s="1"/>
  <c r="BX121" i="2" a="1"/>
  <c r="BX121" i="2" s="1"/>
  <c r="BX112" i="2" a="1"/>
  <c r="BX112" i="2" s="1"/>
  <c r="BX105" i="2" a="1"/>
  <c r="BX105" i="2" s="1"/>
  <c r="BX104" i="2" a="1"/>
  <c r="BX104" i="2" s="1"/>
  <c r="BX88" i="2" a="1"/>
  <c r="BX88" i="2" s="1"/>
  <c r="BX86" i="2" a="1"/>
  <c r="BX86" i="2" s="1"/>
  <c r="BX89" i="2" a="1"/>
  <c r="BX89" i="2" s="1"/>
  <c r="BX90" i="2" a="1"/>
  <c r="BX90" i="2" s="1"/>
  <c r="BX58" i="2" a="1"/>
  <c r="BX58" i="2" s="1"/>
  <c r="BX59" i="2" a="1"/>
  <c r="BX59" i="2" s="1"/>
  <c r="BX72" i="2" a="1"/>
  <c r="BX72" i="2" s="1"/>
  <c r="BX73" i="2" a="1"/>
  <c r="BX73" i="2" s="1"/>
  <c r="BX64" i="2" a="1"/>
  <c r="BX64" i="2" s="1"/>
  <c r="BX55" i="2" a="1"/>
  <c r="BX55" i="2" s="1"/>
  <c r="BX62" i="2" a="1"/>
  <c r="BX62" i="2" s="1"/>
  <c r="BX61" i="2" a="1"/>
  <c r="BX61" i="2" s="1"/>
  <c r="BX70" i="2" a="1"/>
  <c r="BX70" i="2" s="1"/>
  <c r="BX69" i="2" a="1"/>
  <c r="BX69" i="2" s="1"/>
  <c r="BX57" i="2" a="1"/>
  <c r="BX57" i="2" s="1"/>
  <c r="BX60" i="2" a="1"/>
  <c r="BX60" i="2" s="1"/>
  <c r="BX67" i="2" a="1"/>
  <c r="BX67" i="2" s="1"/>
  <c r="BX68" i="2" a="1"/>
  <c r="BX68" i="2" s="1"/>
  <c r="BX65" i="2" a="1"/>
  <c r="BX65" i="2" s="1"/>
  <c r="BX56" i="2" a="1"/>
  <c r="BX56" i="2" s="1"/>
  <c r="BX54" i="2" a="1"/>
  <c r="BX54" i="2" s="1"/>
  <c r="BX63" i="2" a="1"/>
  <c r="BX63" i="2" s="1"/>
  <c r="BX71" i="2" a="1"/>
  <c r="BX71" i="2" s="1"/>
  <c r="BX66" i="2" a="1"/>
  <c r="BX66" i="2" s="1"/>
  <c r="BX29" i="2" a="1"/>
  <c r="BX29" i="2" s="1"/>
  <c r="BX32" i="2" a="1"/>
  <c r="BX32" i="2" s="1"/>
  <c r="BX30" i="2" a="1"/>
  <c r="BX30" i="2" s="1"/>
  <c r="BX31" i="2" a="1"/>
  <c r="BX31" i="2" s="1"/>
  <c r="BX33" i="2" a="1"/>
  <c r="BX33" i="2" s="1"/>
  <c r="BX53" i="2" a="1"/>
  <c r="BX53" i="2" s="1"/>
  <c r="BX6" i="2" a="1"/>
  <c r="BX6" i="2" s="1"/>
  <c r="BX37" i="2" a="1"/>
  <c r="BX37" i="2" s="1"/>
  <c r="BX13" i="2" a="1"/>
  <c r="BX13" i="2" s="1"/>
  <c r="BX38" i="2" a="1"/>
  <c r="BX38" i="2" s="1"/>
  <c r="BX15" i="2" a="1"/>
  <c r="BX15" i="2" s="1"/>
  <c r="BX77" i="2" a="1"/>
  <c r="BX77" i="2" s="1"/>
  <c r="BX76" i="2" a="1"/>
  <c r="BX76" i="2" s="1"/>
  <c r="BX83" i="2" a="1"/>
  <c r="BX83" i="2" s="1"/>
  <c r="BX78" i="2" a="1"/>
  <c r="BX78" i="2" s="1"/>
  <c r="BX74" i="2" a="1"/>
  <c r="BX74" i="2" s="1"/>
  <c r="BX79" i="2" a="1"/>
  <c r="BX79" i="2" s="1"/>
  <c r="BX75" i="2" a="1"/>
  <c r="BX75" i="2" s="1"/>
  <c r="BX82" i="2" a="1"/>
  <c r="BX82" i="2" s="1"/>
  <c r="BX80" i="2" a="1"/>
  <c r="BX80" i="2" s="1"/>
  <c r="BX81" i="2" a="1"/>
  <c r="BX81" i="2" s="1"/>
  <c r="BX25" i="2" a="1"/>
  <c r="BX25" i="2" s="1"/>
  <c r="BX20" i="2" a="1"/>
  <c r="BX20" i="2" s="1"/>
  <c r="BX40" i="2" a="1"/>
  <c r="BX40" i="2" s="1"/>
  <c r="BX50" i="2" a="1"/>
  <c r="BX50" i="2" s="1"/>
  <c r="BX47" i="2" a="1"/>
  <c r="BX47" i="2" s="1"/>
  <c r="BX44" i="2" a="1"/>
  <c r="BX44" i="2" s="1"/>
  <c r="BX111" i="2" a="1"/>
  <c r="BX111" i="2" s="1"/>
  <c r="BX116" i="2" a="1"/>
  <c r="BX116" i="2" s="1"/>
  <c r="BX120" i="2" a="1"/>
  <c r="BX120" i="2" s="1"/>
  <c r="BX117" i="2" a="1"/>
  <c r="BX117" i="2" s="1"/>
  <c r="BX109" i="2" a="1"/>
  <c r="BX109" i="2" s="1"/>
  <c r="BX113" i="2" a="1"/>
  <c r="BX113" i="2" s="1"/>
  <c r="BX27" i="2" a="1"/>
  <c r="BX27" i="2" s="1"/>
  <c r="BX24" i="2" a="1"/>
  <c r="BX24" i="2" s="1"/>
  <c r="BX8" i="2" a="1"/>
  <c r="BX8" i="2" s="1"/>
  <c r="BX17" i="2" a="1"/>
  <c r="BX17" i="2" s="1"/>
  <c r="BX12" i="2" a="1"/>
  <c r="BX12" i="2" s="1"/>
  <c r="BX5" i="2" a="1"/>
  <c r="BX5" i="2" s="1"/>
  <c r="BX93" i="2" a="1"/>
  <c r="BX93" i="2" s="1"/>
  <c r="BX35" i="2" a="1"/>
  <c r="BX35" i="2" s="1"/>
  <c r="BX41" i="2" a="1"/>
  <c r="BX41" i="2" s="1"/>
  <c r="BX36" i="2" a="1"/>
  <c r="BX36" i="2" s="1"/>
  <c r="BX51" i="2" a="1"/>
  <c r="BX51" i="2" s="1"/>
  <c r="BX46" i="2" a="1"/>
  <c r="BX46" i="2" s="1"/>
  <c r="BX22" i="2" a="1"/>
  <c r="BX22" i="2" s="1"/>
  <c r="BX118" i="2" a="1"/>
  <c r="BX118" i="2" s="1"/>
  <c r="BX123" i="2" a="1"/>
  <c r="BX123" i="2" s="1"/>
  <c r="BX110" i="2" a="1"/>
  <c r="BX110" i="2" s="1"/>
  <c r="BX108" i="2" a="1"/>
  <c r="BX108" i="2" s="1"/>
  <c r="BX107" i="2" a="1"/>
  <c r="BX107" i="2" s="1"/>
  <c r="BX10" i="2" a="1"/>
  <c r="BX10" i="2" s="1"/>
  <c r="BX11" i="2" a="1"/>
  <c r="BX11" i="2" s="1"/>
  <c r="BX9" i="2" a="1"/>
  <c r="BX9" i="2" s="1"/>
  <c r="BX18" i="2" a="1"/>
  <c r="BX18" i="2" s="1"/>
  <c r="BX21" i="2" a="1"/>
  <c r="BX21" i="2" s="1"/>
  <c r="BX4" i="2" a="1"/>
  <c r="BX4" i="2" s="1"/>
  <c r="BY4" i="2" s="1"/>
  <c r="BX92" i="2" a="1"/>
  <c r="BX92" i="2" s="1"/>
  <c r="BX43" i="2" a="1"/>
  <c r="BX43" i="2" s="1"/>
  <c r="BX39" i="2" a="1"/>
  <c r="BX39" i="2" s="1"/>
  <c r="BX45" i="2" a="1"/>
  <c r="BX45" i="2" s="1"/>
  <c r="BX48" i="2" a="1"/>
  <c r="BX48" i="2" s="1"/>
  <c r="BX49" i="2" a="1"/>
  <c r="BX49" i="2" s="1"/>
  <c r="BX122" i="2" a="1"/>
  <c r="BX122" i="2" s="1"/>
  <c r="BX114" i="2" a="1"/>
  <c r="BX114" i="2" s="1"/>
  <c r="BX106" i="2" a="1"/>
  <c r="BX106" i="2" s="1"/>
  <c r="BX26" i="2" a="1"/>
  <c r="BX26" i="2" s="1"/>
  <c r="BX16" i="2" a="1"/>
  <c r="BX16" i="2" s="1"/>
  <c r="BX7" i="2" a="1"/>
  <c r="BX7" i="2" s="1"/>
  <c r="BX14" i="2" a="1"/>
  <c r="BX14" i="2" s="1"/>
  <c r="BX23" i="2" a="1"/>
  <c r="BX23" i="2" s="1"/>
  <c r="BX42" i="2" a="1"/>
  <c r="BX42" i="2" s="1"/>
  <c r="BX34" i="2" a="1"/>
  <c r="BX34" i="2" s="1"/>
  <c r="BX52" i="2" a="1"/>
  <c r="BX52" i="2" s="1"/>
  <c r="BZ4" i="2" l="1"/>
  <c r="BY5" i="2"/>
  <c r="BZ5" i="2" l="1"/>
  <c r="BY6" i="2"/>
  <c r="CA4" i="2"/>
  <c r="CB4" i="2" s="1"/>
  <c r="CC4" i="2" s="1"/>
  <c r="BY7" i="2" l="1"/>
  <c r="BZ6" i="2"/>
  <c r="CA5" i="2"/>
  <c r="CB5" i="2" s="1"/>
  <c r="CC5" i="2" s="1"/>
  <c r="CA6" i="2" l="1"/>
  <c r="CB6" i="2" s="1"/>
  <c r="CC6" i="2" s="1"/>
  <c r="BZ7" i="2"/>
  <c r="BY8" i="2"/>
  <c r="CA7" i="2" l="1"/>
  <c r="CB7" i="2"/>
  <c r="CC7" i="2" s="1"/>
  <c r="BY9" i="2"/>
  <c r="BZ8" i="2"/>
  <c r="CA8" i="2" l="1"/>
  <c r="CB8" i="2" s="1"/>
  <c r="CC8" i="2" s="1"/>
  <c r="BZ9" i="2"/>
  <c r="BY10" i="2"/>
  <c r="CA9" i="2" l="1"/>
  <c r="CB9" i="2" s="1"/>
  <c r="CC9" i="2" s="1"/>
  <c r="BZ10" i="2"/>
  <c r="BY11" i="2"/>
  <c r="CA10" i="2" l="1"/>
  <c r="CB10" i="2"/>
  <c r="CC10" i="2" s="1"/>
  <c r="BY12" i="2"/>
  <c r="BZ11" i="2"/>
  <c r="CA11" i="2" l="1"/>
  <c r="CB11" i="2" s="1"/>
  <c r="CC11" i="2" s="1"/>
  <c r="BZ12" i="2"/>
  <c r="BY13" i="2"/>
  <c r="BY14" i="2" l="1"/>
  <c r="BZ13" i="2"/>
  <c r="CA12" i="2"/>
  <c r="CB12" i="2" s="1"/>
  <c r="CC12" i="2" s="1"/>
  <c r="CA13" i="2" l="1"/>
  <c r="CB13" i="2"/>
  <c r="CC13" i="2" s="1"/>
  <c r="BY15" i="2"/>
  <c r="BZ14" i="2"/>
  <c r="CA14" i="2" l="1"/>
  <c r="CB14" i="2" s="1"/>
  <c r="CC14" i="2" s="1"/>
  <c r="BZ15" i="2"/>
  <c r="BY16" i="2"/>
  <c r="CA15" i="2" l="1"/>
  <c r="CB15" i="2"/>
  <c r="CC15" i="2" s="1"/>
  <c r="BY17" i="2"/>
  <c r="BZ16" i="2"/>
  <c r="CA16" i="2" l="1"/>
  <c r="CB16" i="2" s="1"/>
  <c r="CC16" i="2" s="1"/>
  <c r="BZ17" i="2"/>
  <c r="BY18" i="2"/>
  <c r="CA17" i="2" l="1"/>
  <c r="CB17" i="2" s="1"/>
  <c r="CC17" i="2" s="1"/>
  <c r="BZ18" i="2"/>
  <c r="BY19" i="2"/>
  <c r="BY20" i="2" l="1"/>
  <c r="BZ19" i="2"/>
  <c r="CA18" i="2"/>
  <c r="CB18" i="2" s="1"/>
  <c r="CC18" i="2" s="1"/>
  <c r="CA19" i="2" l="1"/>
  <c r="CB19" i="2" s="1"/>
  <c r="CC19" i="2" s="1"/>
  <c r="BZ20" i="2"/>
  <c r="BY21" i="2"/>
  <c r="BY22" i="2" l="1"/>
  <c r="BZ21" i="2"/>
  <c r="CA20" i="2"/>
  <c r="CB20" i="2" s="1"/>
  <c r="CC20" i="2" s="1"/>
  <c r="CA21" i="2" l="1"/>
  <c r="CB21" i="2" s="1"/>
  <c r="CC21" i="2" s="1"/>
  <c r="BY23" i="2"/>
  <c r="BZ22" i="2"/>
  <c r="BZ23" i="2" l="1"/>
  <c r="BY24" i="2"/>
  <c r="CA22" i="2"/>
  <c r="CB22" i="2" s="1"/>
  <c r="CC22" i="2" s="1"/>
  <c r="BY25" i="2" l="1"/>
  <c r="BZ24" i="2"/>
  <c r="CA23" i="2"/>
  <c r="CB23" i="2" s="1"/>
  <c r="CC23" i="2" s="1"/>
  <c r="CA24" i="2" l="1"/>
  <c r="CB24" i="2" s="1"/>
  <c r="CC24" i="2" s="1"/>
  <c r="BZ25" i="2"/>
  <c r="BY26" i="2"/>
  <c r="BZ26" i="2" l="1"/>
  <c r="BY27" i="2"/>
  <c r="CA25" i="2"/>
  <c r="CB25" i="2" s="1"/>
  <c r="CC25" i="2" s="1"/>
  <c r="BZ27" i="2" l="1"/>
  <c r="BY28" i="2"/>
  <c r="CA26" i="2"/>
  <c r="CB26" i="2" s="1"/>
  <c r="CC26" i="2" s="1"/>
  <c r="BZ28" i="2" l="1"/>
  <c r="BY29" i="2"/>
  <c r="CA27" i="2"/>
  <c r="CB27" i="2" s="1"/>
  <c r="CC27" i="2" s="1"/>
  <c r="BZ29" i="2" l="1"/>
  <c r="BY30" i="2"/>
  <c r="CA28" i="2"/>
  <c r="CB28" i="2" s="1"/>
  <c r="CC28" i="2" s="1"/>
  <c r="BZ30" i="2" l="1"/>
  <c r="BY31" i="2"/>
  <c r="CA29" i="2"/>
  <c r="CB29" i="2" s="1"/>
  <c r="CC29" i="2" s="1"/>
  <c r="BZ31" i="2" l="1"/>
  <c r="BY32" i="2"/>
  <c r="CA30" i="2"/>
  <c r="CB30" i="2" s="1"/>
  <c r="CC30" i="2" s="1"/>
  <c r="BZ32" i="2" l="1"/>
  <c r="BY33" i="2"/>
  <c r="CA31" i="2"/>
  <c r="CB31" i="2" s="1"/>
  <c r="CC31" i="2" s="1"/>
  <c r="BZ33" i="2" l="1"/>
  <c r="BY34" i="2"/>
  <c r="CA32" i="2"/>
  <c r="CB32" i="2" s="1"/>
  <c r="CC32" i="2" s="1"/>
  <c r="BZ34" i="2" l="1"/>
  <c r="BY35" i="2"/>
  <c r="CA33" i="2"/>
  <c r="CB33" i="2" s="1"/>
  <c r="CC33" i="2" s="1"/>
  <c r="CE3" i="2" s="1"/>
  <c r="D9" i="4" l="1"/>
  <c r="CE132" i="2"/>
  <c r="CE196" i="2"/>
  <c r="CE59" i="2"/>
  <c r="CE131" i="2"/>
  <c r="CE84" i="2"/>
  <c r="CE139" i="2"/>
  <c r="CE71" i="2"/>
  <c r="CE40" i="2"/>
  <c r="CE167" i="2"/>
  <c r="CE36" i="2"/>
  <c r="CE6" i="2"/>
  <c r="CE195" i="2"/>
  <c r="CE34" i="2"/>
  <c r="CE177" i="2"/>
  <c r="CE23" i="2"/>
  <c r="CE18" i="2"/>
  <c r="CE114" i="2"/>
  <c r="CE163" i="2"/>
  <c r="CE49" i="2"/>
  <c r="CE75" i="2"/>
  <c r="CE55" i="2"/>
  <c r="CE21" i="2"/>
  <c r="CE184" i="2"/>
  <c r="CE125" i="2"/>
  <c r="CE203" i="2"/>
  <c r="CE178" i="2"/>
  <c r="CE80" i="2"/>
  <c r="CE106" i="2"/>
  <c r="CE155" i="2"/>
  <c r="CE180" i="2"/>
  <c r="CE45" i="2"/>
  <c r="CE41" i="2"/>
  <c r="CE31" i="2"/>
  <c r="CE25" i="2"/>
  <c r="CE159" i="2"/>
  <c r="CE12" i="2"/>
  <c r="CE165" i="2"/>
  <c r="CE198" i="2"/>
  <c r="CE11" i="2"/>
  <c r="CE86" i="2"/>
  <c r="CE58" i="2"/>
  <c r="CE138" i="2"/>
  <c r="CE129" i="2"/>
  <c r="CE175" i="2"/>
  <c r="CE158" i="2"/>
  <c r="CE108" i="2"/>
  <c r="CE87" i="2"/>
  <c r="CE146" i="2"/>
  <c r="CE101" i="2"/>
  <c r="CE26" i="2"/>
  <c r="CE67" i="2"/>
  <c r="CE78" i="2"/>
  <c r="CE63" i="2"/>
  <c r="CE57" i="2"/>
  <c r="CE79" i="2"/>
  <c r="CE190" i="2"/>
  <c r="CE121" i="2"/>
  <c r="CE144" i="2"/>
  <c r="CE181" i="2"/>
  <c r="CE153" i="2"/>
  <c r="CE107" i="2"/>
  <c r="CE127" i="2"/>
  <c r="CE151" i="2"/>
  <c r="CE200" i="2"/>
  <c r="CE130" i="2"/>
  <c r="CE120" i="2"/>
  <c r="CE39" i="2"/>
  <c r="CE33" i="2"/>
  <c r="CE182" i="2"/>
  <c r="CE186" i="2"/>
  <c r="CE117" i="2"/>
  <c r="CE103" i="2"/>
  <c r="CE47" i="2"/>
  <c r="CE172" i="2"/>
  <c r="CE122" i="2"/>
  <c r="CE90" i="2"/>
  <c r="CE96" i="2"/>
  <c r="CE147" i="2"/>
  <c r="CE179" i="2"/>
  <c r="CE145" i="2"/>
  <c r="CE100" i="2"/>
  <c r="CE20" i="2"/>
  <c r="CE53" i="2"/>
  <c r="CE50" i="2"/>
  <c r="CE157" i="2"/>
  <c r="CE94" i="2"/>
  <c r="CE27" i="2"/>
  <c r="CE102" i="2"/>
  <c r="CE99" i="2"/>
  <c r="CE183" i="2"/>
  <c r="CE19" i="2"/>
  <c r="CE65" i="2"/>
  <c r="CE93" i="2"/>
  <c r="CE54" i="2"/>
  <c r="CE70" i="2"/>
  <c r="CE42" i="2"/>
  <c r="CE109" i="2"/>
  <c r="CE176" i="2"/>
  <c r="CE14" i="2"/>
  <c r="CE10" i="2"/>
  <c r="CE5" i="2"/>
  <c r="CE68" i="2"/>
  <c r="CE185" i="2"/>
  <c r="CE61" i="2"/>
  <c r="CE73" i="2"/>
  <c r="CE44" i="2"/>
  <c r="CE199" i="2"/>
  <c r="CE98" i="2"/>
  <c r="CE110" i="2"/>
  <c r="CE16" i="2"/>
  <c r="CE197" i="2"/>
  <c r="CE174" i="2"/>
  <c r="CE137" i="2"/>
  <c r="CE140" i="2"/>
  <c r="CE173" i="2"/>
  <c r="CE166" i="2"/>
  <c r="CE119" i="2"/>
  <c r="CE105" i="2"/>
  <c r="CE97" i="2"/>
  <c r="CE201" i="2"/>
  <c r="CE77" i="2"/>
  <c r="CE17" i="2"/>
  <c r="CE168" i="2"/>
  <c r="CE150" i="2"/>
  <c r="CE116" i="2"/>
  <c r="CE83" i="2"/>
  <c r="CE194" i="2"/>
  <c r="CE28" i="2"/>
  <c r="CE143" i="2"/>
  <c r="CE187" i="2"/>
  <c r="CE66" i="2"/>
  <c r="CE43" i="2"/>
  <c r="CE89" i="2"/>
  <c r="CE192" i="2"/>
  <c r="CE22" i="2"/>
  <c r="CE115" i="2"/>
  <c r="CE72" i="2"/>
  <c r="CE35" i="2"/>
  <c r="CE4" i="2"/>
  <c r="CE164" i="2"/>
  <c r="CE8" i="2"/>
  <c r="CE154" i="2"/>
  <c r="CE112" i="2"/>
  <c r="CE156" i="2"/>
  <c r="CE113" i="2"/>
  <c r="CE7" i="2"/>
  <c r="CE135" i="2"/>
  <c r="CE32" i="2"/>
  <c r="CE188" i="2"/>
  <c r="CE104" i="2"/>
  <c r="CE69" i="2"/>
  <c r="CE56" i="2"/>
  <c r="CE38" i="2"/>
  <c r="CE124" i="2"/>
  <c r="CE126" i="2"/>
  <c r="CE48" i="2"/>
  <c r="CE74" i="2"/>
  <c r="CE134" i="2"/>
  <c r="CE123" i="2"/>
  <c r="CE118" i="2"/>
  <c r="CE136" i="2"/>
  <c r="CE30" i="2"/>
  <c r="CE29" i="2"/>
  <c r="CE141" i="2"/>
  <c r="CE95" i="2"/>
  <c r="CE13" i="2"/>
  <c r="CE202" i="2"/>
  <c r="CE51" i="2"/>
  <c r="CE62" i="2"/>
  <c r="CE82" i="2"/>
  <c r="CE85" i="2"/>
  <c r="CE193" i="2"/>
  <c r="CE111" i="2"/>
  <c r="CE81" i="2"/>
  <c r="CE133" i="2"/>
  <c r="CE64" i="2"/>
  <c r="CE76" i="2"/>
  <c r="CE169" i="2"/>
  <c r="CE37" i="2"/>
  <c r="CE189" i="2"/>
  <c r="CE128" i="2"/>
  <c r="CE161" i="2"/>
  <c r="CE148" i="2"/>
  <c r="CE171" i="2"/>
  <c r="CE160" i="2"/>
  <c r="CE24" i="2"/>
  <c r="CE142" i="2"/>
  <c r="CE162" i="2"/>
  <c r="CE88" i="2"/>
  <c r="CE60" i="2"/>
  <c r="CE152" i="2"/>
  <c r="CE91" i="2"/>
  <c r="CE191" i="2"/>
  <c r="CE15" i="2"/>
  <c r="CE149" i="2"/>
  <c r="CE92" i="2"/>
  <c r="CE9" i="2"/>
  <c r="CE170" i="2"/>
  <c r="CE52" i="2"/>
  <c r="CE46" i="2"/>
  <c r="BZ35" i="2"/>
  <c r="BY36" i="2"/>
  <c r="CA34" i="2"/>
  <c r="CB34" i="2" s="1"/>
  <c r="CC34" i="2" s="1"/>
  <c r="BZ36" i="2" l="1"/>
  <c r="BY37" i="2"/>
  <c r="CA35" i="2"/>
  <c r="CB35" i="2" s="1"/>
  <c r="CC35" i="2" s="1"/>
  <c r="BZ37" i="2" l="1"/>
  <c r="BY38" i="2"/>
  <c r="CA36" i="2"/>
  <c r="CB36" i="2" s="1"/>
  <c r="CC36" i="2" s="1"/>
  <c r="BZ38" i="2" l="1"/>
  <c r="BY39" i="2"/>
  <c r="CA37" i="2"/>
  <c r="CB37" i="2" s="1"/>
  <c r="CC37" i="2" s="1"/>
  <c r="BZ39" i="2" l="1"/>
  <c r="BY40" i="2"/>
  <c r="CA38" i="2"/>
  <c r="CB38" i="2" s="1"/>
  <c r="CC38" i="2" s="1"/>
  <c r="BZ40" i="2" l="1"/>
  <c r="BY41" i="2"/>
  <c r="CA39" i="2"/>
  <c r="CB39" i="2" s="1"/>
  <c r="CC39" i="2" s="1"/>
  <c r="BZ41" i="2" l="1"/>
  <c r="BY42" i="2"/>
  <c r="CA40" i="2"/>
  <c r="CB40" i="2" s="1"/>
  <c r="CC40" i="2" s="1"/>
  <c r="BZ42" i="2" l="1"/>
  <c r="BY43" i="2"/>
  <c r="CA41" i="2"/>
  <c r="CB41" i="2" s="1"/>
  <c r="CC41" i="2" s="1"/>
  <c r="BZ43" i="2" l="1"/>
  <c r="BY44" i="2"/>
  <c r="CA42" i="2"/>
  <c r="CB42" i="2" s="1"/>
  <c r="CC42" i="2" s="1"/>
  <c r="BZ44" i="2" l="1"/>
  <c r="BY45" i="2"/>
  <c r="CA43" i="2"/>
  <c r="CB43" i="2" s="1"/>
  <c r="CC43" i="2" s="1"/>
  <c r="BZ45" i="2" l="1"/>
  <c r="BY46" i="2"/>
  <c r="CA44" i="2"/>
  <c r="CB44" i="2" s="1"/>
  <c r="CC44" i="2" s="1"/>
  <c r="BZ46" i="2" l="1"/>
  <c r="BY47" i="2"/>
  <c r="CA45" i="2"/>
  <c r="CB45" i="2" s="1"/>
  <c r="CC45" i="2" s="1"/>
  <c r="BZ47" i="2" l="1"/>
  <c r="BY48" i="2"/>
  <c r="CA46" i="2"/>
  <c r="CB46" i="2" s="1"/>
  <c r="CC46" i="2" s="1"/>
  <c r="BZ48" i="2" l="1"/>
  <c r="BY49" i="2"/>
  <c r="CA47" i="2"/>
  <c r="CB47" i="2" s="1"/>
  <c r="CC47" i="2" s="1"/>
  <c r="BZ49" i="2" l="1"/>
  <c r="BY50" i="2"/>
  <c r="CA48" i="2"/>
  <c r="CB48" i="2" s="1"/>
  <c r="CC48" i="2" s="1"/>
  <c r="BZ50" i="2" l="1"/>
  <c r="BY51" i="2"/>
  <c r="CA49" i="2"/>
  <c r="CB49" i="2" s="1"/>
  <c r="CC49" i="2" s="1"/>
  <c r="BZ51" i="2" l="1"/>
  <c r="BY52" i="2"/>
  <c r="CA50" i="2"/>
  <c r="CB50" i="2" s="1"/>
  <c r="CC50" i="2" s="1"/>
  <c r="BZ52" i="2" l="1"/>
  <c r="BY53" i="2"/>
  <c r="CA51" i="2"/>
  <c r="CB51" i="2" s="1"/>
  <c r="CC51" i="2" s="1"/>
  <c r="BZ53" i="2" l="1"/>
  <c r="BY54" i="2"/>
  <c r="CA52" i="2"/>
  <c r="CB52" i="2" s="1"/>
  <c r="CC52" i="2" s="1"/>
  <c r="BZ54" i="2" l="1"/>
  <c r="BY55" i="2"/>
  <c r="CA53" i="2"/>
  <c r="CB53" i="2" s="1"/>
  <c r="CC53" i="2" s="1"/>
  <c r="BZ55" i="2" l="1"/>
  <c r="BY56" i="2"/>
  <c r="CA54" i="2"/>
  <c r="CB54" i="2" s="1"/>
  <c r="CC54" i="2" s="1"/>
  <c r="BZ56" i="2" l="1"/>
  <c r="BY57" i="2"/>
  <c r="CA55" i="2"/>
  <c r="CB55" i="2" s="1"/>
  <c r="CC55" i="2" s="1"/>
  <c r="BZ57" i="2" l="1"/>
  <c r="BY58" i="2"/>
  <c r="CA56" i="2"/>
  <c r="CB56" i="2" s="1"/>
  <c r="CC56" i="2" s="1"/>
  <c r="BZ58" i="2" l="1"/>
  <c r="BY59" i="2"/>
  <c r="CA57" i="2"/>
  <c r="CB57" i="2" s="1"/>
  <c r="CC57" i="2" s="1"/>
  <c r="BY60" i="2" l="1"/>
  <c r="BZ59" i="2"/>
  <c r="CA58" i="2"/>
  <c r="CB58" i="2" s="1"/>
  <c r="CC58" i="2" s="1"/>
  <c r="CA59" i="2" l="1"/>
  <c r="CB59" i="2" s="1"/>
  <c r="CC59" i="2" s="1"/>
  <c r="BZ60" i="2"/>
  <c r="BY61" i="2"/>
  <c r="CA60" i="2" l="1"/>
  <c r="CB60" i="2" s="1"/>
  <c r="CC60" i="2" s="1"/>
  <c r="BZ61" i="2"/>
  <c r="BY62" i="2"/>
  <c r="BZ62" i="2" l="1"/>
  <c r="BY63" i="2"/>
  <c r="CA61" i="2"/>
  <c r="CB61" i="2" s="1"/>
  <c r="CC61" i="2" s="1"/>
  <c r="BZ63" i="2" l="1"/>
  <c r="BY64" i="2"/>
  <c r="CA62" i="2"/>
  <c r="CB62" i="2" s="1"/>
  <c r="CC62" i="2" s="1"/>
  <c r="BZ64" i="2" l="1"/>
  <c r="BY65" i="2"/>
  <c r="CA63" i="2"/>
  <c r="CB63" i="2" s="1"/>
  <c r="CC63" i="2" s="1"/>
  <c r="BY66" i="2" l="1"/>
  <c r="BZ65" i="2"/>
  <c r="CA64" i="2"/>
  <c r="CB64" i="2" s="1"/>
  <c r="CC64" i="2" s="1"/>
  <c r="CA65" i="2" l="1"/>
  <c r="CB65" i="2" s="1"/>
  <c r="CC65" i="2" s="1"/>
  <c r="BZ66" i="2"/>
  <c r="BY67" i="2"/>
  <c r="BY68" i="2" l="1"/>
  <c r="BZ67" i="2"/>
  <c r="CA66" i="2"/>
  <c r="CB66" i="2" s="1"/>
  <c r="CC66" i="2" s="1"/>
  <c r="CA67" i="2" l="1"/>
  <c r="CB67" i="2" s="1"/>
  <c r="CC67" i="2" s="1"/>
  <c r="BZ68" i="2"/>
  <c r="BY69" i="2"/>
  <c r="BZ69" i="2" l="1"/>
  <c r="BY70" i="2"/>
  <c r="CA68" i="2"/>
  <c r="CB68" i="2" s="1"/>
  <c r="CC68" i="2" s="1"/>
  <c r="BZ70" i="2" l="1"/>
  <c r="BY71" i="2"/>
  <c r="CA69" i="2"/>
  <c r="CB69" i="2" s="1"/>
  <c r="CC69" i="2" s="1"/>
  <c r="BZ71" i="2" l="1"/>
  <c r="BY72" i="2"/>
  <c r="CA70" i="2"/>
  <c r="CB70" i="2" s="1"/>
  <c r="CC70" i="2" s="1"/>
  <c r="CA71" i="2" l="1"/>
  <c r="CB71" i="2" s="1"/>
  <c r="CC71" i="2" s="1"/>
  <c r="BZ72" i="2"/>
  <c r="BY73" i="2"/>
  <c r="BY74" i="2" l="1"/>
  <c r="BZ73" i="2"/>
  <c r="CA72" i="2"/>
  <c r="CB72" i="2" s="1"/>
  <c r="CC72" i="2" s="1"/>
  <c r="CA73" i="2" l="1"/>
  <c r="CB73" i="2" s="1"/>
  <c r="CC73" i="2" s="1"/>
  <c r="BZ74" i="2"/>
  <c r="BY75" i="2"/>
  <c r="CA74" i="2" l="1"/>
  <c r="CB74" i="2" s="1"/>
  <c r="CC74" i="2" s="1"/>
  <c r="BZ75" i="2"/>
  <c r="BY76" i="2"/>
  <c r="BZ76" i="2" l="1"/>
  <c r="BY77" i="2"/>
  <c r="CA75" i="2"/>
  <c r="CB75" i="2" s="1"/>
  <c r="CC75" i="2" s="1"/>
  <c r="BZ77" i="2" l="1"/>
  <c r="BY78" i="2"/>
  <c r="CA76" i="2"/>
  <c r="CB76" i="2" s="1"/>
  <c r="CC76" i="2" s="1"/>
  <c r="BZ78" i="2" l="1"/>
  <c r="BY79" i="2"/>
  <c r="CA77" i="2"/>
  <c r="CB77" i="2" s="1"/>
  <c r="CC77" i="2" s="1"/>
  <c r="BZ79" i="2" l="1"/>
  <c r="BY80" i="2"/>
  <c r="CA78" i="2"/>
  <c r="CB78" i="2" s="1"/>
  <c r="CC78" i="2" s="1"/>
  <c r="BZ80" i="2" l="1"/>
  <c r="BY81" i="2"/>
  <c r="CA79" i="2"/>
  <c r="CB79" i="2" s="1"/>
  <c r="CC79" i="2" s="1"/>
  <c r="BZ81" i="2" l="1"/>
  <c r="BY82" i="2"/>
  <c r="CA80" i="2"/>
  <c r="CB80" i="2" s="1"/>
  <c r="CC80" i="2" s="1"/>
  <c r="BZ82" i="2" l="1"/>
  <c r="BY83" i="2"/>
  <c r="CA81" i="2"/>
  <c r="CB81" i="2" s="1"/>
  <c r="CC81" i="2" s="1"/>
  <c r="BY84" i="2" l="1"/>
  <c r="BZ83" i="2"/>
  <c r="CA82" i="2"/>
  <c r="CB82" i="2" s="1"/>
  <c r="CC82" i="2" s="1"/>
  <c r="CA83" i="2" l="1"/>
  <c r="CB83" i="2" s="1"/>
  <c r="CC83" i="2" s="1"/>
  <c r="BZ84" i="2"/>
  <c r="BY85" i="2"/>
  <c r="BY86" i="2" l="1"/>
  <c r="BZ85" i="2"/>
  <c r="CA84" i="2"/>
  <c r="CB84" i="2" s="1"/>
  <c r="CC84" i="2" s="1"/>
  <c r="CA85" i="2" l="1"/>
  <c r="CB85" i="2" s="1"/>
  <c r="CC85" i="2" s="1"/>
  <c r="BZ86" i="2"/>
  <c r="BY87" i="2"/>
  <c r="BZ87" i="2" l="1"/>
  <c r="BY88" i="2"/>
  <c r="CA86" i="2"/>
  <c r="CB86" i="2" s="1"/>
  <c r="CC86" i="2" s="1"/>
  <c r="BZ88" i="2" l="1"/>
  <c r="BY89" i="2"/>
  <c r="CA87" i="2"/>
  <c r="CB87" i="2" s="1"/>
  <c r="CC87" i="2" s="1"/>
  <c r="BY90" i="2" l="1"/>
  <c r="BZ89" i="2"/>
  <c r="CA88" i="2"/>
  <c r="CB88" i="2" s="1"/>
  <c r="CC88" i="2" s="1"/>
  <c r="CA89" i="2" l="1"/>
  <c r="CB89" i="2" s="1"/>
  <c r="CC89" i="2" s="1"/>
  <c r="BZ90" i="2"/>
  <c r="BY91" i="2"/>
  <c r="BZ91" i="2" l="1"/>
  <c r="BY92" i="2"/>
  <c r="CA90" i="2"/>
  <c r="CB90" i="2" s="1"/>
  <c r="CC90" i="2" s="1"/>
  <c r="BZ92" i="2" l="1"/>
  <c r="BY93" i="2"/>
  <c r="CA91" i="2"/>
  <c r="CB91" i="2" s="1"/>
  <c r="CC91" i="2" s="1"/>
  <c r="BZ93" i="2" l="1"/>
  <c r="BY94" i="2"/>
  <c r="CA92" i="2"/>
  <c r="CB92" i="2" s="1"/>
  <c r="CC92" i="2" s="1"/>
  <c r="BZ94" i="2" l="1"/>
  <c r="BY95" i="2"/>
  <c r="CA93" i="2"/>
  <c r="CB93" i="2" s="1"/>
  <c r="CC93" i="2" s="1"/>
  <c r="BZ95" i="2" l="1"/>
  <c r="BY96" i="2"/>
  <c r="CA94" i="2"/>
  <c r="CB94" i="2" s="1"/>
  <c r="CC94" i="2" s="1"/>
  <c r="BZ96" i="2" l="1"/>
  <c r="BY97" i="2"/>
  <c r="CA95" i="2"/>
  <c r="CB95" i="2" s="1"/>
  <c r="CC95" i="2" s="1"/>
  <c r="BZ97" i="2" l="1"/>
  <c r="BY98" i="2"/>
  <c r="CA96" i="2"/>
  <c r="CB96" i="2" s="1"/>
  <c r="CC96" i="2" s="1"/>
  <c r="BZ98" i="2" l="1"/>
  <c r="BY99" i="2"/>
  <c r="CA97" i="2"/>
  <c r="CB97" i="2" s="1"/>
  <c r="CC97" i="2" s="1"/>
  <c r="BY100" i="2" l="1"/>
  <c r="BZ99" i="2"/>
  <c r="CA98" i="2"/>
  <c r="CB98" i="2" s="1"/>
  <c r="CC98" i="2" s="1"/>
  <c r="CA99" i="2" l="1"/>
  <c r="CB99" i="2" s="1"/>
  <c r="CC99" i="2" s="1"/>
  <c r="BZ100" i="2"/>
  <c r="BY101" i="2"/>
  <c r="CA100" i="2" l="1"/>
  <c r="CB100" i="2" s="1"/>
  <c r="CC100" i="2" s="1"/>
  <c r="BZ101" i="2"/>
  <c r="BY102" i="2"/>
  <c r="CA101" i="2" l="1"/>
  <c r="CB101" i="2" s="1"/>
  <c r="CC101" i="2" s="1"/>
  <c r="BZ102" i="2"/>
  <c r="BY103" i="2"/>
  <c r="BZ103" i="2" l="1"/>
  <c r="BY104" i="2"/>
  <c r="CA102" i="2"/>
  <c r="CB102" i="2" s="1"/>
  <c r="CC102" i="2" s="1"/>
  <c r="BZ104" i="2" l="1"/>
  <c r="BY105" i="2"/>
  <c r="CA103" i="2"/>
  <c r="CB103" i="2" s="1"/>
  <c r="CC103" i="2" s="1"/>
  <c r="BY106" i="2" l="1"/>
  <c r="BZ105" i="2"/>
  <c r="CA104" i="2"/>
  <c r="CB104" i="2" s="1"/>
  <c r="CC104" i="2" s="1"/>
  <c r="CA105" i="2" l="1"/>
  <c r="CB105" i="2" s="1"/>
  <c r="CC105" i="2" s="1"/>
  <c r="BZ106" i="2"/>
  <c r="BY107" i="2"/>
  <c r="BZ107" i="2" l="1"/>
  <c r="BY108" i="2"/>
  <c r="CA106" i="2"/>
  <c r="CB106" i="2" s="1"/>
  <c r="CC106" i="2" s="1"/>
  <c r="BY109" i="2" l="1"/>
  <c r="BZ108" i="2"/>
  <c r="CA107" i="2"/>
  <c r="CB107" i="2" s="1"/>
  <c r="CC107" i="2" s="1"/>
  <c r="CA108" i="2" l="1"/>
  <c r="CB108" i="2" s="1"/>
  <c r="CC108" i="2" s="1"/>
  <c r="BZ109" i="2"/>
  <c r="BY110" i="2"/>
  <c r="BZ110" i="2" l="1"/>
  <c r="BY111" i="2"/>
  <c r="CA109" i="2"/>
  <c r="CB109" i="2" s="1"/>
  <c r="CC109" i="2" s="1"/>
  <c r="BZ111" i="2" l="1"/>
  <c r="BY112" i="2"/>
  <c r="CA110" i="2"/>
  <c r="CB110" i="2" s="1"/>
  <c r="CC110" i="2" s="1"/>
  <c r="BZ112" i="2" l="1"/>
  <c r="BY113" i="2"/>
  <c r="CA111" i="2"/>
  <c r="CB111" i="2" s="1"/>
  <c r="CC111" i="2" s="1"/>
  <c r="BZ113" i="2" l="1"/>
  <c r="BY114" i="2"/>
  <c r="CA112" i="2"/>
  <c r="CB112" i="2" s="1"/>
  <c r="CC112" i="2" s="1"/>
  <c r="BY115" i="2" l="1"/>
  <c r="BZ114" i="2"/>
  <c r="CA113" i="2"/>
  <c r="CB113" i="2" s="1"/>
  <c r="CC113" i="2" s="1"/>
  <c r="CA114" i="2" l="1"/>
  <c r="CB114" i="2" s="1"/>
  <c r="CC114" i="2" s="1"/>
  <c r="BZ115" i="2"/>
  <c r="BY116" i="2"/>
  <c r="CA115" i="2" l="1"/>
  <c r="CB115" i="2" s="1"/>
  <c r="CC115" i="2" s="1"/>
  <c r="BY117" i="2"/>
  <c r="BZ116" i="2"/>
  <c r="CA116" i="2" l="1"/>
  <c r="CB116" i="2" s="1"/>
  <c r="CC116" i="2" s="1"/>
  <c r="BZ117" i="2"/>
  <c r="BY118" i="2"/>
  <c r="BZ118" i="2" l="1"/>
  <c r="BY119" i="2"/>
  <c r="CA117" i="2"/>
  <c r="CB117" i="2" s="1"/>
  <c r="CC117" i="2" s="1"/>
  <c r="BZ119" i="2" l="1"/>
  <c r="BY120" i="2"/>
  <c r="CA118" i="2"/>
  <c r="CB118" i="2" s="1"/>
  <c r="CC118" i="2" s="1"/>
  <c r="BZ120" i="2" l="1"/>
  <c r="BY121" i="2"/>
  <c r="CA119" i="2"/>
  <c r="CB119" i="2" s="1"/>
  <c r="CC119" i="2" s="1"/>
  <c r="BZ121" i="2" l="1"/>
  <c r="BY122" i="2"/>
  <c r="CA120" i="2"/>
  <c r="CB120" i="2" s="1"/>
  <c r="CC120" i="2" s="1"/>
  <c r="BY123" i="2" l="1"/>
  <c r="BZ122" i="2"/>
  <c r="CA121" i="2"/>
  <c r="CB121" i="2" s="1"/>
  <c r="CC121" i="2" s="1"/>
  <c r="CA122" i="2" l="1"/>
  <c r="CB122" i="2" s="1"/>
  <c r="CC122" i="2" s="1"/>
  <c r="BZ123" i="2"/>
  <c r="BY124" i="2"/>
  <c r="BY125" i="2" l="1"/>
  <c r="BZ124" i="2"/>
  <c r="CA123" i="2"/>
  <c r="CB123" i="2" s="1"/>
  <c r="CC123" i="2" s="1"/>
  <c r="CD84" i="2" l="1"/>
  <c r="CD100" i="2"/>
  <c r="CD95" i="2"/>
  <c r="CD43" i="2"/>
  <c r="CD105" i="2"/>
  <c r="CD184" i="2"/>
  <c r="CD71" i="2"/>
  <c r="CD20" i="2"/>
  <c r="CD102" i="2"/>
  <c r="CD8" i="2"/>
  <c r="CD25" i="2"/>
  <c r="CD202" i="2"/>
  <c r="CD120" i="2"/>
  <c r="CD135" i="2"/>
  <c r="CD194" i="2"/>
  <c r="CD112" i="2"/>
  <c r="CD86" i="2"/>
  <c r="CD91" i="2"/>
  <c r="CD28" i="2"/>
  <c r="CD36" i="2"/>
  <c r="CD127" i="2"/>
  <c r="CD7" i="2"/>
  <c r="CD109" i="2"/>
  <c r="CD203" i="2"/>
  <c r="CD196" i="2"/>
  <c r="CD30" i="2"/>
  <c r="CD76" i="2"/>
  <c r="CD35" i="2"/>
  <c r="CD141" i="2"/>
  <c r="CD106" i="2"/>
  <c r="CD37" i="2"/>
  <c r="CD167" i="2"/>
  <c r="CD78" i="2"/>
  <c r="CD79" i="2"/>
  <c r="CD182" i="2"/>
  <c r="CD152" i="2"/>
  <c r="CD40" i="2"/>
  <c r="CD155" i="2"/>
  <c r="CD39" i="2"/>
  <c r="CD27" i="2"/>
  <c r="CD16" i="2"/>
  <c r="CD61" i="2"/>
  <c r="CD183" i="2"/>
  <c r="CD115" i="2"/>
  <c r="CD9" i="2"/>
  <c r="CD169" i="2"/>
  <c r="CD46" i="2"/>
  <c r="CD81" i="2"/>
  <c r="CD103" i="2"/>
  <c r="CD147" i="2"/>
  <c r="CD21" i="2"/>
  <c r="CD17" i="2"/>
  <c r="CD139" i="2"/>
  <c r="CD18" i="2"/>
  <c r="CD151" i="2"/>
  <c r="CD24" i="2"/>
  <c r="CD121" i="2"/>
  <c r="CD59" i="2"/>
  <c r="CD60" i="2"/>
  <c r="CD199" i="2"/>
  <c r="CD188" i="2"/>
  <c r="CD62" i="2"/>
  <c r="CD122" i="2"/>
  <c r="CD73" i="2"/>
  <c r="CD98" i="2"/>
  <c r="CD180" i="2"/>
  <c r="CD12" i="2"/>
  <c r="CD75" i="2"/>
  <c r="CD5" i="2"/>
  <c r="CD173" i="2"/>
  <c r="CD38" i="2"/>
  <c r="CD89" i="2"/>
  <c r="CD134" i="2"/>
  <c r="CD55" i="2"/>
  <c r="CD113" i="2"/>
  <c r="CD195" i="2"/>
  <c r="CD4" i="2"/>
  <c r="CD161" i="2"/>
  <c r="CD187" i="2"/>
  <c r="CD128" i="2"/>
  <c r="CD114" i="2"/>
  <c r="CD157" i="2"/>
  <c r="CD119" i="2"/>
  <c r="CD44" i="2"/>
  <c r="CD192" i="2"/>
  <c r="CD10" i="2"/>
  <c r="CD178" i="2"/>
  <c r="CD200" i="2"/>
  <c r="CD96" i="2"/>
  <c r="CD50" i="2"/>
  <c r="CD153" i="2"/>
  <c r="CD85" i="2"/>
  <c r="CD148" i="2"/>
  <c r="CD177" i="2"/>
  <c r="CD13" i="2"/>
  <c r="CD179" i="2"/>
  <c r="CD191" i="2"/>
  <c r="CD117" i="2"/>
  <c r="CD68" i="2"/>
  <c r="CD124" i="2"/>
  <c r="CD19" i="2"/>
  <c r="CD185" i="2"/>
  <c r="CD94" i="2"/>
  <c r="CD189" i="2"/>
  <c r="CD164" i="2"/>
  <c r="CD170" i="2"/>
  <c r="CD108" i="2"/>
  <c r="CD145" i="2"/>
  <c r="CD172" i="2"/>
  <c r="CD198" i="2"/>
  <c r="CD160" i="2"/>
  <c r="CD33" i="2"/>
  <c r="CD166" i="2"/>
  <c r="CD126" i="2"/>
  <c r="CD138" i="2"/>
  <c r="CD63" i="2"/>
  <c r="CD181" i="2"/>
  <c r="CD168" i="2"/>
  <c r="CD51" i="2"/>
  <c r="CD22" i="2"/>
  <c r="CD69" i="2"/>
  <c r="CD82" i="2"/>
  <c r="CD70" i="2"/>
  <c r="CD154" i="2"/>
  <c r="CD6" i="2"/>
  <c r="CD156" i="2"/>
  <c r="CD31" i="2"/>
  <c r="CD34" i="2"/>
  <c r="CD143" i="2"/>
  <c r="CD150" i="2"/>
  <c r="CD101" i="2"/>
  <c r="CD29" i="2"/>
  <c r="CD53" i="2"/>
  <c r="CD99" i="2"/>
  <c r="CD149" i="2"/>
  <c r="CD87" i="2"/>
  <c r="CD90" i="2"/>
  <c r="CD125" i="2"/>
  <c r="CD118" i="2"/>
  <c r="CD52" i="2"/>
  <c r="CD165" i="2"/>
  <c r="CD3" i="2"/>
  <c r="C9" i="4" s="1"/>
  <c r="E9" i="4" s="1"/>
  <c r="F9" i="4" s="1"/>
  <c r="CD48" i="2"/>
  <c r="CD136" i="2"/>
  <c r="CD197" i="2"/>
  <c r="CD142" i="2"/>
  <c r="CD175" i="2"/>
  <c r="CD162" i="2"/>
  <c r="CD45" i="2"/>
  <c r="CD130" i="2"/>
  <c r="CD97" i="2"/>
  <c r="CD41" i="2"/>
  <c r="CD14" i="2"/>
  <c r="CD110" i="2"/>
  <c r="CD64" i="2"/>
  <c r="CD23" i="2"/>
  <c r="CD58" i="2"/>
  <c r="CD133" i="2"/>
  <c r="CD129" i="2"/>
  <c r="CD186" i="2"/>
  <c r="CD116" i="2"/>
  <c r="CD74" i="2"/>
  <c r="CD158" i="2"/>
  <c r="CD42" i="2"/>
  <c r="CD72" i="2"/>
  <c r="CD26" i="2"/>
  <c r="CD193" i="2"/>
  <c r="CD88" i="2"/>
  <c r="CD11" i="2"/>
  <c r="CD83" i="2"/>
  <c r="CD57" i="2"/>
  <c r="CD131" i="2"/>
  <c r="CD32" i="2"/>
  <c r="CD171" i="2"/>
  <c r="CD92" i="2"/>
  <c r="CD47" i="2"/>
  <c r="CD132" i="2"/>
  <c r="CD123" i="2"/>
  <c r="CD65" i="2"/>
  <c r="CD159" i="2"/>
  <c r="CD104" i="2"/>
  <c r="CD93" i="2"/>
  <c r="CD67" i="2"/>
  <c r="CD163" i="2"/>
  <c r="CD54" i="2"/>
  <c r="CD107" i="2"/>
  <c r="CD137" i="2"/>
  <c r="CD201" i="2"/>
  <c r="CD66" i="2"/>
  <c r="CD140" i="2"/>
  <c r="CD77" i="2"/>
  <c r="CD190" i="2"/>
  <c r="CD80" i="2"/>
  <c r="CD111" i="2"/>
  <c r="CD176" i="2"/>
  <c r="CD56" i="2"/>
  <c r="CD15" i="2"/>
  <c r="CD49" i="2"/>
  <c r="CD144" i="2"/>
  <c r="CD174" i="2"/>
  <c r="CD146" i="2"/>
  <c r="CA124" i="2"/>
  <c r="CB124" i="2" s="1"/>
  <c r="CC124" i="2" s="1"/>
  <c r="BZ125" i="2"/>
  <c r="BY126" i="2"/>
  <c r="G9" i="4" l="1"/>
  <c r="F16" i="4"/>
  <c r="CA125" i="2"/>
  <c r="CB125" i="2" s="1"/>
  <c r="CC125" i="2" s="1"/>
  <c r="BZ126" i="2"/>
  <c r="BY127" i="2"/>
  <c r="L9" i="4" l="1"/>
  <c r="L16" i="4" s="1"/>
  <c r="G16" i="4"/>
  <c r="BZ127" i="2"/>
  <c r="BY128" i="2"/>
  <c r="CA126" i="2"/>
  <c r="CB126" i="2" s="1"/>
  <c r="CC126" i="2" s="1"/>
  <c r="BZ128" i="2" l="1"/>
  <c r="BY129" i="2"/>
  <c r="CA127" i="2"/>
  <c r="CB127" i="2" s="1"/>
  <c r="CC127" i="2" s="1"/>
  <c r="BZ129" i="2" l="1"/>
  <c r="BY130" i="2"/>
  <c r="CA128" i="2"/>
  <c r="CB128" i="2" s="1"/>
  <c r="CC128" i="2" s="1"/>
  <c r="BY131" i="2" l="1"/>
  <c r="BZ130" i="2"/>
  <c r="CA129" i="2"/>
  <c r="CB129" i="2" s="1"/>
  <c r="CC129" i="2" s="1"/>
  <c r="CA130" i="2" l="1"/>
  <c r="CB130" i="2" s="1"/>
  <c r="CC130" i="2" s="1"/>
  <c r="BZ131" i="2"/>
  <c r="BY132" i="2"/>
  <c r="CA131" i="2" l="1"/>
  <c r="CB131" i="2" s="1"/>
  <c r="CC131" i="2" s="1"/>
  <c r="BY133" i="2"/>
  <c r="BZ132" i="2"/>
  <c r="CA132" i="2" l="1"/>
  <c r="CB132" i="2" s="1"/>
  <c r="CC132" i="2" s="1"/>
  <c r="BZ133" i="2"/>
  <c r="BY134" i="2"/>
  <c r="BZ134" i="2" l="1"/>
  <c r="BY135" i="2"/>
  <c r="CA133" i="2"/>
  <c r="CB133" i="2" s="1"/>
  <c r="CC133" i="2" s="1"/>
  <c r="BZ135" i="2" l="1"/>
  <c r="BY136" i="2"/>
  <c r="CA134" i="2"/>
  <c r="CB134" i="2" s="1"/>
  <c r="CC134" i="2" s="1"/>
  <c r="BZ136" i="2" l="1"/>
  <c r="BY137" i="2"/>
  <c r="CA135" i="2"/>
  <c r="CB135" i="2" s="1"/>
  <c r="CC135" i="2" s="1"/>
  <c r="BZ137" i="2" l="1"/>
  <c r="BY138" i="2"/>
  <c r="CA136" i="2"/>
  <c r="CB136" i="2" s="1"/>
  <c r="CC136" i="2" s="1"/>
  <c r="BY139" i="2" l="1"/>
  <c r="BZ138" i="2"/>
  <c r="CA137" i="2"/>
  <c r="CB137" i="2" s="1"/>
  <c r="CC137" i="2" s="1"/>
  <c r="CA138" i="2" l="1"/>
  <c r="CB138" i="2" s="1"/>
  <c r="CC138" i="2" s="1"/>
  <c r="BZ139" i="2"/>
  <c r="BY140" i="2"/>
  <c r="BY141" i="2" l="1"/>
  <c r="BZ140" i="2"/>
  <c r="CA139" i="2"/>
  <c r="CB139" i="2" s="1"/>
  <c r="CC139" i="2" s="1"/>
  <c r="CA140" i="2" l="1"/>
  <c r="CB140" i="2" s="1"/>
  <c r="CC140" i="2" s="1"/>
  <c r="BZ141" i="2"/>
  <c r="BY142" i="2"/>
  <c r="BZ142" i="2" l="1"/>
  <c r="BY143" i="2"/>
  <c r="CA141" i="2"/>
  <c r="CB141" i="2" s="1"/>
  <c r="CC141" i="2" s="1"/>
  <c r="BZ143" i="2" l="1"/>
  <c r="BY144" i="2"/>
  <c r="CA142" i="2"/>
  <c r="CB142" i="2" s="1"/>
  <c r="CC142" i="2" s="1"/>
  <c r="BZ144" i="2" l="1"/>
  <c r="BY145" i="2"/>
  <c r="CA143" i="2"/>
  <c r="CB143" i="2" s="1"/>
  <c r="CC143" i="2" s="1"/>
  <c r="BZ145" i="2" l="1"/>
  <c r="BY146" i="2"/>
  <c r="CA144" i="2"/>
  <c r="CB144" i="2" s="1"/>
  <c r="CC144" i="2" s="1"/>
  <c r="BY147" i="2" l="1"/>
  <c r="BZ146" i="2"/>
  <c r="CA145" i="2"/>
  <c r="CB145" i="2" s="1"/>
  <c r="CC145" i="2" s="1"/>
  <c r="CA146" i="2" l="1"/>
  <c r="CB146" i="2" s="1"/>
  <c r="CC146" i="2" s="1"/>
  <c r="BZ147" i="2"/>
  <c r="BY148" i="2"/>
  <c r="BY149" i="2" l="1"/>
  <c r="BZ148" i="2"/>
  <c r="CA147" i="2"/>
  <c r="CB147" i="2" s="1"/>
  <c r="CC147" i="2" s="1"/>
  <c r="CA148" i="2" l="1"/>
  <c r="CB148" i="2" s="1"/>
  <c r="CC148" i="2" s="1"/>
  <c r="BZ149" i="2"/>
  <c r="BY150" i="2"/>
  <c r="CA149" i="2" l="1"/>
  <c r="CB149" i="2" s="1"/>
  <c r="CC149" i="2" s="1"/>
  <c r="BZ150" i="2"/>
  <c r="BY151" i="2"/>
  <c r="CA150" i="2" l="1"/>
  <c r="CB150" i="2" s="1"/>
  <c r="CC150" i="2" s="1"/>
  <c r="BZ151" i="2"/>
  <c r="BY152" i="2"/>
  <c r="BZ152" i="2" l="1"/>
  <c r="BY153" i="2"/>
  <c r="CA151" i="2"/>
  <c r="CB151" i="2" s="1"/>
  <c r="CC151" i="2" s="1"/>
  <c r="BZ153" i="2" l="1"/>
  <c r="BY154" i="2"/>
  <c r="CA152" i="2"/>
  <c r="CB152" i="2" s="1"/>
  <c r="CC152" i="2" s="1"/>
  <c r="BY155" i="2" l="1"/>
  <c r="BZ154" i="2"/>
  <c r="CA153" i="2"/>
  <c r="CB153" i="2" s="1"/>
  <c r="CC153" i="2" s="1"/>
  <c r="CA154" i="2" l="1"/>
  <c r="CB154" i="2" s="1"/>
  <c r="CC154" i="2" s="1"/>
  <c r="BZ155" i="2"/>
  <c r="BY156" i="2"/>
  <c r="BY157" i="2" l="1"/>
  <c r="BZ156" i="2"/>
  <c r="CA155" i="2"/>
  <c r="CB155" i="2" s="1"/>
  <c r="CC155" i="2" s="1"/>
  <c r="CA156" i="2" l="1"/>
  <c r="CB156" i="2" s="1"/>
  <c r="CC156" i="2" s="1"/>
  <c r="BZ157" i="2"/>
  <c r="BY158" i="2"/>
  <c r="BZ158" i="2" l="1"/>
  <c r="BY159" i="2"/>
  <c r="CA157" i="2"/>
  <c r="CB157" i="2" s="1"/>
  <c r="CC157" i="2" s="1"/>
  <c r="BZ159" i="2" l="1"/>
  <c r="BY160" i="2"/>
  <c r="CA158" i="2"/>
  <c r="CB158" i="2" s="1"/>
  <c r="CC158" i="2" s="1"/>
  <c r="BZ160" i="2" l="1"/>
  <c r="BY161" i="2"/>
  <c r="CA159" i="2"/>
  <c r="CB159" i="2" s="1"/>
  <c r="CC159" i="2" s="1"/>
  <c r="BZ161" i="2" l="1"/>
  <c r="BY162" i="2"/>
  <c r="CA160" i="2"/>
  <c r="CB160" i="2" s="1"/>
  <c r="CC160" i="2" s="1"/>
  <c r="BZ162" i="2" l="1"/>
  <c r="BY163" i="2"/>
  <c r="CA161" i="2"/>
  <c r="CB161" i="2" s="1"/>
  <c r="CC161" i="2" s="1"/>
  <c r="BZ163" i="2" l="1"/>
  <c r="BY164" i="2"/>
  <c r="CA162" i="2"/>
  <c r="CB162" i="2" s="1"/>
  <c r="CC162" i="2" s="1"/>
  <c r="BY165" i="2" l="1"/>
  <c r="BZ164" i="2"/>
  <c r="CA163" i="2"/>
  <c r="CB163" i="2" s="1"/>
  <c r="CC163" i="2" s="1"/>
  <c r="CA164" i="2" l="1"/>
  <c r="CB164" i="2" s="1"/>
  <c r="CC164" i="2" s="1"/>
  <c r="BZ165" i="2"/>
  <c r="BY166" i="2"/>
  <c r="BZ166" i="2" l="1"/>
  <c r="BY167" i="2"/>
  <c r="CA165" i="2"/>
  <c r="CB165" i="2" s="1"/>
  <c r="CC165" i="2" s="1"/>
  <c r="BZ167" i="2" l="1"/>
  <c r="BY168" i="2"/>
  <c r="CA166" i="2"/>
  <c r="CB166" i="2" s="1"/>
  <c r="CC166" i="2" s="1"/>
  <c r="BZ168" i="2" l="1"/>
  <c r="BY169" i="2"/>
  <c r="CA167" i="2"/>
  <c r="CB167" i="2" s="1"/>
  <c r="CC167" i="2" s="1"/>
  <c r="BZ169" i="2" l="1"/>
  <c r="BY170" i="2"/>
  <c r="CA168" i="2"/>
  <c r="CB168" i="2" s="1"/>
  <c r="CC168" i="2" s="1"/>
  <c r="BZ170" i="2" l="1"/>
  <c r="BY171" i="2"/>
  <c r="CA169" i="2"/>
  <c r="CB169" i="2" s="1"/>
  <c r="CC169" i="2" s="1"/>
  <c r="BZ171" i="2" l="1"/>
  <c r="BY172" i="2"/>
  <c r="CA170" i="2"/>
  <c r="CB170" i="2" s="1"/>
  <c r="CC170" i="2" s="1"/>
  <c r="BY173" i="2" l="1"/>
  <c r="BZ172" i="2"/>
  <c r="CA171" i="2"/>
  <c r="CB171" i="2" s="1"/>
  <c r="CC171" i="2" s="1"/>
  <c r="CA172" i="2" l="1"/>
  <c r="CB172" i="2" s="1"/>
  <c r="CC172" i="2" s="1"/>
  <c r="BZ173" i="2"/>
  <c r="BY174" i="2"/>
  <c r="BZ174" i="2" l="1"/>
  <c r="BY175" i="2"/>
  <c r="CA173" i="2"/>
  <c r="CB173" i="2" s="1"/>
  <c r="CC173" i="2" s="1"/>
  <c r="BZ175" i="2" l="1"/>
  <c r="BY176" i="2"/>
  <c r="CA174" i="2"/>
  <c r="CB174" i="2" s="1"/>
  <c r="CC174" i="2" s="1"/>
  <c r="BZ176" i="2" l="1"/>
  <c r="BY177" i="2"/>
  <c r="CA175" i="2"/>
  <c r="CB175" i="2" s="1"/>
  <c r="CC175" i="2" s="1"/>
  <c r="BZ177" i="2" l="1"/>
  <c r="BY178" i="2"/>
  <c r="CA176" i="2"/>
  <c r="CB176" i="2" s="1"/>
  <c r="CC176" i="2" s="1"/>
  <c r="BZ178" i="2" l="1"/>
  <c r="BY179" i="2"/>
  <c r="CA177" i="2"/>
  <c r="CB177" i="2" s="1"/>
  <c r="CC177" i="2" s="1"/>
  <c r="BZ179" i="2" l="1"/>
  <c r="BY180" i="2"/>
  <c r="CA178" i="2"/>
  <c r="CB178" i="2" s="1"/>
  <c r="CC178" i="2" s="1"/>
  <c r="BY181" i="2" l="1"/>
  <c r="BZ180" i="2"/>
  <c r="CA179" i="2"/>
  <c r="CB179" i="2" s="1"/>
  <c r="CC179" i="2" s="1"/>
  <c r="CA180" i="2" l="1"/>
  <c r="CB180" i="2" s="1"/>
  <c r="CC180" i="2" s="1"/>
  <c r="BZ181" i="2"/>
  <c r="BY182" i="2"/>
  <c r="BZ182" i="2" l="1"/>
  <c r="BY183" i="2"/>
  <c r="CA181" i="2"/>
  <c r="CB181" i="2" s="1"/>
  <c r="CC181" i="2" s="1"/>
  <c r="BZ183" i="2" l="1"/>
  <c r="BY184" i="2"/>
  <c r="CA182" i="2"/>
  <c r="CB182" i="2" s="1"/>
  <c r="CC182" i="2" s="1"/>
  <c r="BZ184" i="2" l="1"/>
  <c r="BY185" i="2"/>
  <c r="CA183" i="2"/>
  <c r="CB183" i="2" s="1"/>
  <c r="CC183" i="2" s="1"/>
  <c r="BZ185" i="2" l="1"/>
  <c r="BY186" i="2"/>
  <c r="CA184" i="2"/>
  <c r="CB184" i="2" s="1"/>
  <c r="CC184" i="2" s="1"/>
  <c r="BZ186" i="2" l="1"/>
  <c r="BY187" i="2"/>
  <c r="CA185" i="2"/>
  <c r="CB185" i="2" s="1"/>
  <c r="CC185" i="2" s="1"/>
  <c r="BZ187" i="2" l="1"/>
  <c r="BY188" i="2"/>
  <c r="CA186" i="2"/>
  <c r="CB186" i="2" s="1"/>
  <c r="CC186" i="2" s="1"/>
  <c r="BZ188" i="2" l="1"/>
  <c r="BY189" i="2"/>
  <c r="CA187" i="2"/>
  <c r="CB187" i="2" s="1"/>
  <c r="CC187" i="2" s="1"/>
  <c r="BZ189" i="2" l="1"/>
  <c r="BY190" i="2"/>
  <c r="CA188" i="2"/>
  <c r="CB188" i="2" s="1"/>
  <c r="CC188" i="2" s="1"/>
  <c r="BZ190" i="2" l="1"/>
  <c r="BY191" i="2"/>
  <c r="CA189" i="2"/>
  <c r="CB189" i="2" s="1"/>
  <c r="CC189" i="2" s="1"/>
  <c r="BZ191" i="2" l="1"/>
  <c r="BY192" i="2"/>
  <c r="CA190" i="2"/>
  <c r="CB190" i="2" s="1"/>
  <c r="CC190" i="2" s="1"/>
  <c r="BZ192" i="2" l="1"/>
  <c r="BY193" i="2"/>
  <c r="CA191" i="2"/>
  <c r="CB191" i="2" s="1"/>
  <c r="CC191" i="2" s="1"/>
  <c r="BZ193" i="2" l="1"/>
  <c r="BY194" i="2"/>
  <c r="CA192" i="2"/>
  <c r="CB192" i="2" s="1"/>
  <c r="CC192" i="2" s="1"/>
  <c r="BZ194" i="2" l="1"/>
  <c r="BY195" i="2"/>
  <c r="CA193" i="2"/>
  <c r="CB193" i="2" s="1"/>
  <c r="CC193" i="2" s="1"/>
  <c r="BZ195" i="2" l="1"/>
  <c r="BY196" i="2"/>
  <c r="CA194" i="2"/>
  <c r="CB194" i="2" s="1"/>
  <c r="CC194" i="2" s="1"/>
  <c r="BZ196" i="2" l="1"/>
  <c r="BY197" i="2"/>
  <c r="CA195" i="2"/>
  <c r="CB195" i="2" s="1"/>
  <c r="CC195" i="2" s="1"/>
  <c r="BZ197" i="2" l="1"/>
  <c r="BY198" i="2"/>
  <c r="CA196" i="2"/>
  <c r="CB196" i="2" s="1"/>
  <c r="CC196" i="2" s="1"/>
  <c r="BZ198" i="2" l="1"/>
  <c r="BY199" i="2"/>
  <c r="CA197" i="2"/>
  <c r="CB197" i="2" s="1"/>
  <c r="CC197" i="2" s="1"/>
  <c r="BZ199" i="2" l="1"/>
  <c r="BY200" i="2"/>
  <c r="CA198" i="2"/>
  <c r="CB198" i="2" s="1"/>
  <c r="CC198" i="2" s="1"/>
  <c r="BZ200" i="2" l="1"/>
  <c r="BY201" i="2"/>
  <c r="CA199" i="2"/>
  <c r="CB199" i="2" s="1"/>
  <c r="CC199" i="2" s="1"/>
  <c r="BZ201" i="2" l="1"/>
  <c r="BY202" i="2"/>
  <c r="CA200" i="2"/>
  <c r="CB200" i="2" s="1"/>
  <c r="CC200" i="2" s="1"/>
  <c r="BY203" i="2" l="1"/>
  <c r="BZ203" i="2" s="1"/>
  <c r="BZ202" i="2"/>
  <c r="CA201" i="2"/>
  <c r="CB201" i="2" s="1"/>
  <c r="CC201" i="2" s="1"/>
  <c r="CA202" i="2" l="1"/>
  <c r="CB202" i="2" s="1"/>
  <c r="CC202" i="2" s="1"/>
  <c r="CA203" i="2"/>
  <c r="CB203" i="2" s="1"/>
  <c r="CC203" i="2" s="1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<sst xmlns="http://schemas.openxmlformats.org/spreadsheetml/2006/main" count="1176" uniqueCount="324">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</sst>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2.0078204006093454</c:v>
                </c:pt>
                <c:pt idx="2">
                  <c:v>2.599584462434867</c:v>
                </c:pt>
                <c:pt idx="3">
                  <c:v>3.3664668410228042</c:v>
                </c:pt>
                <c:pt idx="4">
                  <c:v>4.3604872386698723</c:v>
                </c:pt>
                <c:pt idx="5">
                  <c:v>5.6491730114405536</c:v>
                </c:pt>
                <c:pt idx="6">
                  <c:v>7.3201973988275313</c:v>
                </c:pt>
                <c:pt idx="7">
                  <c:v>9.4874092176840534</c:v>
                </c:pt>
                <c:pt idx="8">
                  <c:v>12.298672614544188</c:v>
                </c:pt>
                <c:pt idx="9">
                  <c:v>15.946061713233563</c:v>
                </c:pt>
                <c:pt idx="10">
                  <c:v>20.679119397466433</c:v>
                </c:pt>
                <c:pt idx="11">
                  <c:v>26.822103589400299</c:v>
                </c:pt>
                <c:pt idx="12">
                  <c:v>34.796423290800711</c:v>
                </c:pt>
                <c:pt idx="13">
                  <c:v>46.234119941610061</c:v>
                </c:pt>
                <c:pt idx="14">
                  <c:v>57.595727469096431</c:v>
                </c:pt>
                <c:pt idx="15">
                  <c:v>68.898503230689343</c:v>
                </c:pt>
                <c:pt idx="16">
                  <c:v>80.153509810179131</c:v>
                </c:pt>
                <c:pt idx="17">
                  <c:v>82.795684713351179</c:v>
                </c:pt>
                <c:pt idx="18">
                  <c:v>95.976042454744359</c:v>
                </c:pt>
                <c:pt idx="19">
                  <c:v>109.11127889310849</c:v>
                </c:pt>
                <c:pt idx="20">
                  <c:v>122.20760219903367</c:v>
                </c:pt>
                <c:pt idx="21">
                  <c:v>118.28248521778211</c:v>
                </c:pt>
                <c:pt idx="22">
                  <c:v>132.65988081821206</c:v>
                </c:pt>
                <c:pt idx="23">
                  <c:v>146.99966348541213</c:v>
                </c:pt>
                <c:pt idx="24">
                  <c:v>161.30602268756169</c:v>
                </c:pt>
                <c:pt idx="25">
                  <c:v>149.92856259907052</c:v>
                </c:pt>
                <c:pt idx="26">
                  <c:v>164.55317012699555</c:v>
                </c:pt>
                <c:pt idx="27">
                  <c:v>179.14706633212708</c:v>
                </c:pt>
                <c:pt idx="28">
                  <c:v>193.71310674706146</c:v>
                </c:pt>
                <c:pt idx="29">
                  <c:v>179.0390690118401</c:v>
                </c:pt>
                <c:pt idx="30">
                  <c:v>194.14429388357817</c:v>
                </c:pt>
                <c:pt idx="31">
                  <c:v>209.22219955438302</c:v>
                </c:pt>
                <c:pt idx="32">
                  <c:v>224.27503265620331</c:v>
                </c:pt>
                <c:pt idx="33">
                  <c:v>239.30471336312061</c:v>
                </c:pt>
                <c:pt idx="34">
                  <c:v>254.31290079767018</c:v>
                </c:pt>
                <c:pt idx="35">
                  <c:v>218.25677877090325</c:v>
                </c:pt>
                <c:pt idx="36">
                  <c:v>231.14851118928985</c:v>
                </c:pt>
                <c:pt idx="37">
                  <c:v>244.02381613322609</c:v>
                </c:pt>
                <c:pt idx="38">
                  <c:v>256.88368281077408</c:v>
                </c:pt>
                <c:pt idx="39">
                  <c:v>269.728993242081</c:v>
                </c:pt>
                <c:pt idx="40">
                  <c:v>282.5605385349478</c:v>
                </c:pt>
                <c:pt idx="41">
                  <c:v>252.17013304454611</c:v>
                </c:pt>
                <c:pt idx="42">
                  <c:v>261.59527644833923</c:v>
                </c:pt>
                <c:pt idx="43">
                  <c:v>271.01275486164383</c:v>
                </c:pt>
                <c:pt idx="44">
                  <c:v>280.42287240988907</c:v>
                </c:pt>
                <c:pt idx="45">
                  <c:v>289.82591112395897</c:v>
                </c:pt>
                <c:pt idx="46">
                  <c:v>299.2221332257389</c:v>
                </c:pt>
                <c:pt idx="47">
                  <c:v>276.3068331591748</c:v>
                </c:pt>
                <c:pt idx="48">
                  <c:v>282.88115712017401</c:v>
                </c:pt>
                <c:pt idx="49">
                  <c:v>289.45205847098617</c:v>
                </c:pt>
                <c:pt idx="50">
                  <c:v>296.01962596813172</c:v>
                </c:pt>
                <c:pt idx="51">
                  <c:v>302.58394410348018</c:v>
                </c:pt>
                <c:pt idx="52">
                  <c:v>309.14509339930686</c:v>
                </c:pt>
                <c:pt idx="53">
                  <c:v>315.70315067697044</c:v>
                </c:pt>
                <c:pt idx="54">
                  <c:v>322.25818930207646</c:v>
                </c:pt>
                <c:pt idx="55">
                  <c:v>296.82032489091381</c:v>
                </c:pt>
                <c:pt idx="56">
                  <c:v>299.54234179499872</c:v>
                </c:pt>
                <c:pt idx="57">
                  <c:v>302.26380761935292</c:v>
                </c:pt>
                <c:pt idx="58">
                  <c:v>304.98472803598753</c:v>
                </c:pt>
                <c:pt idx="59">
                  <c:v>307.70510860725182</c:v>
                </c:pt>
                <c:pt idx="60">
                  <c:v>310.4249547889259</c:v>
                </c:pt>
                <c:pt idx="61">
                  <c:v>313.1442719332012</c:v>
                </c:pt>
                <c:pt idx="62">
                  <c:v>315.8630652915503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182.10072116599244</c:v>
                </c:pt>
                <c:pt idx="22">
                  <c:v>204.40159586063615</c:v>
                </c:pt>
                <c:pt idx="23">
                  <c:v>226.64617327952342</c:v>
                </c:pt>
                <c:pt idx="24">
                  <c:v>248.84075611692765</c:v>
                </c:pt>
                <c:pt idx="25">
                  <c:v>270.99042974399362</c:v>
                </c:pt>
                <c:pt idx="26">
                  <c:v>293.09937981445825</c:v>
                </c:pt>
                <c:pt idx="27">
                  <c:v>315.17110877697831</c:v>
                </c:pt>
                <c:pt idx="28">
                  <c:v>337.20858844808726</c:v>
                </c:pt>
                <c:pt idx="29">
                  <c:v>359.21437055941556</c:v>
                </c:pt>
                <c:pt idx="30">
                  <c:v>381.1906687730571</c:v>
                </c:pt>
                <c:pt idx="31">
                  <c:v>261.79785034899129</c:v>
                </c:pt>
                <c:pt idx="32">
                  <c:v>280.73815459645317</c:v>
                </c:pt>
                <c:pt idx="33">
                  <c:v>299.64981878720499</c:v>
                </c:pt>
                <c:pt idx="34">
                  <c:v>318.53490425391584</c:v>
                </c:pt>
                <c:pt idx="35">
                  <c:v>337.39520795625043</c:v>
                </c:pt>
                <c:pt idx="36">
                  <c:v>356.23230957994474</c:v>
                </c:pt>
                <c:pt idx="37">
                  <c:v>375.04760814704065</c:v>
                </c:pt>
                <c:pt idx="38">
                  <c:v>393.84235089269197</c:v>
                </c:pt>
                <c:pt idx="39">
                  <c:v>412.61765634058537</c:v>
                </c:pt>
                <c:pt idx="40">
                  <c:v>431.37453295867743</c:v>
                </c:pt>
                <c:pt idx="41">
                  <c:v>318.16118821698825</c:v>
                </c:pt>
                <c:pt idx="42">
                  <c:v>333.47571872180367</c:v>
                </c:pt>
                <c:pt idx="43">
                  <c:v>348.77475306916625</c:v>
                </c:pt>
                <c:pt idx="44">
                  <c:v>364.05906664989811</c:v>
                </c:pt>
                <c:pt idx="45">
                  <c:v>379.32936443758246</c:v>
                </c:pt>
                <c:pt idx="46">
                  <c:v>394.58629002009144</c:v>
                </c:pt>
                <c:pt idx="47">
                  <c:v>409.83043316117727</c:v>
                </c:pt>
                <c:pt idx="48">
                  <c:v>425.06233617824199</c:v>
                </c:pt>
                <c:pt idx="49">
                  <c:v>440.28249935825096</c:v>
                </c:pt>
                <c:pt idx="50">
                  <c:v>455.49138558575515</c:v>
                </c:pt>
                <c:pt idx="51">
                  <c:v>357.72340809979374</c:v>
                </c:pt>
                <c:pt idx="52">
                  <c:v>369.64735159591163</c:v>
                </c:pt>
                <c:pt idx="53">
                  <c:v>381.56290588111841</c:v>
                </c:pt>
                <c:pt idx="54">
                  <c:v>393.47036990588686</c:v>
                </c:pt>
                <c:pt idx="55">
                  <c:v>405.37002304691237</c:v>
                </c:pt>
                <c:pt idx="56">
                  <c:v>417.26212693788676</c:v>
                </c:pt>
                <c:pt idx="57">
                  <c:v>429.14692708065195</c:v>
                </c:pt>
                <c:pt idx="58">
                  <c:v>441.02465426855321</c:v>
                </c:pt>
                <c:pt idx="59">
                  <c:v>452.89552584845791</c:v>
                </c:pt>
                <c:pt idx="60">
                  <c:v>464.75974684355998</c:v>
                </c:pt>
                <c:pt idx="61">
                  <c:v>386.58733728708853</c:v>
                </c:pt>
                <c:pt idx="62">
                  <c:v>395.70214171866638</c:v>
                </c:pt>
                <c:pt idx="63">
                  <c:v>404.81239742338335</c:v>
                </c:pt>
                <c:pt idx="64">
                  <c:v>413.91822125259881</c:v>
                </c:pt>
                <c:pt idx="65">
                  <c:v>423.01972449465944</c:v>
                </c:pt>
                <c:pt idx="66">
                  <c:v>432.11701325632816</c:v>
                </c:pt>
                <c:pt idx="67">
                  <c:v>441.21018881041033</c:v>
                </c:pt>
                <c:pt idx="68">
                  <c:v>450.29934791321972</c:v>
                </c:pt>
                <c:pt idx="69">
                  <c:v>459.38458309507399</c:v>
                </c:pt>
                <c:pt idx="70">
                  <c:v>468.46598292660593</c:v>
                </c:pt>
                <c:pt idx="71">
                  <c:v>406.67108505050049</c:v>
                </c:pt>
                <c:pt idx="72">
                  <c:v>413.54664028818587</c:v>
                </c:pt>
                <c:pt idx="73">
                  <c:v>420.41972959273056</c:v>
                </c:pt>
                <c:pt idx="74">
                  <c:v>427.29039899318792</c:v>
                </c:pt>
                <c:pt idx="75">
                  <c:v>434.1586929165548</c:v>
                </c:pt>
                <c:pt idx="76">
                  <c:v>441.02465426855321</c:v>
                </c:pt>
                <c:pt idx="77">
                  <c:v>447.88832450911667</c:v>
                </c:pt>
                <c:pt idx="78">
                  <c:v>454.74974372300727</c:v>
                </c:pt>
                <c:pt idx="79">
                  <c:v>461.60895068594567</c:v>
                </c:pt>
                <c:pt idx="80">
                  <c:v>468.4659829266057</c:v>
                </c:pt>
                <c:pt idx="81">
                  <c:v>421.90548322992339</c:v>
                </c:pt>
                <c:pt idx="82">
                  <c:v>427.29039899318786</c:v>
                </c:pt>
                <c:pt idx="83">
                  <c:v>432.67385549047032</c:v>
                </c:pt>
                <c:pt idx="84">
                  <c:v>438.05587345614805</c:v>
                </c:pt>
                <c:pt idx="85">
                  <c:v>443.43647307310084</c:v>
                </c:pt>
                <c:pt idx="86">
                  <c:v>448.81567399404236</c:v>
                </c:pt>
                <c:pt idx="87">
                  <c:v>454.19349536177742</c:v>
                </c:pt>
                <c:pt idx="88">
                  <c:v>459.56995582844655</c:v>
                </c:pt>
                <c:pt idx="89">
                  <c:v>464.94507357382491</c:v>
                </c:pt>
                <c:pt idx="90">
                  <c:v>470.31886632272813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120.3398635014748</c:v>
                </c:pt>
                <c:pt idx="32">
                  <c:v>130.62330272297186</c:v>
                </c:pt>
                <c:pt idx="33">
                  <c:v>140.88717779906787</c:v>
                </c:pt>
                <c:pt idx="34">
                  <c:v>151.13311662743948</c:v>
                </c:pt>
                <c:pt idx="35">
                  <c:v>161.362507950626</c:v>
                </c:pt>
                <c:pt idx="36">
                  <c:v>171.57654976527132</c:v>
                </c:pt>
                <c:pt idx="37">
                  <c:v>181.77628557051801</c:v>
                </c:pt>
                <c:pt idx="38">
                  <c:v>191.96263203606017</c:v>
                </c:pt>
                <c:pt idx="39">
                  <c:v>202.13640047813922</c:v>
                </c:pt>
                <c:pt idx="40">
                  <c:v>212.29831377776441</c:v>
                </c:pt>
                <c:pt idx="41">
                  <c:v>167.64981910306696</c:v>
                </c:pt>
                <c:pt idx="42">
                  <c:v>175.89351283227518</c:v>
                </c:pt>
                <c:pt idx="43">
                  <c:v>184.12813820679631</c:v>
                </c:pt>
                <c:pt idx="44">
                  <c:v>192.35415851868379</c:v>
                </c:pt>
                <c:pt idx="45">
                  <c:v>200.57199414028261</c:v>
                </c:pt>
                <c:pt idx="46">
                  <c:v>208.78202813507107</c:v>
                </c:pt>
                <c:pt idx="47">
                  <c:v>216.98461093840612</c:v>
                </c:pt>
                <c:pt idx="48">
                  <c:v>225.18006429243303</c:v>
                </c:pt>
                <c:pt idx="49">
                  <c:v>233.36868457739783</c:v>
                </c:pt>
                <c:pt idx="50">
                  <c:v>241.55074565033269</c:v>
                </c:pt>
                <c:pt idx="51">
                  <c:v>224.98501498915451</c:v>
                </c:pt>
                <c:pt idx="52">
                  <c:v>235.70707416481414</c:v>
                </c:pt>
                <c:pt idx="53">
                  <c:v>246.41801095674421</c:v>
                </c:pt>
                <c:pt idx="54">
                  <c:v>257.11837729187437</c:v>
                </c:pt>
                <c:pt idx="55">
                  <c:v>267.80867537160833</c:v>
                </c:pt>
                <c:pt idx="56">
                  <c:v>278.48936400091276</c:v>
                </c:pt>
                <c:pt idx="57">
                  <c:v>289.16086389484911</c:v>
                </c:pt>
                <c:pt idx="58">
                  <c:v>299.82356216018115</c:v>
                </c:pt>
                <c:pt idx="59">
                  <c:v>310.47781610568074</c:v>
                </c:pt>
                <c:pt idx="60">
                  <c:v>321.1239565017508</c:v>
                </c:pt>
                <c:pt idx="61">
                  <c:v>276.93638995381076</c:v>
                </c:pt>
                <c:pt idx="62">
                  <c:v>287.0272799823066</c:v>
                </c:pt>
                <c:pt idx="63">
                  <c:v>297.11023564036316</c:v>
                </c:pt>
                <c:pt idx="64">
                  <c:v>307.18556432776859</c:v>
                </c:pt>
                <c:pt idx="65">
                  <c:v>317.25355162035777</c:v>
                </c:pt>
                <c:pt idx="66">
                  <c:v>327.31446347781906</c:v>
                </c:pt>
                <c:pt idx="67">
                  <c:v>337.36854816571093</c:v>
                </c:pt>
                <c:pt idx="68">
                  <c:v>347.41603793627519</c:v>
                </c:pt>
                <c:pt idx="69">
                  <c:v>357.45715050456164</c:v>
                </c:pt>
                <c:pt idx="70">
                  <c:v>367.49209034996011</c:v>
                </c:pt>
                <c:pt idx="71">
                  <c:v>322.67182868220272</c:v>
                </c:pt>
                <c:pt idx="72">
                  <c:v>331.95564418847289</c:v>
                </c:pt>
                <c:pt idx="73">
                  <c:v>341.23373557401311</c:v>
                </c:pt>
                <c:pt idx="74">
                  <c:v>350.5062805205319</c:v>
                </c:pt>
                <c:pt idx="75">
                  <c:v>359.77344653568463</c:v>
                </c:pt>
                <c:pt idx="76">
                  <c:v>369.03539178839696</c:v>
                </c:pt>
                <c:pt idx="77">
                  <c:v>378.29226585591255</c:v>
                </c:pt>
                <c:pt idx="78">
                  <c:v>387.54421039387506</c:v>
                </c:pt>
                <c:pt idx="79">
                  <c:v>396.7913597390571</c:v>
                </c:pt>
                <c:pt idx="80">
                  <c:v>406.03384145295377</c:v>
                </c:pt>
                <c:pt idx="81">
                  <c:v>360.35246947227614</c:v>
                </c:pt>
                <c:pt idx="82">
                  <c:v>368.64957965965027</c:v>
                </c:pt>
                <c:pt idx="83">
                  <c:v>376.942615366599</c:v>
                </c:pt>
                <c:pt idx="84">
                  <c:v>385.23167893646331</c:v>
                </c:pt>
                <c:pt idx="85">
                  <c:v>393.5168679461363</c:v>
                </c:pt>
                <c:pt idx="86">
                  <c:v>401.79827552592519</c:v>
                </c:pt>
                <c:pt idx="87">
                  <c:v>410.075990651658</c:v>
                </c:pt>
                <c:pt idx="88">
                  <c:v>418.35009841196319</c:v>
                </c:pt>
                <c:pt idx="89">
                  <c:v>426.62068025329614</c:v>
                </c:pt>
                <c:pt idx="90">
                  <c:v>434.88781420496679</c:v>
                </c:pt>
                <c:pt idx="91">
                  <c:v>388.12229635555474</c:v>
                </c:pt>
                <c:pt idx="92">
                  <c:v>395.25049568724353</c:v>
                </c:pt>
                <c:pt idx="93">
                  <c:v>402.37590934902966</c:v>
                </c:pt>
                <c:pt idx="94">
                  <c:v>409.49859366550317</c:v>
                </c:pt>
                <c:pt idx="95">
                  <c:v>416.61860284059554</c:v>
                </c:pt>
                <c:pt idx="96">
                  <c:v>423.73598907310151</c:v>
                </c:pt>
                <c:pt idx="97">
                  <c:v>430.8508026640298</c:v>
                </c:pt>
                <c:pt idx="98">
                  <c:v>437.96309211649094</c:v>
                </c:pt>
                <c:pt idx="99">
                  <c:v>445.0729042287557</c:v>
                </c:pt>
                <c:pt idx="100">
                  <c:v>452.18028418105399</c:v>
                </c:pt>
                <c:pt idx="101">
                  <c:v>404.30122601025573</c:v>
                </c:pt>
                <c:pt idx="102">
                  <c:v>410.26845241067696</c:v>
                </c:pt>
                <c:pt idx="103">
                  <c:v>416.23380499861582</c:v>
                </c:pt>
                <c:pt idx="104">
                  <c:v>422.19731444089234</c:v>
                </c:pt>
                <c:pt idx="105">
                  <c:v>428.15901046658502</c:v>
                </c:pt>
                <c:pt idx="106">
                  <c:v>434.11892190865478</c:v>
                </c:pt>
                <c:pt idx="107">
                  <c:v>440.07707674316083</c:v>
                </c:pt>
                <c:pt idx="108">
                  <c:v>446.03350212624309</c:v>
                </c:pt>
                <c:pt idx="109">
                  <c:v>451.988224429024</c:v>
                </c:pt>
                <c:pt idx="110">
                  <c:v>457.94126927057499</c:v>
                </c:pt>
                <c:pt idx="111">
                  <c:v>411.42318205612014</c:v>
                </c:pt>
                <c:pt idx="112">
                  <c:v>416.81099888731978</c:v>
                </c:pt>
                <c:pt idx="113">
                  <c:v>422.19731444089234</c:v>
                </c:pt>
                <c:pt idx="114">
                  <c:v>427.58215058986394</c:v>
                </c:pt>
                <c:pt idx="115">
                  <c:v>432.96552861089231</c:v>
                </c:pt>
                <c:pt idx="116">
                  <c:v>438.34746920790491</c:v>
                </c:pt>
                <c:pt idx="117">
                  <c:v>443.72799253451655</c:v>
                </c:pt>
                <c:pt idx="118">
                  <c:v>449.10711821530089</c:v>
                </c:pt>
                <c:pt idx="119">
                  <c:v>454.48486536599057</c:v>
                </c:pt>
                <c:pt idx="120">
                  <c:v>459.86125261266949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128.41557453190208</c:v>
                </c:pt>
                <c:pt idx="32">
                  <c:v>139.39094880292336</c:v>
                </c:pt>
                <c:pt idx="33">
                  <c:v>150.34557139672583</c:v>
                </c:pt>
                <c:pt idx="34">
                  <c:v>161.28116902339272</c:v>
                </c:pt>
                <c:pt idx="35">
                  <c:v>172.19921472129715</c:v>
                </c:pt>
                <c:pt idx="36">
                  <c:v>183.10097920475641</c:v>
                </c:pt>
                <c:pt idx="37">
                  <c:v>193.98756931268113</c:v>
                </c:pt>
                <c:pt idx="38">
                  <c:v>204.85995735606244</c:v>
                </c:pt>
                <c:pt idx="39">
                  <c:v>215.71900389754816</c:v>
                </c:pt>
                <c:pt idx="40">
                  <c:v>226.56547569658815</c:v>
                </c:pt>
                <c:pt idx="41">
                  <c:v>178.90984586312302</c:v>
                </c:pt>
                <c:pt idx="42">
                  <c:v>187.70863707245704</c:v>
                </c:pt>
                <c:pt idx="43">
                  <c:v>196.49780948344781</c:v>
                </c:pt>
                <c:pt idx="44">
                  <c:v>205.27785450969668</c:v>
                </c:pt>
                <c:pt idx="45">
                  <c:v>214.04921803989637</c:v>
                </c:pt>
                <c:pt idx="46">
                  <c:v>222.81230638924703</c:v>
                </c:pt>
                <c:pt idx="47">
                  <c:v>231.56749126432044</c:v>
                </c:pt>
                <c:pt idx="48">
                  <c:v>240.31511393681561</c:v>
                </c:pt>
                <c:pt idx="49">
                  <c:v>249.05548877708074</c:v>
                </c:pt>
                <c:pt idx="50">
                  <c:v>257.7889062651048</c:v>
                </c:pt>
                <c:pt idx="51">
                  <c:v>240.10692263363947</c:v>
                </c:pt>
                <c:pt idx="52">
                  <c:v>251.55144870004537</c:v>
                </c:pt>
                <c:pt idx="53">
                  <c:v>262.9841772607424</c:v>
                </c:pt>
                <c:pt idx="54">
                  <c:v>274.40569374429157</c:v>
                </c:pt>
                <c:pt idx="55">
                  <c:v>285.81653083541886</c:v>
                </c:pt>
                <c:pt idx="56">
                  <c:v>297.21717518827558</c:v>
                </c:pt>
                <c:pt idx="57">
                  <c:v>308.60807305507319</c:v>
                </c:pt>
                <c:pt idx="58">
                  <c:v>319.9896350397226</c:v>
                </c:pt>
                <c:pt idx="59">
                  <c:v>331.36224013942245</c:v>
                </c:pt>
                <c:pt idx="60">
                  <c:v>342.72623920213937</c:v>
                </c:pt>
                <c:pt idx="61">
                  <c:v>295.5595155545272</c:v>
                </c:pt>
                <c:pt idx="62">
                  <c:v>306.33065301274729</c:v>
                </c:pt>
                <c:pt idx="63">
                  <c:v>317.09337448903148</c:v>
                </c:pt>
                <c:pt idx="64">
                  <c:v>327.84800604214928</c:v>
                </c:pt>
                <c:pt idx="65">
                  <c:v>338.59485058221645</c:v>
                </c:pt>
                <c:pt idx="66">
                  <c:v>349.33419021251393</c:v>
                </c:pt>
                <c:pt idx="67">
                  <c:v>360.06628826816973</c:v>
                </c:pt>
                <c:pt idx="68">
                  <c:v>370.7913910989966</c:v>
                </c:pt>
                <c:pt idx="69">
                  <c:v>381.5097296352165</c:v>
                </c:pt>
                <c:pt idx="70">
                  <c:v>392.22152076799466</c:v>
                </c:pt>
                <c:pt idx="71">
                  <c:v>344.37848728901128</c:v>
                </c:pt>
                <c:pt idx="72">
                  <c:v>354.28835078897458</c:v>
                </c:pt>
                <c:pt idx="73">
                  <c:v>364.19214271753435</c:v>
                </c:pt>
                <c:pt idx="74">
                  <c:v>374.09005154157165</c:v>
                </c:pt>
                <c:pt idx="75">
                  <c:v>383.98225493635573</c:v>
                </c:pt>
                <c:pt idx="76">
                  <c:v>393.86892067157004</c:v>
                </c:pt>
                <c:pt idx="77">
                  <c:v>403.75020740370695</c:v>
                </c:pt>
                <c:pt idx="78">
                  <c:v>413.6262653868223</c:v>
                </c:pt>
                <c:pt idx="79">
                  <c:v>423.4972371118497</c:v>
                </c:pt>
                <c:pt idx="80">
                  <c:v>433.36325788318965</c:v>
                </c:pt>
                <c:pt idx="81">
                  <c:v>384.60033209046077</c:v>
                </c:pt>
                <c:pt idx="82">
                  <c:v>393.45708472964412</c:v>
                </c:pt>
                <c:pt idx="83">
                  <c:v>402.3095155698993</c:v>
                </c:pt>
                <c:pt idx="84">
                  <c:v>411.1577331667466</c:v>
                </c:pt>
                <c:pt idx="85">
                  <c:v>420.00184101993744</c:v>
                </c:pt>
                <c:pt idx="86">
                  <c:v>428.8419379127327</c:v>
                </c:pt>
                <c:pt idx="87">
                  <c:v>437.678118221739</c:v>
                </c:pt>
                <c:pt idx="88">
                  <c:v>446.51047220041386</c:v>
                </c:pt>
                <c:pt idx="89">
                  <c:v>455.33908623896303</c:v>
                </c:pt>
                <c:pt idx="90">
                  <c:v>464.16404310302801</c:v>
                </c:pt>
                <c:pt idx="91">
                  <c:v>414.24334869220411</c:v>
                </c:pt>
                <c:pt idx="92">
                  <c:v>421.8524225427945</c:v>
                </c:pt>
                <c:pt idx="93">
                  <c:v>429.45854163500059</c:v>
                </c:pt>
                <c:pt idx="94">
                  <c:v>437.06176571228087</c:v>
                </c:pt>
                <c:pt idx="95">
                  <c:v>444.66215226871287</c:v>
                </c:pt>
                <c:pt idx="96">
                  <c:v>452.25975667152653</c:v>
                </c:pt>
                <c:pt idx="97">
                  <c:v>459.85463227497138</c:v>
                </c:pt>
                <c:pt idx="98">
                  <c:v>467.44683052626783</c:v>
                </c:pt>
                <c:pt idx="99">
                  <c:v>475.03640106431294</c:v>
                </c:pt>
                <c:pt idx="100">
                  <c:v>482.62339181174957</c:v>
                </c:pt>
                <c:pt idx="101">
                  <c:v>431.51375010464443</c:v>
                </c:pt>
                <c:pt idx="102">
                  <c:v>437.88356491828108</c:v>
                </c:pt>
                <c:pt idx="103">
                  <c:v>444.25139218014851</c:v>
                </c:pt>
                <c:pt idx="104">
                  <c:v>450.61726441852414</c:v>
                </c:pt>
                <c:pt idx="105">
                  <c:v>456.98121316702435</c:v>
                </c:pt>
                <c:pt idx="106">
                  <c:v>463.34326900875232</c:v>
                </c:pt>
                <c:pt idx="107">
                  <c:v>469.7034616178978</c:v>
                </c:pt>
                <c:pt idx="108">
                  <c:v>476.06181979896195</c:v>
                </c:pt>
                <c:pt idx="109">
                  <c:v>482.41837152377849</c:v>
                </c:pt>
                <c:pt idx="110">
                  <c:v>488.7731439664808</c:v>
                </c:pt>
                <c:pt idx="111">
                  <c:v>439.11620170572928</c:v>
                </c:pt>
                <c:pt idx="112">
                  <c:v>444.86752926426311</c:v>
                </c:pt>
                <c:pt idx="113">
                  <c:v>450.61726441852414</c:v>
                </c:pt>
                <c:pt idx="114">
                  <c:v>456.36543036921802</c:v>
                </c:pt>
                <c:pt idx="115">
                  <c:v>462.11204968448243</c:v>
                </c:pt>
                <c:pt idx="116">
                  <c:v>467.8571443249611</c:v>
                </c:pt>
                <c:pt idx="117">
                  <c:v>473.60073566758052</c:v>
                </c:pt>
                <c:pt idx="118">
                  <c:v>479.34284452811477</c:v>
                </c:pt>
                <c:pt idx="119">
                  <c:v>485.08349118260952</c:v>
                </c:pt>
                <c:pt idx="120">
                  <c:v>490.82269538774079</c:v>
                </c:pt>
                <c:pt idx="121">
                  <c:v>3.036919790734272E-12</c:v>
                </c:pt>
                <c:pt idx="122">
                  <c:v>3.036919790734272E-12</c:v>
                </c:pt>
                <c:pt idx="123">
                  <c:v>3.036919790734272E-12</c:v>
                </c:pt>
                <c:pt idx="124">
                  <c:v>3.036919790734272E-12</c:v>
                </c:pt>
                <c:pt idx="125">
                  <c:v>3.036919790734272E-12</c:v>
                </c:pt>
                <c:pt idx="126">
                  <c:v>3.036919790734272E-12</c:v>
                </c:pt>
                <c:pt idx="127">
                  <c:v>3.036919790734272E-12</c:v>
                </c:pt>
                <c:pt idx="128">
                  <c:v>3.036919790734272E-12</c:v>
                </c:pt>
                <c:pt idx="129">
                  <c:v>3.036919790734272E-12</c:v>
                </c:pt>
                <c:pt idx="130">
                  <c:v>3.036919790734272E-12</c:v>
                </c:pt>
                <c:pt idx="131">
                  <c:v>3.036919790734272E-12</c:v>
                </c:pt>
                <c:pt idx="132">
                  <c:v>3.036919790734272E-12</c:v>
                </c:pt>
                <c:pt idx="133">
                  <c:v>3.036919790734272E-12</c:v>
                </c:pt>
                <c:pt idx="134">
                  <c:v>3.036919790734272E-12</c:v>
                </c:pt>
                <c:pt idx="135">
                  <c:v>3.036919790734272E-12</c:v>
                </c:pt>
                <c:pt idx="136">
                  <c:v>3.036919790734272E-12</c:v>
                </c:pt>
                <c:pt idx="137">
                  <c:v>3.036919790734272E-12</c:v>
                </c:pt>
                <c:pt idx="138">
                  <c:v>3.036919790734272E-12</c:v>
                </c:pt>
                <c:pt idx="139">
                  <c:v>3.036919790734272E-12</c:v>
                </c:pt>
                <c:pt idx="140">
                  <c:v>3.036919790734272E-12</c:v>
                </c:pt>
                <c:pt idx="141">
                  <c:v>3.036919790734272E-12</c:v>
                </c:pt>
                <c:pt idx="142">
                  <c:v>3.036919790734272E-12</c:v>
                </c:pt>
                <c:pt idx="143">
                  <c:v>3.036919790734272E-12</c:v>
                </c:pt>
                <c:pt idx="144">
                  <c:v>3.036919790734272E-12</c:v>
                </c:pt>
                <c:pt idx="145">
                  <c:v>3.036919790734272E-12</c:v>
                </c:pt>
                <c:pt idx="146">
                  <c:v>3.036919790734272E-12</c:v>
                </c:pt>
                <c:pt idx="147">
                  <c:v>3.036919790734272E-12</c:v>
                </c:pt>
                <c:pt idx="148">
                  <c:v>3.036919790734272E-12</c:v>
                </c:pt>
                <c:pt idx="149">
                  <c:v>3.036919790734272E-12</c:v>
                </c:pt>
                <c:pt idx="150">
                  <c:v>3.036919790734272E-12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142.51899286185792</c:v>
                </c:pt>
                <c:pt idx="32">
                  <c:v>154.70300795717841</c:v>
                </c:pt>
                <c:pt idx="33">
                  <c:v>166.86421422486248</c:v>
                </c:pt>
                <c:pt idx="34">
                  <c:v>179.00450954681364</c:v>
                </c:pt>
                <c:pt idx="35">
                  <c:v>191.12551298630106</c:v>
                </c:pt>
                <c:pt idx="36">
                  <c:v>203.22862122579673</c:v>
                </c:pt>
                <c:pt idx="37">
                  <c:v>215.31505082710763</c:v>
                </c:pt>
                <c:pt idx="38">
                  <c:v>227.38587048813096</c:v>
                </c:pt>
                <c:pt idx="39">
                  <c:v>239.44202608060974</c:v>
                </c:pt>
                <c:pt idx="40">
                  <c:v>251.48436037421268</c:v>
                </c:pt>
                <c:pt idx="41">
                  <c:v>198.57561628436065</c:v>
                </c:pt>
                <c:pt idx="42">
                  <c:v>208.344081220161</c:v>
                </c:pt>
                <c:pt idx="43">
                  <c:v>218.10197382914805</c:v>
                </c:pt>
                <c:pt idx="44">
                  <c:v>227.8498342396214</c:v>
                </c:pt>
                <c:pt idx="45">
                  <c:v>237.58815254200752</c:v>
                </c:pt>
                <c:pt idx="46">
                  <c:v>247.31737533025012</c:v>
                </c:pt>
                <c:pt idx="47">
                  <c:v>257.03791115884979</c:v>
                </c:pt>
                <c:pt idx="48">
                  <c:v>266.75013513037226</c:v>
                </c:pt>
                <c:pt idx="49">
                  <c:v>276.45439277925328</c:v>
                </c:pt>
                <c:pt idx="50">
                  <c:v>286.15100338127627</c:v>
                </c:pt>
                <c:pt idx="51">
                  <c:v>266.51898559814168</c:v>
                </c:pt>
                <c:pt idx="52">
                  <c:v>279.22561990730281</c:v>
                </c:pt>
                <c:pt idx="53">
                  <c:v>291.91928720317554</c:v>
                </c:pt>
                <c:pt idx="54">
                  <c:v>304.60063094888807</c:v>
                </c:pt>
                <c:pt idx="55">
                  <c:v>317.27023663514416</c:v>
                </c:pt>
                <c:pt idx="56">
                  <c:v>329.92863915898084</c:v>
                </c:pt>
                <c:pt idx="57">
                  <c:v>342.57632901037965</c:v>
                </c:pt>
                <c:pt idx="58">
                  <c:v>355.21375749714224</c:v>
                </c:pt>
                <c:pt idx="59">
                  <c:v>367.84134118712905</c:v>
                </c:pt>
                <c:pt idx="60">
                  <c:v>380.45946570848537</c:v>
                </c:pt>
                <c:pt idx="61">
                  <c:v>328.08809393827693</c:v>
                </c:pt>
                <c:pt idx="62">
                  <c:v>340.04762586478648</c:v>
                </c:pt>
                <c:pt idx="63">
                  <c:v>351.99790751820501</c:v>
                </c:pt>
                <c:pt idx="64">
                  <c:v>363.93929728008408</c:v>
                </c:pt>
                <c:pt idx="65">
                  <c:v>375.87212808855401</c:v>
                </c:pt>
                <c:pt idx="66">
                  <c:v>387.79671001229229</c:v>
                </c:pt>
                <c:pt idx="67">
                  <c:v>399.71333249130356</c:v>
                </c:pt>
                <c:pt idx="68">
                  <c:v>411.62226629649246</c:v>
                </c:pt>
                <c:pt idx="69">
                  <c:v>423.52376525060163</c:v>
                </c:pt>
                <c:pt idx="70">
                  <c:v>435.41806774560092</c:v>
                </c:pt>
                <c:pt idx="71">
                  <c:v>382.2940629261123</c:v>
                </c:pt>
                <c:pt idx="72">
                  <c:v>393.29766185584367</c:v>
                </c:pt>
                <c:pt idx="73">
                  <c:v>404.29458732857387</c:v>
                </c:pt>
                <c:pt idx="74">
                  <c:v>415.28504649423854</c:v>
                </c:pt>
                <c:pt idx="75">
                  <c:v>426.26923464137008</c:v>
                </c:pt>
                <c:pt idx="76">
                  <c:v>437.24733617095723</c:v>
                </c:pt>
                <c:pt idx="77">
                  <c:v>448.21952546739084</c:v>
                </c:pt>
                <c:pt idx="78">
                  <c:v>459.1859676796762</c:v>
                </c:pt>
                <c:pt idx="79">
                  <c:v>470.14681942412523</c:v>
                </c:pt>
                <c:pt idx="80">
                  <c:v>481.10222941810292</c:v>
                </c:pt>
                <c:pt idx="81">
                  <c:v>426.95554244779765</c:v>
                </c:pt>
                <c:pt idx="82">
                  <c:v>436.79003448979807</c:v>
                </c:pt>
                <c:pt idx="83">
                  <c:v>446.61977630530873</c:v>
                </c:pt>
                <c:pt idx="84">
                  <c:v>456.44488721115044</c:v>
                </c:pt>
                <c:pt idx="85">
                  <c:v>466.26548096718744</c:v>
                </c:pt>
                <c:pt idx="86">
                  <c:v>476.08166614924016</c:v>
                </c:pt>
                <c:pt idx="87">
                  <c:v>485.89354648963507</c:v>
                </c:pt>
                <c:pt idx="88">
                  <c:v>495.70122118881358</c:v>
                </c:pt>
                <c:pt idx="89">
                  <c:v>505.50478520099597</c:v>
                </c:pt>
                <c:pt idx="90">
                  <c:v>515.30432949652743</c:v>
                </c:pt>
                <c:pt idx="91">
                  <c:v>459.87118311540127</c:v>
                </c:pt>
                <c:pt idx="92">
                  <c:v>468.32039262206672</c:v>
                </c:pt>
                <c:pt idx="93">
                  <c:v>476.76635445993014</c:v>
                </c:pt>
                <c:pt idx="94">
                  <c:v>485.20913429492413</c:v>
                </c:pt>
                <c:pt idx="95">
                  <c:v>493.64879532061656</c:v>
                </c:pt>
                <c:pt idx="96">
                  <c:v>502.08539839288795</c:v>
                </c:pt>
                <c:pt idx="97">
                  <c:v>510.51900215508908</c:v>
                </c:pt>
                <c:pt idx="98">
                  <c:v>518.94966315449403</c:v>
                </c:pt>
                <c:pt idx="99">
                  <c:v>527.37743595079166</c:v>
                </c:pt>
                <c:pt idx="100">
                  <c:v>535.80237321728112</c:v>
                </c:pt>
                <c:pt idx="101">
                  <c:v>479.04849794970573</c:v>
                </c:pt>
                <c:pt idx="102">
                  <c:v>486.12167933752767</c:v>
                </c:pt>
                <c:pt idx="103">
                  <c:v>493.19267614406289</c:v>
                </c:pt>
                <c:pt idx="104">
                  <c:v>500.26152412217448</c:v>
                </c:pt>
                <c:pt idx="105">
                  <c:v>507.32825793146156</c:v>
                </c:pt>
                <c:pt idx="106">
                  <c:v>514.39291118678443</c:v>
                </c:pt>
                <c:pt idx="107">
                  <c:v>521.45551650398795</c:v>
                </c:pt>
                <c:pt idx="108">
                  <c:v>528.51610554301408</c:v>
                </c:pt>
                <c:pt idx="109">
                  <c:v>535.57470904859406</c:v>
                </c:pt>
                <c:pt idx="110">
                  <c:v>542.63135688868067</c:v>
                </c:pt>
                <c:pt idx="111">
                  <c:v>487.4904287315747</c:v>
                </c:pt>
                <c:pt idx="112">
                  <c:v>493.87685155793525</c:v>
                </c:pt>
                <c:pt idx="113">
                  <c:v>500.26152412217448</c:v>
                </c:pt>
                <c:pt idx="114">
                  <c:v>506.64447192492531</c:v>
                </c:pt>
                <c:pt idx="115">
                  <c:v>513.02571977154446</c:v>
                </c:pt>
                <c:pt idx="116">
                  <c:v>519.40529179967325</c:v>
                </c:pt>
                <c:pt idx="117">
                  <c:v>525.78321150537079</c:v>
                </c:pt>
                <c:pt idx="118">
                  <c:v>532.15950176791534</c:v>
                </c:pt>
                <c:pt idx="119">
                  <c:v>538.53418487335296</c:v>
                </c:pt>
                <c:pt idx="120">
                  <c:v>544.90728253687371</c:v>
                </c:pt>
                <c:pt idx="121">
                  <c:v>3.3406123864501612E-12</c:v>
                </c:pt>
                <c:pt idx="122">
                  <c:v>3.3406123864501612E-12</c:v>
                </c:pt>
                <c:pt idx="123">
                  <c:v>3.3406123864501612E-12</c:v>
                </c:pt>
                <c:pt idx="124">
                  <c:v>3.3406123864501612E-12</c:v>
                </c:pt>
                <c:pt idx="125">
                  <c:v>3.3406123864501612E-12</c:v>
                </c:pt>
                <c:pt idx="126">
                  <c:v>3.3406123864501612E-12</c:v>
                </c:pt>
                <c:pt idx="127">
                  <c:v>3.3406123864501612E-12</c:v>
                </c:pt>
                <c:pt idx="128">
                  <c:v>3.3406123864501612E-12</c:v>
                </c:pt>
                <c:pt idx="129">
                  <c:v>3.3406123864501612E-12</c:v>
                </c:pt>
                <c:pt idx="130">
                  <c:v>3.3406123864501612E-12</c:v>
                </c:pt>
                <c:pt idx="131">
                  <c:v>3.3406123864501612E-12</c:v>
                </c:pt>
                <c:pt idx="132">
                  <c:v>3.3406123864501612E-12</c:v>
                </c:pt>
                <c:pt idx="133">
                  <c:v>3.3406123864501612E-12</c:v>
                </c:pt>
                <c:pt idx="134">
                  <c:v>3.3406123864501612E-12</c:v>
                </c:pt>
                <c:pt idx="135">
                  <c:v>3.3406123864501612E-12</c:v>
                </c:pt>
                <c:pt idx="136">
                  <c:v>3.3406123864501612E-12</c:v>
                </c:pt>
                <c:pt idx="137">
                  <c:v>3.3406123864501612E-12</c:v>
                </c:pt>
                <c:pt idx="138">
                  <c:v>3.3406123864501612E-12</c:v>
                </c:pt>
                <c:pt idx="139">
                  <c:v>3.3406123864501612E-12</c:v>
                </c:pt>
                <c:pt idx="140">
                  <c:v>3.3406123864501612E-12</c:v>
                </c:pt>
                <c:pt idx="141">
                  <c:v>3.3406123864501612E-12</c:v>
                </c:pt>
                <c:pt idx="142">
                  <c:v>3.3406123864501612E-12</c:v>
                </c:pt>
                <c:pt idx="143">
                  <c:v>3.3406123864501612E-12</c:v>
                </c:pt>
                <c:pt idx="144">
                  <c:v>3.3406123864501612E-12</c:v>
                </c:pt>
                <c:pt idx="145">
                  <c:v>3.3406123864501612E-12</c:v>
                </c:pt>
                <c:pt idx="146">
                  <c:v>3.3406123864501612E-12</c:v>
                </c:pt>
                <c:pt idx="147">
                  <c:v>3.3406123864501612E-12</c:v>
                </c:pt>
                <c:pt idx="148">
                  <c:v>3.3406123864501612E-12</c:v>
                </c:pt>
                <c:pt idx="149">
                  <c:v>3.3406123864501612E-12</c:v>
                </c:pt>
                <c:pt idx="150">
                  <c:v>3.3406123864501612E-12</c:v>
                </c:pt>
                <c:pt idx="151">
                  <c:v>3.3406123864501612E-12</c:v>
                </c:pt>
                <c:pt idx="152">
                  <c:v>3.3406123864501612E-12</c:v>
                </c:pt>
                <c:pt idx="153">
                  <c:v>3.3406123864501612E-12</c:v>
                </c:pt>
                <c:pt idx="154">
                  <c:v>3.3406123864501612E-12</c:v>
                </c:pt>
                <c:pt idx="155">
                  <c:v>3.3406123864501612E-12</c:v>
                </c:pt>
                <c:pt idx="156">
                  <c:v>3.3406123864501612E-12</c:v>
                </c:pt>
                <c:pt idx="157">
                  <c:v>3.3406123864501612E-12</c:v>
                </c:pt>
                <c:pt idx="158">
                  <c:v>3.3406123864501612E-12</c:v>
                </c:pt>
                <c:pt idx="159">
                  <c:v>3.3406123864501612E-12</c:v>
                </c:pt>
                <c:pt idx="160">
                  <c:v>3.3406123864501612E-12</c:v>
                </c:pt>
                <c:pt idx="161">
                  <c:v>3.3406123864501612E-12</c:v>
                </c:pt>
                <c:pt idx="162">
                  <c:v>3.3406123864501612E-12</c:v>
                </c:pt>
                <c:pt idx="163">
                  <c:v>3.3406123864501612E-12</c:v>
                </c:pt>
                <c:pt idx="164">
                  <c:v>3.3406123864501612E-12</c:v>
                </c:pt>
                <c:pt idx="165">
                  <c:v>3.3406123864501612E-12</c:v>
                </c:pt>
                <c:pt idx="166">
                  <c:v>3.3406123864501612E-12</c:v>
                </c:pt>
                <c:pt idx="167">
                  <c:v>3.3406123864501612E-12</c:v>
                </c:pt>
                <c:pt idx="168">
                  <c:v>3.3406123864501612E-12</c:v>
                </c:pt>
                <c:pt idx="169">
                  <c:v>3.3406123864501612E-12</c:v>
                </c:pt>
                <c:pt idx="170">
                  <c:v>3.3406123864501612E-12</c:v>
                </c:pt>
                <c:pt idx="171">
                  <c:v>3.3406123864501612E-12</c:v>
                </c:pt>
                <c:pt idx="172">
                  <c:v>3.3406123864501612E-12</c:v>
                </c:pt>
                <c:pt idx="173">
                  <c:v>3.3406123864501612E-12</c:v>
                </c:pt>
                <c:pt idx="174">
                  <c:v>3.3406123864501612E-12</c:v>
                </c:pt>
                <c:pt idx="175">
                  <c:v>3.3406123864501612E-12</c:v>
                </c:pt>
                <c:pt idx="176">
                  <c:v>3.3406123864501612E-12</c:v>
                </c:pt>
                <c:pt idx="177">
                  <c:v>3.3406123864501612E-12</c:v>
                </c:pt>
                <c:pt idx="178">
                  <c:v>3.3406123864501612E-12</c:v>
                </c:pt>
                <c:pt idx="179">
                  <c:v>3.3406123864501612E-12</c:v>
                </c:pt>
                <c:pt idx="180">
                  <c:v>3.3406123864501612E-12</c:v>
                </c:pt>
                <c:pt idx="181">
                  <c:v>3.3406123864501612E-12</c:v>
                </c:pt>
                <c:pt idx="182">
                  <c:v>3.3406123864501612E-12</c:v>
                </c:pt>
                <c:pt idx="183">
                  <c:v>3.3406123864501612E-12</c:v>
                </c:pt>
                <c:pt idx="184">
                  <c:v>3.3406123864501612E-12</c:v>
                </c:pt>
                <c:pt idx="185">
                  <c:v>3.3406123864501612E-12</c:v>
                </c:pt>
                <c:pt idx="186">
                  <c:v>3.3406123864501612E-12</c:v>
                </c:pt>
                <c:pt idx="187">
                  <c:v>3.3406123864501612E-12</c:v>
                </c:pt>
                <c:pt idx="188">
                  <c:v>3.3406123864501612E-12</c:v>
                </c:pt>
                <c:pt idx="189">
                  <c:v>3.3406123864501612E-12</c:v>
                </c:pt>
                <c:pt idx="190">
                  <c:v>3.3406123864501612E-12</c:v>
                </c:pt>
                <c:pt idx="191">
                  <c:v>3.3406123864501612E-12</c:v>
                </c:pt>
                <c:pt idx="192">
                  <c:v>3.3406123864501612E-12</c:v>
                </c:pt>
                <c:pt idx="193">
                  <c:v>3.3406123864501612E-12</c:v>
                </c:pt>
                <c:pt idx="194">
                  <c:v>3.3406123864501612E-12</c:v>
                </c:pt>
                <c:pt idx="195">
                  <c:v>3.3406123864501612E-12</c:v>
                </c:pt>
                <c:pt idx="196">
                  <c:v>3.3406123864501612E-12</c:v>
                </c:pt>
                <c:pt idx="197">
                  <c:v>3.3406123864501612E-12</c:v>
                </c:pt>
                <c:pt idx="198">
                  <c:v>3.3406123864501612E-12</c:v>
                </c:pt>
                <c:pt idx="199">
                  <c:v>3.3406123864501612E-12</c:v>
                </c:pt>
                <c:pt idx="200">
                  <c:v>3.3406123864501612E-12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R27" sqref="R27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110" zoomScaleNormal="110" workbookViewId="0">
      <selection activeCell="A147" sqref="A147:D147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10.489000000000001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0.49</v>
      </c>
      <c r="D9" s="33">
        <f t="shared" ref="D9:D18" si="0">C9*$C$5</f>
        <v>5.1396100000000002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0.11</v>
      </c>
      <c r="D10" s="33">
        <f t="shared" si="0"/>
        <v>1.1537900000000001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138</v>
      </c>
      <c r="C11" s="32">
        <v>0.14000000000000001</v>
      </c>
      <c r="D11" s="33">
        <f t="shared" si="0"/>
        <v>1.4684600000000003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14</v>
      </c>
      <c r="C12" s="32">
        <v>0.21</v>
      </c>
      <c r="D12" s="33">
        <f t="shared" si="0"/>
        <v>2.20269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5</v>
      </c>
      <c r="C13" s="32">
        <v>0.03</v>
      </c>
      <c r="D13" s="33">
        <f t="shared" si="0"/>
        <v>0.31467000000000001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</v>
      </c>
      <c r="C14" s="32">
        <v>0.01</v>
      </c>
      <c r="D14" s="33">
        <f t="shared" si="0"/>
        <v>0.10489000000000001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52</v>
      </c>
      <c r="C15" s="32">
        <v>0.01</v>
      </c>
      <c r="D15" s="33">
        <f t="shared" si="0"/>
        <v>0.10489000000000001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10.488999999999999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25</v>
      </c>
      <c r="C36" s="60"/>
      <c r="D36" s="60">
        <v>0</v>
      </c>
      <c r="E36" s="51"/>
      <c r="F36" s="51"/>
      <c r="G36" s="51"/>
      <c r="H36" s="51"/>
      <c r="I36" s="49">
        <f>IFERROR(B36/A36,"")</f>
        <v>2.0833333333333335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16</v>
      </c>
      <c r="B37" s="60">
        <v>59</v>
      </c>
      <c r="C37" s="60">
        <v>1</v>
      </c>
      <c r="D37" s="60">
        <v>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8.5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v>91</v>
      </c>
      <c r="C38" s="60">
        <v>2</v>
      </c>
      <c r="D38" s="60">
        <v>14</v>
      </c>
      <c r="E38" s="51"/>
      <c r="F38" s="51">
        <v>0.5</v>
      </c>
      <c r="G38" s="51">
        <v>0.5</v>
      </c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24</v>
      </c>
      <c r="B39" s="60">
        <v>121</v>
      </c>
      <c r="C39" s="60">
        <v>3</v>
      </c>
      <c r="D39" s="60">
        <v>20</v>
      </c>
      <c r="E39" s="51">
        <v>0.1</v>
      </c>
      <c r="F39" s="51">
        <v>0.45</v>
      </c>
      <c r="G39" s="51">
        <v>0.45</v>
      </c>
      <c r="H39" s="51"/>
      <c r="I39" s="49">
        <f t="shared" si="1"/>
        <v>11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28</v>
      </c>
      <c r="B40" s="60">
        <v>146</v>
      </c>
      <c r="C40" s="60">
        <v>4</v>
      </c>
      <c r="D40" s="60">
        <v>23</v>
      </c>
      <c r="E40" s="51">
        <v>0.2</v>
      </c>
      <c r="F40" s="51">
        <v>0.4</v>
      </c>
      <c r="G40" s="51">
        <v>0.4</v>
      </c>
      <c r="H40" s="51"/>
      <c r="I40" s="49">
        <f t="shared" si="1"/>
        <v>11.25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34</v>
      </c>
      <c r="B41" s="60">
        <v>193</v>
      </c>
      <c r="C41" s="60">
        <v>5</v>
      </c>
      <c r="D41" s="60">
        <v>38</v>
      </c>
      <c r="E41" s="51"/>
      <c r="F41" s="51"/>
      <c r="G41" s="51"/>
      <c r="H41" s="51"/>
      <c r="I41" s="53">
        <f t="shared" si="1"/>
        <v>11.666666666666666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v>215</v>
      </c>
      <c r="C42" s="60">
        <v>6</v>
      </c>
      <c r="D42" s="60">
        <v>31</v>
      </c>
      <c r="E42" s="51"/>
      <c r="F42" s="51"/>
      <c r="G42" s="51"/>
      <c r="H42" s="51"/>
      <c r="I42" s="53">
        <f t="shared" si="1"/>
        <v>10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46</v>
      </c>
      <c r="B43" s="60">
        <v>228</v>
      </c>
      <c r="C43" s="60">
        <v>7</v>
      </c>
      <c r="D43" s="60">
        <v>23</v>
      </c>
      <c r="E43" s="51"/>
      <c r="F43" s="51"/>
      <c r="G43" s="51"/>
      <c r="H43" s="51"/>
      <c r="I43" s="49">
        <f t="shared" si="1"/>
        <v>7.333333333333333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54</v>
      </c>
      <c r="B44" s="60">
        <v>246</v>
      </c>
      <c r="C44" s="60">
        <v>8</v>
      </c>
      <c r="D44" s="60">
        <v>22</v>
      </c>
      <c r="E44" s="51"/>
      <c r="F44" s="51"/>
      <c r="G44" s="51"/>
      <c r="H44" s="51"/>
      <c r="I44" s="49">
        <f t="shared" si="1"/>
        <v>5.125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62</v>
      </c>
      <c r="B45" s="60">
        <f>232+9</f>
        <v>241</v>
      </c>
      <c r="C45" s="60">
        <v>9</v>
      </c>
      <c r="D45" s="60">
        <f>B45</f>
        <v>241</v>
      </c>
      <c r="E45" s="51"/>
      <c r="F45" s="51"/>
      <c r="G45" s="51"/>
      <c r="H45" s="51"/>
      <c r="I45" s="49">
        <f t="shared" si="1"/>
        <v>2.125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132</v>
      </c>
      <c r="C62" s="60">
        <v>1</v>
      </c>
      <c r="D62" s="60">
        <v>50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6.6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200</v>
      </c>
      <c r="C63" s="60">
        <v>2</v>
      </c>
      <c r="D63" s="60">
        <v>74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11.8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227</v>
      </c>
      <c r="C64" s="60">
        <v>3</v>
      </c>
      <c r="D64" s="60">
        <v>69</v>
      </c>
      <c r="E64" s="51"/>
      <c r="F64" s="51"/>
      <c r="G64" s="51"/>
      <c r="H64" s="51"/>
      <c r="I64" s="49">
        <f>IF(A64&lt;&gt;0,(B64-(B63-D63))/(A64-A63),"")</f>
        <v>10.1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240</v>
      </c>
      <c r="C65" s="60">
        <v>4</v>
      </c>
      <c r="D65" s="60">
        <v>59</v>
      </c>
      <c r="E65" s="51"/>
      <c r="F65" s="51"/>
      <c r="G65" s="51"/>
      <c r="H65" s="51"/>
      <c r="I65" s="49">
        <f>IF(A65&lt;&gt;0,(B65-(B64-D64))/(A65-A64),"")</f>
        <v>8.1999999999999993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245</v>
      </c>
      <c r="C66" s="60">
        <v>5</v>
      </c>
      <c r="D66" s="60">
        <v>47</v>
      </c>
      <c r="E66" s="51"/>
      <c r="F66" s="51"/>
      <c r="G66" s="51"/>
      <c r="H66" s="51"/>
      <c r="I66" s="49">
        <f t="shared" ref="I66:I81" si="2">IF(A66&lt;&gt;0,(B66-(B65-D65))/(A66-A65),"")</f>
        <v>6.4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247</v>
      </c>
      <c r="C67" s="60">
        <v>6</v>
      </c>
      <c r="D67" s="60">
        <v>37</v>
      </c>
      <c r="E67" s="51"/>
      <c r="F67" s="51"/>
      <c r="G67" s="51"/>
      <c r="H67" s="51"/>
      <c r="I67" s="49">
        <f t="shared" si="2"/>
        <v>4.9000000000000004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247</v>
      </c>
      <c r="C68" s="60">
        <v>7</v>
      </c>
      <c r="D68" s="60">
        <v>28</v>
      </c>
      <c r="E68" s="51"/>
      <c r="F68" s="51"/>
      <c r="G68" s="51"/>
      <c r="H68" s="51"/>
      <c r="I68" s="49">
        <f t="shared" si="2"/>
        <v>3.7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248</v>
      </c>
      <c r="C69" s="50">
        <v>8</v>
      </c>
      <c r="D69" s="50">
        <v>248</v>
      </c>
      <c r="E69" s="51"/>
      <c r="F69" s="51"/>
      <c r="G69" s="51"/>
      <c r="H69" s="51"/>
      <c r="I69" s="49">
        <f t="shared" si="2"/>
        <v>2.9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taeda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91</v>
      </c>
      <c r="C88" s="60">
        <v>1</v>
      </c>
      <c r="D88" s="60">
        <v>3</v>
      </c>
      <c r="E88" s="51"/>
      <c r="F88" s="51">
        <v>0.5</v>
      </c>
      <c r="G88" s="51">
        <v>0.5</v>
      </c>
      <c r="H88" s="87"/>
      <c r="I88" s="53">
        <f>IFERROR(B88/A88,"")</f>
        <v>4.55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218</v>
      </c>
      <c r="C89" s="60">
        <v>2</v>
      </c>
      <c r="D89" s="60">
        <v>70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285</v>
      </c>
      <c r="C90" s="60">
        <v>3</v>
      </c>
      <c r="D90" s="60">
        <v>70</v>
      </c>
      <c r="E90" s="87"/>
      <c r="F90" s="87"/>
      <c r="G90" s="87"/>
      <c r="H90" s="87"/>
      <c r="I90" s="53">
        <f t="shared" si="3"/>
        <v>13.7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343</v>
      </c>
      <c r="C91" s="60">
        <v>4</v>
      </c>
      <c r="D91" s="60">
        <v>70</v>
      </c>
      <c r="E91" s="87"/>
      <c r="F91" s="87"/>
      <c r="G91" s="87"/>
      <c r="H91" s="87"/>
      <c r="I91" s="53">
        <f t="shared" si="3"/>
        <v>12.8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387</v>
      </c>
      <c r="C92" s="60">
        <v>5</v>
      </c>
      <c r="D92" s="60">
        <v>57</v>
      </c>
      <c r="E92" s="87"/>
      <c r="F92" s="87"/>
      <c r="G92" s="87"/>
      <c r="H92" s="87"/>
      <c r="I92" s="53">
        <f t="shared" si="3"/>
        <v>11.4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422</v>
      </c>
      <c r="C93" s="60">
        <v>6</v>
      </c>
      <c r="D93" s="60">
        <v>44</v>
      </c>
      <c r="E93" s="87"/>
      <c r="F93" s="87"/>
      <c r="G93" s="87"/>
      <c r="H93" s="87"/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450</v>
      </c>
      <c r="C94" s="60">
        <v>7</v>
      </c>
      <c r="D94" s="60">
        <f>B94</f>
        <v>450</v>
      </c>
      <c r="E94" s="87"/>
      <c r="F94" s="87"/>
      <c r="G94" s="87"/>
      <c r="H94" s="87"/>
      <c r="I94" s="53">
        <f t="shared" si="3"/>
        <v>7.2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25</v>
      </c>
      <c r="B114" s="60">
        <v>30</v>
      </c>
      <c r="C114" s="50">
        <v>0</v>
      </c>
      <c r="D114" s="60">
        <v>0</v>
      </c>
      <c r="E114" s="51"/>
      <c r="F114" s="51"/>
      <c r="G114" s="51"/>
      <c r="H114" s="51"/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54</v>
      </c>
      <c r="C115" s="50">
        <v>0</v>
      </c>
      <c r="D115" s="60">
        <v>0</v>
      </c>
      <c r="E115" s="51"/>
      <c r="F115" s="51"/>
      <c r="G115" s="51"/>
      <c r="H115" s="51"/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106</v>
      </c>
      <c r="C116" s="50">
        <v>1</v>
      </c>
      <c r="D116" s="60">
        <v>27</v>
      </c>
      <c r="E116" s="51"/>
      <c r="F116" s="51"/>
      <c r="G116" s="51"/>
      <c r="H116" s="51"/>
      <c r="I116" s="53">
        <f t="shared" si="4"/>
        <v>5.2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121</v>
      </c>
      <c r="C117" s="50">
        <v>2</v>
      </c>
      <c r="D117" s="60">
        <v>14</v>
      </c>
      <c r="E117" s="51"/>
      <c r="F117" s="51"/>
      <c r="G117" s="51"/>
      <c r="H117" s="51"/>
      <c r="I117" s="53">
        <f t="shared" si="4"/>
        <v>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162</v>
      </c>
      <c r="C118" s="50">
        <v>3</v>
      </c>
      <c r="D118" s="60">
        <v>28</v>
      </c>
      <c r="E118" s="51"/>
      <c r="F118" s="51"/>
      <c r="G118" s="51"/>
      <c r="H118" s="51"/>
      <c r="I118" s="53">
        <f t="shared" si="4"/>
        <v>5.5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186</v>
      </c>
      <c r="C119" s="50">
        <v>4</v>
      </c>
      <c r="D119" s="60">
        <v>28</v>
      </c>
      <c r="E119" s="51"/>
      <c r="F119" s="51"/>
      <c r="G119" s="51"/>
      <c r="H119" s="51"/>
      <c r="I119" s="53">
        <f t="shared" si="4"/>
        <v>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206</v>
      </c>
      <c r="C120" s="60">
        <v>5</v>
      </c>
      <c r="D120" s="60">
        <v>28</v>
      </c>
      <c r="E120" s="87"/>
      <c r="F120" s="87"/>
      <c r="G120" s="87"/>
      <c r="H120" s="87"/>
      <c r="I120" s="53">
        <f t="shared" si="4"/>
        <v>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v>221</v>
      </c>
      <c r="C121" s="60">
        <v>6</v>
      </c>
      <c r="D121" s="60">
        <v>28</v>
      </c>
      <c r="E121" s="87"/>
      <c r="F121" s="87"/>
      <c r="G121" s="87"/>
      <c r="H121" s="87"/>
      <c r="I121" s="53">
        <f t="shared" si="4"/>
        <v>4.3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v>230</v>
      </c>
      <c r="C122" s="60">
        <v>7</v>
      </c>
      <c r="D122" s="60">
        <v>28</v>
      </c>
      <c r="E122" s="87"/>
      <c r="F122" s="87"/>
      <c r="G122" s="87"/>
      <c r="H122" s="87"/>
      <c r="I122" s="53">
        <f t="shared" si="4"/>
        <v>3.7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v>233</v>
      </c>
      <c r="C123" s="60">
        <v>8</v>
      </c>
      <c r="D123" s="60">
        <v>27</v>
      </c>
      <c r="E123" s="87"/>
      <c r="F123" s="87"/>
      <c r="G123" s="87"/>
      <c r="H123" s="87"/>
      <c r="I123" s="53">
        <f t="shared" si="4"/>
        <v>3.1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v>234</v>
      </c>
      <c r="C124" s="60">
        <v>9</v>
      </c>
      <c r="D124" s="60">
        <v>234</v>
      </c>
      <c r="E124" s="87"/>
      <c r="F124" s="87"/>
      <c r="G124" s="87"/>
      <c r="H124" s="87"/>
      <c r="I124" s="53">
        <f t="shared" si="4"/>
        <v>2.8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Bouleau verruqueux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95</v>
      </c>
      <c r="C140" s="50">
        <v>1</v>
      </c>
      <c r="D140" s="60">
        <f>15+28</f>
        <v>43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4.75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174</v>
      </c>
      <c r="C141" s="50">
        <v>2</v>
      </c>
      <c r="D141" s="60">
        <f>28+28</f>
        <v>56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12.2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220</v>
      </c>
      <c r="C142" s="50">
        <v>3</v>
      </c>
      <c r="D142" s="60">
        <f>28+28</f>
        <v>56</v>
      </c>
      <c r="E142" s="51"/>
      <c r="F142" s="51"/>
      <c r="G142" s="51"/>
      <c r="H142" s="51"/>
      <c r="I142" s="57">
        <f t="shared" si="5"/>
        <v>10.199999999999999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241</v>
      </c>
      <c r="C143" s="50">
        <v>4</v>
      </c>
      <c r="D143" s="60">
        <f>22+17</f>
        <v>39</v>
      </c>
      <c r="E143" s="51"/>
      <c r="F143" s="51"/>
      <c r="G143" s="51"/>
      <c r="H143" s="51"/>
      <c r="I143" s="57">
        <f t="shared" si="5"/>
        <v>7.7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258</v>
      </c>
      <c r="C144" s="50">
        <v>5</v>
      </c>
      <c r="D144" s="60">
        <f>13+12</f>
        <v>25</v>
      </c>
      <c r="E144" s="51"/>
      <c r="F144" s="51"/>
      <c r="G144" s="51"/>
      <c r="H144" s="51"/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274</v>
      </c>
      <c r="C145" s="50">
        <v>6</v>
      </c>
      <c r="D145" s="60">
        <f>11+10</f>
        <v>21</v>
      </c>
      <c r="E145" s="51"/>
      <c r="F145" s="51"/>
      <c r="G145" s="51"/>
      <c r="H145" s="51"/>
      <c r="I145" s="57">
        <f t="shared" si="5"/>
        <v>4.0999999999999996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267+9+8</f>
        <v>284</v>
      </c>
      <c r="C146" s="50">
        <v>7</v>
      </c>
      <c r="D146" s="60">
        <f>B146</f>
        <v>284</v>
      </c>
      <c r="E146" s="51"/>
      <c r="F146" s="51"/>
      <c r="G146" s="51"/>
      <c r="H146" s="51"/>
      <c r="I146" s="57">
        <f t="shared" si="5"/>
        <v>3.1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25</v>
      </c>
      <c r="B166" s="60">
        <v>30</v>
      </c>
      <c r="C166" s="60">
        <v>0</v>
      </c>
      <c r="D166" s="60">
        <v>0</v>
      </c>
      <c r="E166" s="51"/>
      <c r="F166" s="51"/>
      <c r="G166" s="51"/>
      <c r="H166" s="51"/>
      <c r="I166" s="49">
        <f>IFERROR(B166/A166,"")</f>
        <v>1.2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54</v>
      </c>
      <c r="C167" s="60">
        <v>0</v>
      </c>
      <c r="D167" s="60">
        <v>0</v>
      </c>
      <c r="E167" s="51"/>
      <c r="F167" s="51"/>
      <c r="G167" s="51"/>
      <c r="H167" s="51"/>
      <c r="I167" s="49">
        <f t="shared" ref="I167:I185" si="6">IF(A167&lt;&gt;0,(B167-(B166-D166))/(A167-A166),"")</f>
        <v>4.8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106</v>
      </c>
      <c r="C168" s="60">
        <v>1</v>
      </c>
      <c r="D168" s="60">
        <v>27</v>
      </c>
      <c r="E168" s="51"/>
      <c r="F168" s="51"/>
      <c r="G168" s="51"/>
      <c r="H168" s="51"/>
      <c r="I168" s="49">
        <f t="shared" si="6"/>
        <v>5.2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121</v>
      </c>
      <c r="C169" s="60">
        <v>2</v>
      </c>
      <c r="D169" s="60">
        <v>14</v>
      </c>
      <c r="E169" s="51"/>
      <c r="F169" s="51"/>
      <c r="G169" s="51"/>
      <c r="H169" s="51"/>
      <c r="I169" s="49">
        <f t="shared" si="6"/>
        <v>4.2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162</v>
      </c>
      <c r="C170" s="60">
        <v>3</v>
      </c>
      <c r="D170" s="60">
        <v>28</v>
      </c>
      <c r="E170" s="51"/>
      <c r="F170" s="51"/>
      <c r="G170" s="51"/>
      <c r="H170" s="51"/>
      <c r="I170" s="49">
        <f t="shared" si="6"/>
        <v>5.5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186</v>
      </c>
      <c r="C171" s="60">
        <v>4</v>
      </c>
      <c r="D171" s="60">
        <v>28</v>
      </c>
      <c r="E171" s="51"/>
      <c r="F171" s="51"/>
      <c r="G171" s="51"/>
      <c r="H171" s="51"/>
      <c r="I171" s="49">
        <f t="shared" si="6"/>
        <v>5.2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206</v>
      </c>
      <c r="C172" s="60">
        <v>5</v>
      </c>
      <c r="D172" s="60">
        <v>28</v>
      </c>
      <c r="E172" s="51"/>
      <c r="F172" s="51"/>
      <c r="G172" s="51"/>
      <c r="H172" s="51"/>
      <c r="I172" s="49">
        <f t="shared" si="6"/>
        <v>4.8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90</v>
      </c>
      <c r="B173" s="50">
        <v>221</v>
      </c>
      <c r="C173" s="50">
        <v>6</v>
      </c>
      <c r="D173" s="50">
        <v>28</v>
      </c>
      <c r="E173" s="51"/>
      <c r="F173" s="51"/>
      <c r="G173" s="51"/>
      <c r="H173" s="51"/>
      <c r="I173" s="49">
        <f t="shared" si="6"/>
        <v>4.3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100</v>
      </c>
      <c r="B174" s="50">
        <v>230</v>
      </c>
      <c r="C174" s="50">
        <v>7</v>
      </c>
      <c r="D174" s="50">
        <v>28</v>
      </c>
      <c r="E174" s="51"/>
      <c r="F174" s="51"/>
      <c r="G174" s="51"/>
      <c r="H174" s="51"/>
      <c r="I174" s="49">
        <f t="shared" si="6"/>
        <v>3.7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110</v>
      </c>
      <c r="B175" s="50">
        <v>233</v>
      </c>
      <c r="C175" s="50">
        <v>8</v>
      </c>
      <c r="D175" s="50">
        <v>27</v>
      </c>
      <c r="E175" s="51"/>
      <c r="F175" s="51"/>
      <c r="G175" s="51"/>
      <c r="H175" s="51"/>
      <c r="I175" s="49">
        <f t="shared" si="6"/>
        <v>3.1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120</v>
      </c>
      <c r="B176" s="50">
        <v>234</v>
      </c>
      <c r="C176" s="50">
        <v>9</v>
      </c>
      <c r="D176" s="50">
        <v>234</v>
      </c>
      <c r="E176" s="51"/>
      <c r="F176" s="51"/>
      <c r="G176" s="51"/>
      <c r="H176" s="51"/>
      <c r="I176" s="49">
        <f t="shared" si="6"/>
        <v>2.8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Cormier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25</v>
      </c>
      <c r="B192" s="60">
        <v>30</v>
      </c>
      <c r="C192" s="60">
        <v>0</v>
      </c>
      <c r="D192" s="60">
        <v>0</v>
      </c>
      <c r="E192" s="51"/>
      <c r="F192" s="51"/>
      <c r="G192" s="51"/>
      <c r="H192" s="51"/>
      <c r="I192" s="49">
        <f>IFERROR(B192/A192,"")</f>
        <v>1.2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v>54</v>
      </c>
      <c r="C193" s="60">
        <v>0</v>
      </c>
      <c r="D193" s="60">
        <v>0</v>
      </c>
      <c r="E193" s="51"/>
      <c r="F193" s="51"/>
      <c r="G193" s="51"/>
      <c r="H193" s="51"/>
      <c r="I193" s="49">
        <f t="shared" ref="I193:I211" si="7">IF(A193&lt;&gt;0,(B193-(B192-D192))/(A193-A192),"")</f>
        <v>4.8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v>106</v>
      </c>
      <c r="C194" s="60">
        <v>1</v>
      </c>
      <c r="D194" s="60">
        <v>27</v>
      </c>
      <c r="E194" s="51"/>
      <c r="F194" s="51"/>
      <c r="G194" s="51"/>
      <c r="H194" s="51"/>
      <c r="I194" s="49">
        <f t="shared" si="7"/>
        <v>5.2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v>121</v>
      </c>
      <c r="C195" s="60">
        <v>2</v>
      </c>
      <c r="D195" s="60">
        <v>14</v>
      </c>
      <c r="E195" s="51"/>
      <c r="F195" s="51"/>
      <c r="G195" s="51"/>
      <c r="H195" s="51"/>
      <c r="I195" s="49">
        <f t="shared" si="7"/>
        <v>4.2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v>162</v>
      </c>
      <c r="C196" s="60">
        <v>3</v>
      </c>
      <c r="D196" s="60">
        <v>28</v>
      </c>
      <c r="E196" s="51"/>
      <c r="F196" s="51"/>
      <c r="G196" s="51"/>
      <c r="H196" s="51"/>
      <c r="I196" s="49">
        <f t="shared" si="7"/>
        <v>5.5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v>186</v>
      </c>
      <c r="C197" s="60">
        <v>4</v>
      </c>
      <c r="D197" s="60">
        <v>28</v>
      </c>
      <c r="E197" s="51"/>
      <c r="F197" s="51"/>
      <c r="G197" s="51"/>
      <c r="H197" s="51"/>
      <c r="I197" s="49">
        <f t="shared" si="7"/>
        <v>5.2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v>206</v>
      </c>
      <c r="C198" s="60">
        <v>5</v>
      </c>
      <c r="D198" s="60">
        <v>28</v>
      </c>
      <c r="E198" s="51"/>
      <c r="F198" s="51"/>
      <c r="G198" s="51"/>
      <c r="H198" s="51"/>
      <c r="I198" s="49">
        <f t="shared" si="7"/>
        <v>4.8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90</v>
      </c>
      <c r="B199" s="50">
        <v>221</v>
      </c>
      <c r="C199" s="50">
        <v>6</v>
      </c>
      <c r="D199" s="50">
        <v>28</v>
      </c>
      <c r="E199" s="51"/>
      <c r="F199" s="51"/>
      <c r="G199" s="51"/>
      <c r="H199" s="51"/>
      <c r="I199" s="49">
        <f t="shared" si="7"/>
        <v>4.3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100</v>
      </c>
      <c r="B200" s="50">
        <v>230</v>
      </c>
      <c r="C200" s="50">
        <v>7</v>
      </c>
      <c r="D200" s="50">
        <v>28</v>
      </c>
      <c r="E200" s="51"/>
      <c r="F200" s="51"/>
      <c r="G200" s="51"/>
      <c r="H200" s="51"/>
      <c r="I200" s="49">
        <f t="shared" si="7"/>
        <v>3.7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110</v>
      </c>
      <c r="B201" s="50">
        <v>233</v>
      </c>
      <c r="C201" s="50">
        <v>8</v>
      </c>
      <c r="D201" s="50">
        <v>27</v>
      </c>
      <c r="E201" s="51"/>
      <c r="F201" s="51"/>
      <c r="G201" s="51"/>
      <c r="H201" s="51"/>
      <c r="I201" s="49">
        <f t="shared" si="7"/>
        <v>3.1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120</v>
      </c>
      <c r="B202" s="50">
        <v>234</v>
      </c>
      <c r="C202" s="50">
        <v>9</v>
      </c>
      <c r="D202" s="50">
        <v>234</v>
      </c>
      <c r="E202" s="51"/>
      <c r="F202" s="51"/>
      <c r="G202" s="51"/>
      <c r="H202" s="51"/>
      <c r="I202" s="49">
        <f t="shared" si="7"/>
        <v>2.8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taeda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Bouleau verruqueux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Alisier torminal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Cormier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145.19188637714888</v>
      </c>
      <c r="T3" s="59">
        <f>IF('Données projet'!E9&gt;30,$R$33-$H$33,LOOKUP('Données projet'!$E$9,$A$3:$A$203,R3:R203)-LOOKUP('Données projet'!$E$9,$A$3:$A$203,$H$3:$H$203))</f>
        <v>169.74069292032493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254.24072778190163</v>
      </c>
      <c r="AO3" s="59">
        <f>IF('Données projet'!E10&gt;30,$AM$33-$H$33,LOOKUP('Données projet'!$E$10,$A$3:$A$203,AM3:AM203)-LOOKUP('Données projet'!$E$10,$A$3:$A$203,$H$3:$H$203))</f>
        <v>356.78706780980383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246.59447135626942</v>
      </c>
      <c r="BJ3" s="59">
        <f>IF('Données projet'!E11&gt;30,$BH$33-$H$33,LOOKUP('Données projet'!$E$11,$A$3:$A$203,BH3:BH203)-LOOKUP('Données projet'!$E$11,$A$3:$A$203,$H$3:$H$203))</f>
        <v>262.00382544285367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169.62156467157178</v>
      </c>
      <c r="CE3" s="59">
        <f>IF('Données projet'!E12&gt;30,$CC$33-$H$33,LOOKUP('Données projet'!$E$12,$A$3:$A$203,CC3:CC203)-LOOKUP('Données projet'!$E$12,$A$3:$A$203,$H$3:$H$203))</f>
        <v>85.631326020763254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234.59657655504111</v>
      </c>
      <c r="CZ3" s="59">
        <f>IF('Données projet'!E13&gt;30,$CX$33-$H$33,LOOKUP('Données projet'!$E$13,$A$3:$A$203,CX3:CX203)-LOOKUP('Données projet'!$E$13,$A$3:$A$203,$H$3:$H$203))</f>
        <v>285.10598666479211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186.90852124957956</v>
      </c>
      <c r="DU3" s="59">
        <f>IF('Données projet'!E14&gt;30,$DS$33-$H$33,LOOKUP('Données projet'!$E$14,$A$3:$A$203,DS3:DS203)-LOOKUP('Données projet'!$E$14,$A$3:$A$203,$H$3:$H$203))</f>
        <v>93.013797128776446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217.10418688911096</v>
      </c>
      <c r="EP3" s="59">
        <f>IF('Données projet'!E15&gt;30,$EN$33-$H$33,LOOKUP('Données projet'!$E$15,$A$3:$A$203,EN3:EN203)-LOOKUP('Données projet'!$E$15,$A$3:$A$203,$H$3:$H$203))</f>
        <v>105.90631421515786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2.0833333333333335</v>
      </c>
      <c r="N4" s="13">
        <f>IF('Données projet'!$A$36&gt;35,N3+M4-V3,IF(A4&lt;'Données projet'!$A$36,$K$205^A4,IF(A4='Données projet'!$A$36,'Données projet'!$B$36,N3+M4-V3)))</f>
        <v>1.3076604860118306</v>
      </c>
      <c r="O4" s="13">
        <f>N4*VLOOKUP('Données projet'!$B$9,Paramètres!$A$1:$I$89,3,0)*VLOOKUP('Données projet'!$B$9,Paramètres!$A$1:$I$89,5,0)</f>
        <v>0.78198097063507477</v>
      </c>
      <c r="P4" s="13">
        <f>EXP(-1.0587+0.8836*LN(O4)+0.284)</f>
        <v>0.37083457038464518</v>
      </c>
      <c r="Q4" s="20">
        <f t="shared" ref="Q4:Q34" si="2">(O4+P4)*0.475*44/12</f>
        <v>2.0078204006093454</v>
      </c>
      <c r="R4" s="59">
        <f t="shared" si="0"/>
        <v>259.89670928949818</v>
      </c>
      <c r="S4" s="59">
        <f ca="1">AVERAGE(OFFSET($R$3,0,0,'Données projet'!$E$9+1,1))-AVERAGE(OFFSET($H$3,0,0,'Données projet'!$E$9+1,1))</f>
        <v>145.19188637714888</v>
      </c>
      <c r="T4" s="59">
        <f>$T$3</f>
        <v>169.74069292032493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6.6</v>
      </c>
      <c r="AI4" s="13">
        <f>IF('Données projet'!$A$62&gt;35,AI3+AH4-AQ3,IF(A4&lt;'Données projet'!$A$62,$AF$205^A4,IF(A4='Données projet'!$A$62,'Données projet'!$B$62,AI3+AH4-AQ3)))</f>
        <v>1.2765231539157764</v>
      </c>
      <c r="AJ4" s="13">
        <f>AI4*VLOOKUP('Données projet'!$B$10,Paramètres!$A$1:$I$89,3,0)*VLOOKUP('Données projet'!$B$10,Paramètres!$A$1:$I$89,5,0)</f>
        <v>1.1151706272608224</v>
      </c>
      <c r="AK4" s="13">
        <f>EXP(-1.0587+0.8836*LN(AJ4)+0.284)</f>
        <v>0.50743784838663863</v>
      </c>
      <c r="AL4" s="20">
        <f t="shared" ref="AL4:AL67" si="4">(AJ4+AK4)*0.475*44/12</f>
        <v>2.8260430950859945</v>
      </c>
      <c r="AM4" s="59">
        <f t="shared" ref="AM4:AM67" si="5">AL4+(AD4+AE4)*44/12</f>
        <v>260.71493198397485</v>
      </c>
      <c r="AN4" s="59">
        <f ca="1">AVERAGE(OFFSET($AM$3,0,0,'Données projet'!$E$10+1,1))-AVERAGE(OFFSET($H$3,0,0,'Données projet'!$E$10+1,1))</f>
        <v>254.24072778190163</v>
      </c>
      <c r="AO4" s="59">
        <f>$AO$3</f>
        <v>356.78706780980383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4.55</v>
      </c>
      <c r="BD4" s="12">
        <f>IF('Données projet'!$A$88&gt;35,BD3+BC4-BL3,IF(A4&lt;'Données projet'!$A$88,$BA$205^A4,IF(A4='Données projet'!$A$88,'Données projet'!$B$88,BD3+BC4-BL3)))</f>
        <v>1.2530028811664373</v>
      </c>
      <c r="BE4" s="13">
        <f>BD4*VLOOKUP('Données projet'!$B$11,Paramètres!$A$1:$I$89,3,0)*VLOOKUP('Données projet'!$B$11,Paramètres!$A$1:$I$89,5,0)</f>
        <v>0.74929572293752955</v>
      </c>
      <c r="BF4" s="13">
        <f>EXP(-1.0587+0.8836*LN(BE4)+0.284)</f>
        <v>0.35710479340754359</v>
      </c>
      <c r="BG4" s="20">
        <f t="shared" ref="BG4:BG67" si="7">(BE4+BF4)*0.475*44/12</f>
        <v>1.9269808993010022</v>
      </c>
      <c r="BH4" s="59">
        <f t="shared" ref="BH4:BH67" si="8">BG4+(AY4+AZ4)*44/12</f>
        <v>259.81586978818984</v>
      </c>
      <c r="BI4" s="59">
        <f ca="1">AVERAGE(OFFSET($BH$3,0,0,'Données projet'!$E$11+1,1))-AVERAGE(OFFSET($H$3,0,0,'Données projet'!$E$11+1,1))</f>
        <v>246.59447135626942</v>
      </c>
      <c r="BJ4" s="59">
        <f>$BJ$3</f>
        <v>262.00382544285367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1.0366626273684145</v>
      </c>
      <c r="CA4" s="13">
        <f>EXP(-1.0587+0.8836*LN(BZ4)+0.284)</f>
        <v>0.47573960617002853</v>
      </c>
      <c r="CB4" s="20">
        <f t="shared" ref="CB4:CB67" si="10">(BZ4+CA4)*0.475*44/12</f>
        <v>2.6341005567461218</v>
      </c>
      <c r="CC4" s="59">
        <f t="shared" ref="CC4:CC67" si="11">CB4+(BT4+BU4)*44/12</f>
        <v>260.52298944563501</v>
      </c>
      <c r="CD4" s="59">
        <f ca="1">AVERAGE(OFFSET($CC$3,0,0,'Données projet'!$E$12+1,1))-AVERAGE(OFFSET($H$3,0,0,'Données projet'!$E$12+1,1))</f>
        <v>169.62156467157178</v>
      </c>
      <c r="CE4" s="59">
        <f>$CE$3</f>
        <v>85.631326020763254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4.75</v>
      </c>
      <c r="CT4" s="12">
        <f>IF('Données projet'!$A$140&gt;35,CT3+CS4-DB3,IF(A4&lt;'Données projet'!$A$140,$CQ$205^A4,IF(A4='Données projet'!$A$140,'Données projet'!$B$140,CT3+CS4-DB3)))</f>
        <v>1.2557008269631629</v>
      </c>
      <c r="CU4" s="17">
        <f>CT4*VLOOKUP('Données projet'!$B$13,Paramètres!$A$1:$I$89,3,0)*VLOOKUP('Données projet'!$B$13,Paramètres!$A$1:$I$89,5,0)</f>
        <v>1.0186245108325178</v>
      </c>
      <c r="CV4" s="13">
        <f>EXP(-1.0587+0.8836*LN(CU4)+0.284)</f>
        <v>0.4684177496027801</v>
      </c>
      <c r="CW4" s="20">
        <f t="shared" ref="CW4:CW67" si="13">(CU4+CV4)*0.475*44/12</f>
        <v>2.5899319369248102</v>
      </c>
      <c r="CX4" s="59">
        <f t="shared" ref="CX4:CX67" si="14">CW4+(CO4+CP4)*44/12</f>
        <v>260.47882082581367</v>
      </c>
      <c r="CY4" s="59">
        <f ca="1">AVERAGE(OFFSET($CX$3,0,0,'Données projet'!$E$13+1,1))-AVERAGE(OFFSET($H$3,0,0,'Données projet'!$E$13+1,1))</f>
        <v>234.59657655504111</v>
      </c>
      <c r="CZ4" s="59">
        <f>$CZ$3</f>
        <v>285.10598666479211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1.2</v>
      </c>
      <c r="DO4" s="12">
        <f>IF('Données projet'!$A$166&gt;35,DO3+DN4-DW3,IF(A4&lt;'Données projet'!$A$166,$DL$205^A4,IF(A4='Données projet'!$A$166,'Données projet'!$B$166,DO3+DN4-DW3)))</f>
        <v>1.1457367676485573</v>
      </c>
      <c r="DP4" s="17">
        <f>DO4*VLOOKUP('Données projet'!$B$14,Paramètres!$A$1:$I$89,3,0)*VLOOKUP('Données projet'!$B$14,Paramètres!$A$1:$I$89,5,0)</f>
        <v>1.1081566016696847</v>
      </c>
      <c r="DQ4" s="13">
        <f>EXP(-1.0587+0.8836*LN(DP4)+0.284)</f>
        <v>0.50461671312632472</v>
      </c>
      <c r="DR4" s="20">
        <f t="shared" ref="DR4:DR67" si="16">(DP4+DQ4)*0.475*44/12</f>
        <v>2.808913523269716</v>
      </c>
      <c r="DS4" s="59">
        <f t="shared" ref="DS4:DS67" si="17">DR4+(DJ4+DK4)*44/12</f>
        <v>260.69780241215858</v>
      </c>
      <c r="DT4" s="59">
        <f ca="1">AVERAGE(OFFSET($DS$3,0,0,'Données projet'!$E$14+1,1))-AVERAGE(OFFSET($H$3,0,0,'Données projet'!$E$14+1,1))</f>
        <v>186.90852124957956</v>
      </c>
      <c r="DU4" s="59">
        <f>$DU$3</f>
        <v>93.013797128776446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1.2</v>
      </c>
      <c r="EJ4" s="12">
        <f>IF('Données projet'!$A$192&gt;35,EJ3+EI4-ER3,IF(A4&lt;'Données projet'!$A$192,$EG$205^A4,IF(A4='Données projet'!$A$192,'Données projet'!$B$192,EJ3+EI4-ER3)))</f>
        <v>1.1457367676485573</v>
      </c>
      <c r="EK4" s="17">
        <f>EJ4*VLOOKUP('Données projet'!$B$15,Paramètres!$A$1:$I$89,3,0)*VLOOKUP('Données projet'!$B$15,Paramètres!$A$1:$I$89,5,0)</f>
        <v>1.233271056696907</v>
      </c>
      <c r="EL4" s="13">
        <f>EXP(-1.0587+0.8836*LN(EK4)+0.284)</f>
        <v>0.55464025923604754</v>
      </c>
      <c r="EM4" s="20">
        <f t="shared" ref="EM4:EM67" si="19">(EK4+EL4)*0.475*44/12</f>
        <v>3.113945541916562</v>
      </c>
      <c r="EN4" s="59">
        <f t="shared" ref="EN4:EN67" si="20">EM4+(EE4+EF4)*44/12</f>
        <v>261.00283443080542</v>
      </c>
      <c r="EO4" s="59">
        <f ca="1">AVERAGE(OFFSET($EN$3,0,0,'Données projet'!$E$15+1,1))-AVERAGE(OFFSET($H$3,0,0,'Données projet'!$E$15+1,1))</f>
        <v>217.10418688911096</v>
      </c>
      <c r="EP4" s="59">
        <f>$EP$3</f>
        <v>105.90631421515786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2.0833333333333335</v>
      </c>
      <c r="N5" s="13">
        <f>IF('Données projet'!$A$36&gt;35,N4+M5-V4,IF(A5&lt;'Données projet'!$A$36,$K$205^A5,IF(A5='Données projet'!$A$36,'Données projet'!$B$36,N4+M5-V4)))</f>
        <v>1.7099759466766971</v>
      </c>
      <c r="O5" s="13">
        <f>N5*VLOOKUP('Données projet'!$B$9,Paramètres!$A$1:$I$89,3,0)*VLOOKUP('Données projet'!$B$9,Paramètres!$A$1:$I$89,5,0)</f>
        <v>1.0225656161126651</v>
      </c>
      <c r="P5" s="13">
        <f t="shared" ref="P5:P68" si="33">EXP(-1.0587+0.8836*LN(O5)+0.284)</f>
        <v>0.47001876423271316</v>
      </c>
      <c r="Q5" s="20">
        <f t="shared" si="2"/>
        <v>2.599584462434867</v>
      </c>
      <c r="R5" s="59">
        <f t="shared" si="0"/>
        <v>261.71069557354599</v>
      </c>
      <c r="S5" s="59">
        <f ca="1">AVERAGE(OFFSET($R$3,0,0,'Données projet'!$E$9+1,1))-AVERAGE(OFFSET($H$3,0,0,'Données projet'!$E$9+1,1))</f>
        <v>145.19188637714888</v>
      </c>
      <c r="T5" s="59">
        <f t="shared" ref="T5:T68" si="34">$T$3</f>
        <v>169.74069292032493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6.6</v>
      </c>
      <c r="AI5" s="13">
        <f>IF('Données projet'!$A$62&gt;35,AI4+AH5-AQ4,IF(A5&lt;'Données projet'!$A$62,$AF$205^A5,IF(A5='Données projet'!$A$62,'Données projet'!$B$62,AI4+AH5-AQ4)))</f>
        <v>1.629511362483081</v>
      </c>
      <c r="AJ5" s="13">
        <f>AI5*VLOOKUP('Données projet'!$B$10,Paramètres!$A$1:$I$89,3,0)*VLOOKUP('Données projet'!$B$10,Paramètres!$A$1:$I$89,5,0)</f>
        <v>1.4235411262652198</v>
      </c>
      <c r="AK5" s="13">
        <f t="shared" ref="AK5:AK68" si="35">EXP(-1.0587+0.8836*LN(AJ5)+0.284)</f>
        <v>0.62960738463416654</v>
      </c>
      <c r="AL5" s="20">
        <f t="shared" si="4"/>
        <v>3.5759003231497637</v>
      </c>
      <c r="AM5" s="59">
        <f t="shared" si="5"/>
        <v>262.68701143426091</v>
      </c>
      <c r="AN5" s="59">
        <f ca="1">AVERAGE(OFFSET($AM$3,0,0,'Données projet'!$E$10+1,1))-AVERAGE(OFFSET($H$3,0,0,'Données projet'!$E$10+1,1))</f>
        <v>254.24072778190163</v>
      </c>
      <c r="AO5" s="59">
        <f t="shared" ref="AO5:AO68" si="36">$AO$3</f>
        <v>356.78706780980383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4.55</v>
      </c>
      <c r="BD5" s="12">
        <f>IF('Données projet'!$A$88&gt;35,BD4+BC5-BL4,IF(A5&lt;'Données projet'!$A$88,$BA$205^A5,IF(A5='Données projet'!$A$88,'Données projet'!$B$88,BD4+BC5-BL4)))</f>
        <v>1.570016220211393</v>
      </c>
      <c r="BE5" s="13">
        <f>BD5*VLOOKUP('Données projet'!$B$11,Paramètres!$A$1:$I$89,3,0)*VLOOKUP('Données projet'!$B$11,Paramètres!$A$1:$I$89,5,0)</f>
        <v>0.9388696996864131</v>
      </c>
      <c r="BF5" s="13">
        <f t="shared" ref="BF5:BF68" si="37">EXP(-1.0587+0.8836*LN(BE5)+0.284)</f>
        <v>0.43585911075604999</v>
      </c>
      <c r="BG5" s="20">
        <f t="shared" si="7"/>
        <v>2.3943193448539568</v>
      </c>
      <c r="BH5" s="59">
        <f t="shared" si="8"/>
        <v>261.5054304559651</v>
      </c>
      <c r="BI5" s="59">
        <f ca="1">AVERAGE(OFFSET($BH$3,0,0,'Données projet'!$E$11+1,1))-AVERAGE(OFFSET($H$3,0,0,'Données projet'!$E$11+1,1))</f>
        <v>246.59447135626942</v>
      </c>
      <c r="BJ5" s="59">
        <f t="shared" ref="BJ5:BJ68" si="38">$BJ$3</f>
        <v>262.00382544285367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1.187742487823148</v>
      </c>
      <c r="CA5" s="13">
        <f t="shared" ref="CA5:CA68" si="39">EXP(-1.0587+0.8836*LN(BZ5)+0.284)</f>
        <v>0.53650859312100496</v>
      </c>
      <c r="CB5" s="20">
        <f t="shared" si="10"/>
        <v>3.0030706326443997</v>
      </c>
      <c r="CC5" s="59">
        <f t="shared" si="11"/>
        <v>262.11418174375552</v>
      </c>
      <c r="CD5" s="59">
        <f ca="1">AVERAGE(OFFSET($CC$3,0,0,'Données projet'!$E$12+1,1))-AVERAGE(OFFSET($H$3,0,0,'Données projet'!$E$12+1,1))</f>
        <v>169.62156467157178</v>
      </c>
      <c r="CE5" s="59">
        <f t="shared" ref="CE5:CE68" si="40">$CE$3</f>
        <v>85.631326020763254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4.75</v>
      </c>
      <c r="CT5" s="12">
        <f>IF('Données projet'!$A$140&gt;35,CT4+CS5-DB4,IF(A5&lt;'Données projet'!$A$140,$CQ$205^A5,IF(A5='Données projet'!$A$140,'Données projet'!$B$140,CT4+CS5-DB4)))</f>
        <v>1.576784566835971</v>
      </c>
      <c r="CU5" s="17">
        <f>CT5*VLOOKUP('Données projet'!$B$13,Paramètres!$A$1:$I$89,3,0)*VLOOKUP('Données projet'!$B$13,Paramètres!$A$1:$I$89,5,0)</f>
        <v>1.2790876406173397</v>
      </c>
      <c r="CV5" s="13">
        <f t="shared" ref="CV5:CV68" si="41">EXP(-1.0587+0.8836*LN(CU5)+0.284)</f>
        <v>0.57280812840105289</v>
      </c>
      <c r="CW5" s="20">
        <f t="shared" si="13"/>
        <v>3.2253851310403672</v>
      </c>
      <c r="CX5" s="59">
        <f t="shared" si="14"/>
        <v>262.3364962421515</v>
      </c>
      <c r="CY5" s="59">
        <f ca="1">AVERAGE(OFFSET($CX$3,0,0,'Données projet'!$E$13+1,1))-AVERAGE(OFFSET($H$3,0,0,'Données projet'!$E$13+1,1))</f>
        <v>234.59657655504111</v>
      </c>
      <c r="CZ5" s="59">
        <f t="shared" ref="CZ5:CZ68" si="42">$CZ$3</f>
        <v>285.10598666479211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1.2</v>
      </c>
      <c r="DO5" s="12">
        <f>IF('Données projet'!$A$166&gt;35,DO4+DN5-DW4,IF(A5&lt;'Données projet'!$A$166,$DL$205^A5,IF(A5='Données projet'!$A$166,'Données projet'!$B$166,DO4+DN5-DW4)))</f>
        <v>1.312712740741764</v>
      </c>
      <c r="DP5" s="17">
        <f>DO5*VLOOKUP('Données projet'!$B$14,Paramètres!$A$1:$I$89,3,0)*VLOOKUP('Données projet'!$B$14,Paramètres!$A$1:$I$89,5,0)</f>
        <v>1.2696557628454344</v>
      </c>
      <c r="DQ5" s="13">
        <f t="shared" ref="DQ5:DQ68" si="43">EXP(-1.0587+0.8836*LN(DP5)+0.284)</f>
        <v>0.56907434090738995</v>
      </c>
      <c r="DR5" s="20">
        <f t="shared" si="16"/>
        <v>3.2024549307028356</v>
      </c>
      <c r="DS5" s="59">
        <f t="shared" si="17"/>
        <v>262.313566041814</v>
      </c>
      <c r="DT5" s="59">
        <f ca="1">AVERAGE(OFFSET($DS$3,0,0,'Données projet'!$E$14+1,1))-AVERAGE(OFFSET($H$3,0,0,'Données projet'!$E$14+1,1))</f>
        <v>186.90852124957956</v>
      </c>
      <c r="DU5" s="59">
        <f t="shared" ref="DU5:DU68" si="44">$DU$3</f>
        <v>93.013797128776446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1.2</v>
      </c>
      <c r="EJ5" s="12">
        <f>IF('Données projet'!$A$192&gt;35,EJ4+EI5-ER4,IF(A5&lt;'Données projet'!$A$192,$EG$205^A5,IF(A5='Données projet'!$A$192,'Données projet'!$B$192,EJ4+EI5-ER4)))</f>
        <v>1.312712740741764</v>
      </c>
      <c r="EK5" s="17">
        <f>EJ5*VLOOKUP('Données projet'!$B$15,Paramètres!$A$1:$I$89,3,0)*VLOOKUP('Données projet'!$B$15,Paramètres!$A$1:$I$89,5,0)</f>
        <v>1.4130039941344348</v>
      </c>
      <c r="EL5" s="13">
        <f t="shared" ref="EL5:EL68" si="45">EXP(-1.0587+0.8836*LN(EK5)+0.284)</f>
        <v>0.62548768551477418</v>
      </c>
      <c r="EM5" s="20">
        <f t="shared" si="19"/>
        <v>3.5503730087223722</v>
      </c>
      <c r="EN5" s="59">
        <f t="shared" si="20"/>
        <v>262.66148411983352</v>
      </c>
      <c r="EO5" s="59">
        <f ca="1">AVERAGE(OFFSET($EN$3,0,0,'Données projet'!$E$15+1,1))-AVERAGE(OFFSET($H$3,0,0,'Données projet'!$E$15+1,1))</f>
        <v>217.10418688911096</v>
      </c>
      <c r="EP5" s="59">
        <f t="shared" ref="EP5:EP68" si="46">$EP$3</f>
        <v>105.90631421515786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2.0833333333333335</v>
      </c>
      <c r="N6" s="13">
        <f>IF('Données projet'!$A$36&gt;35,N5+M6-V5,IF(A6&lt;'Données projet'!$A$36,$K$205^A6,IF(A6='Données projet'!$A$36,'Données projet'!$B$36,N5+M6-V5)))</f>
        <v>2.2360679774997898</v>
      </c>
      <c r="O6" s="13">
        <f>N6*VLOOKUP('Données projet'!$B$9,Paramètres!$A$1:$I$89,3,0)*VLOOKUP('Données projet'!$B$9,Paramètres!$A$1:$I$89,5,0)</f>
        <v>1.3371686505448743</v>
      </c>
      <c r="P6" s="13">
        <f t="shared" si="33"/>
        <v>0.59573097109501338</v>
      </c>
      <c r="Q6" s="20">
        <f t="shared" si="2"/>
        <v>3.3664668410228042</v>
      </c>
      <c r="R6" s="59">
        <f t="shared" si="0"/>
        <v>263.69980017435614</v>
      </c>
      <c r="S6" s="59">
        <f ca="1">AVERAGE(OFFSET($R$3,0,0,'Données projet'!$E$9+1,1))-AVERAGE(OFFSET($H$3,0,0,'Données projet'!$E$9+1,1))</f>
        <v>145.19188637714888</v>
      </c>
      <c r="T6" s="59">
        <f t="shared" si="34"/>
        <v>169.74069292032493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6.6</v>
      </c>
      <c r="AI6" s="13">
        <f>IF('Données projet'!$A$62&gt;35,AI5+AH6-AQ5,IF(A6&lt;'Données projet'!$A$62,$AF$205^A6,IF(A6='Données projet'!$A$62,'Données projet'!$B$62,AI5+AH6-AQ5)))</f>
        <v>2.0801089837784965</v>
      </c>
      <c r="AJ6" s="13">
        <f>AI6*VLOOKUP('Données projet'!$B$10,Paramètres!$A$1:$I$89,3,0)*VLOOKUP('Données projet'!$B$10,Paramètres!$A$1:$I$89,5,0)</f>
        <v>1.8171832082288948</v>
      </c>
      <c r="AK6" s="13">
        <f t="shared" si="35"/>
        <v>0.7811901694881791</v>
      </c>
      <c r="AL6" s="20">
        <f t="shared" si="4"/>
        <v>4.5255002995239044</v>
      </c>
      <c r="AM6" s="59">
        <f t="shared" si="5"/>
        <v>264.85883363285723</v>
      </c>
      <c r="AN6" s="59">
        <f ca="1">AVERAGE(OFFSET($AM$3,0,0,'Données projet'!$E$10+1,1))-AVERAGE(OFFSET($H$3,0,0,'Données projet'!$E$10+1,1))</f>
        <v>254.24072778190163</v>
      </c>
      <c r="AO6" s="59">
        <f t="shared" si="36"/>
        <v>356.78706780980383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4.55</v>
      </c>
      <c r="BD6" s="12">
        <f>IF('Données projet'!$A$88&gt;35,BD5+BC6-BL5,IF(A6&lt;'Données projet'!$A$88,$BA$205^A6,IF(A6='Données projet'!$A$88,'Données projet'!$B$88,BD5+BC6-BL5)))</f>
        <v>1.9672348474029151</v>
      </c>
      <c r="BE6" s="13">
        <f>BD6*VLOOKUP('Données projet'!$B$11,Paramètres!$A$1:$I$89,3,0)*VLOOKUP('Données projet'!$B$11,Paramètres!$A$1:$I$89,5,0)</f>
        <v>1.1764064387469433</v>
      </c>
      <c r="BF6" s="13">
        <f t="shared" si="37"/>
        <v>0.53198155817597481</v>
      </c>
      <c r="BG6" s="20">
        <f t="shared" si="7"/>
        <v>2.9754424279740825</v>
      </c>
      <c r="BH6" s="59">
        <f t="shared" si="8"/>
        <v>263.3087757613074</v>
      </c>
      <c r="BI6" s="59">
        <f ca="1">AVERAGE(OFFSET($BH$3,0,0,'Données projet'!$E$11+1,1))-AVERAGE(OFFSET($H$3,0,0,'Données projet'!$E$11+1,1))</f>
        <v>246.59447135626942</v>
      </c>
      <c r="BJ6" s="59">
        <f t="shared" si="38"/>
        <v>262.00382544285367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1.3608402387973495</v>
      </c>
      <c r="CA6" s="13">
        <f t="shared" si="39"/>
        <v>0.60503995622724338</v>
      </c>
      <c r="CB6" s="20">
        <f t="shared" si="10"/>
        <v>3.4239080063344987</v>
      </c>
      <c r="CC6" s="59">
        <f t="shared" si="11"/>
        <v>263.75724133966781</v>
      </c>
      <c r="CD6" s="59">
        <f ca="1">AVERAGE(OFFSET($CC$3,0,0,'Données projet'!$E$12+1,1))-AVERAGE(OFFSET($H$3,0,0,'Données projet'!$E$12+1,1))</f>
        <v>169.62156467157178</v>
      </c>
      <c r="CE6" s="59">
        <f t="shared" si="40"/>
        <v>85.631326020763254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4.75</v>
      </c>
      <c r="CT6" s="12">
        <f>IF('Données projet'!$A$140&gt;35,CT5+CS6-DB5,IF(A6&lt;'Données projet'!$A$140,$CQ$205^A6,IF(A6='Données projet'!$A$140,'Données projet'!$B$140,CT5+CS6-DB5)))</f>
        <v>1.9799696845186814</v>
      </c>
      <c r="CU6" s="17">
        <f>CT6*VLOOKUP('Données projet'!$B$13,Paramètres!$A$1:$I$89,3,0)*VLOOKUP('Données projet'!$B$13,Paramètres!$A$1:$I$89,5,0)</f>
        <v>1.6061514080815542</v>
      </c>
      <c r="CV6" s="13">
        <f t="shared" si="41"/>
        <v>0.70046267939367102</v>
      </c>
      <c r="CW6" s="20">
        <f t="shared" si="13"/>
        <v>4.0173528690193505</v>
      </c>
      <c r="CX6" s="59">
        <f t="shared" si="14"/>
        <v>264.35068620235268</v>
      </c>
      <c r="CY6" s="59">
        <f ca="1">AVERAGE(OFFSET($CX$3,0,0,'Données projet'!$E$13+1,1))-AVERAGE(OFFSET($H$3,0,0,'Données projet'!$E$13+1,1))</f>
        <v>234.59657655504111</v>
      </c>
      <c r="CZ6" s="59">
        <f t="shared" si="42"/>
        <v>285.10598666479211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1.2</v>
      </c>
      <c r="DO6" s="12">
        <f>IF('Données projet'!$A$166&gt;35,DO5+DN6-DW5,IF(A6&lt;'Données projet'!$A$166,$DL$205^A6,IF(A6='Données projet'!$A$166,'Données projet'!$B$166,DO5+DN6-DW5)))</f>
        <v>1.5040232524285473</v>
      </c>
      <c r="DP6" s="17">
        <f>DO6*VLOOKUP('Données projet'!$B$14,Paramètres!$A$1:$I$89,3,0)*VLOOKUP('Données projet'!$B$14,Paramètres!$A$1:$I$89,5,0)</f>
        <v>1.4546912897488911</v>
      </c>
      <c r="DQ6" s="13">
        <f t="shared" si="43"/>
        <v>0.64176551639126822</v>
      </c>
      <c r="DR6" s="20">
        <f t="shared" si="16"/>
        <v>3.6513289373607773</v>
      </c>
      <c r="DS6" s="59">
        <f t="shared" si="17"/>
        <v>263.98466227069412</v>
      </c>
      <c r="DT6" s="59">
        <f ca="1">AVERAGE(OFFSET($DS$3,0,0,'Données projet'!$E$14+1,1))-AVERAGE(OFFSET($H$3,0,0,'Données projet'!$E$14+1,1))</f>
        <v>186.90852124957956</v>
      </c>
      <c r="DU6" s="59">
        <f t="shared" si="44"/>
        <v>93.013797128776446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1.2</v>
      </c>
      <c r="EJ6" s="12">
        <f>IF('Données projet'!$A$192&gt;35,EJ5+EI6-ER5,IF(A6&lt;'Données projet'!$A$192,$EG$205^A6,IF(A6='Données projet'!$A$192,'Données projet'!$B$192,EJ5+EI6-ER5)))</f>
        <v>1.5040232524285473</v>
      </c>
      <c r="EK6" s="17">
        <f>EJ6*VLOOKUP('Données projet'!$B$15,Paramètres!$A$1:$I$89,3,0)*VLOOKUP('Données projet'!$B$15,Paramètres!$A$1:$I$89,5,0)</f>
        <v>1.6189306289140883</v>
      </c>
      <c r="EL6" s="13">
        <f t="shared" si="45"/>
        <v>0.70538486562354785</v>
      </c>
      <c r="EM6" s="20">
        <f t="shared" si="19"/>
        <v>4.0481828196530492</v>
      </c>
      <c r="EN6" s="59">
        <f t="shared" si="20"/>
        <v>264.38151615298636</v>
      </c>
      <c r="EO6" s="59">
        <f ca="1">AVERAGE(OFFSET($EN$3,0,0,'Données projet'!$E$15+1,1))-AVERAGE(OFFSET($H$3,0,0,'Données projet'!$E$15+1,1))</f>
        <v>217.10418688911096</v>
      </c>
      <c r="EP6" s="59">
        <f t="shared" si="46"/>
        <v>105.90631421515786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2.0833333333333335</v>
      </c>
      <c r="N7" s="13">
        <f>IF('Données projet'!$A$36&gt;35,N6+M7-V6,IF(A7&lt;'Données projet'!$A$36,$K$205^A7,IF(A7='Données projet'!$A$36,'Données projet'!$B$36,N6+M7-V6)))</f>
        <v>2.9240177382128665</v>
      </c>
      <c r="O7" s="13">
        <f>N7*VLOOKUP('Données projet'!$B$9,Paramètres!$A$1:$I$89,3,0)*VLOOKUP('Données projet'!$B$9,Paramètres!$A$1:$I$89,5,0)</f>
        <v>1.7485626074512943</v>
      </c>
      <c r="P7" s="13">
        <f t="shared" si="33"/>
        <v>0.75506642910557031</v>
      </c>
      <c r="Q7" s="20">
        <f t="shared" si="2"/>
        <v>4.3604872386698723</v>
      </c>
      <c r="R7" s="59">
        <f t="shared" si="0"/>
        <v>265.9160427942254</v>
      </c>
      <c r="S7" s="59">
        <f ca="1">AVERAGE(OFFSET($R$3,0,0,'Données projet'!$E$9+1,1))-AVERAGE(OFFSET($H$3,0,0,'Données projet'!$E$9+1,1))</f>
        <v>145.19188637714888</v>
      </c>
      <c r="T7" s="59">
        <f t="shared" si="34"/>
        <v>169.74069292032493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6.6</v>
      </c>
      <c r="AI7" s="13">
        <f>IF('Données projet'!$A$62&gt;35,AI6+AH7-AQ6,IF(A7&lt;'Données projet'!$A$62,$AF$205^A7,IF(A7='Données projet'!$A$62,'Données projet'!$B$62,AI6+AH7-AQ6)))</f>
        <v>2.655307280461467</v>
      </c>
      <c r="AJ7" s="13">
        <f>AI7*VLOOKUP('Données projet'!$B$10,Paramètres!$A$1:$I$89,3,0)*VLOOKUP('Données projet'!$B$10,Paramètres!$A$1:$I$89,5,0)</f>
        <v>2.3196764402111376</v>
      </c>
      <c r="AK7" s="13">
        <f t="shared" si="35"/>
        <v>0.96926766711854973</v>
      </c>
      <c r="AL7" s="20">
        <f t="shared" si="4"/>
        <v>5.7282443202658717</v>
      </c>
      <c r="AM7" s="59">
        <f t="shared" si="5"/>
        <v>267.28379987582139</v>
      </c>
      <c r="AN7" s="59">
        <f ca="1">AVERAGE(OFFSET($AM$3,0,0,'Données projet'!$E$10+1,1))-AVERAGE(OFFSET($H$3,0,0,'Données projet'!$E$10+1,1))</f>
        <v>254.24072778190163</v>
      </c>
      <c r="AO7" s="59">
        <f t="shared" si="36"/>
        <v>356.78706780980383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4.55</v>
      </c>
      <c r="BD7" s="12">
        <f>IF('Données projet'!$A$88&gt;35,BD6+BC7-BL6,IF(A7&lt;'Données projet'!$A$88,$BA$205^A7,IF(A7='Données projet'!$A$88,'Données projet'!$B$88,BD6+BC7-BL6)))</f>
        <v>2.4649509317268694</v>
      </c>
      <c r="BE7" s="13">
        <f>BD7*VLOOKUP('Données projet'!$B$11,Paramètres!$A$1:$I$89,3,0)*VLOOKUP('Données projet'!$B$11,Paramètres!$A$1:$I$89,5,0)</f>
        <v>1.4740406571726681</v>
      </c>
      <c r="BF7" s="13">
        <f t="shared" si="37"/>
        <v>0.64930242653052039</v>
      </c>
      <c r="BG7" s="20">
        <f t="shared" si="7"/>
        <v>3.6981558707830531</v>
      </c>
      <c r="BH7" s="59">
        <f t="shared" si="8"/>
        <v>265.25371142633861</v>
      </c>
      <c r="BI7" s="59">
        <f ca="1">AVERAGE(OFFSET($BH$3,0,0,'Données projet'!$E$11+1,1))-AVERAGE(OFFSET($H$3,0,0,'Données projet'!$E$11+1,1))</f>
        <v>246.59447135626942</v>
      </c>
      <c r="BJ7" s="59">
        <f t="shared" si="38"/>
        <v>262.00382544285367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1.5591646964857659</v>
      </c>
      <c r="CA7" s="13">
        <f t="shared" si="39"/>
        <v>0.68232522894353675</v>
      </c>
      <c r="CB7" s="20">
        <f t="shared" si="10"/>
        <v>3.9039282867893692</v>
      </c>
      <c r="CC7" s="59">
        <f t="shared" si="11"/>
        <v>265.45948384234492</v>
      </c>
      <c r="CD7" s="59">
        <f ca="1">AVERAGE(OFFSET($CC$3,0,0,'Données projet'!$E$12+1,1))-AVERAGE(OFFSET($H$3,0,0,'Données projet'!$E$12+1,1))</f>
        <v>169.62156467157178</v>
      </c>
      <c r="CE7" s="59">
        <f t="shared" si="40"/>
        <v>85.631326020763254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4.75</v>
      </c>
      <c r="CT7" s="12">
        <f>IF('Données projet'!$A$140&gt;35,CT6+CS7-DB6,IF(A7&lt;'Données projet'!$A$140,$CQ$205^A7,IF(A7='Données projet'!$A$140,'Données projet'!$B$140,CT6+CS7-DB6)))</f>
        <v>2.4862495702121006</v>
      </c>
      <c r="CU7" s="17">
        <f>CT7*VLOOKUP('Données projet'!$B$13,Paramètres!$A$1:$I$89,3,0)*VLOOKUP('Données projet'!$B$13,Paramètres!$A$1:$I$89,5,0)</f>
        <v>2.0168456513560562</v>
      </c>
      <c r="CV7" s="13">
        <f t="shared" si="41"/>
        <v>0.8565659963537261</v>
      </c>
      <c r="CW7" s="20">
        <f t="shared" si="13"/>
        <v>5.00452528642787</v>
      </c>
      <c r="CX7" s="59">
        <f t="shared" si="14"/>
        <v>266.56008084198339</v>
      </c>
      <c r="CY7" s="59">
        <f ca="1">AVERAGE(OFFSET($CX$3,0,0,'Données projet'!$E$13+1,1))-AVERAGE(OFFSET($H$3,0,0,'Données projet'!$E$13+1,1))</f>
        <v>234.59657655504111</v>
      </c>
      <c r="CZ7" s="59">
        <f t="shared" si="42"/>
        <v>285.10598666479211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1.2</v>
      </c>
      <c r="DO7" s="12">
        <f>IF('Données projet'!$A$166&gt;35,DO6+DN7-DW6,IF(A7&lt;'Données projet'!$A$166,$DL$205^A7,IF(A7='Données projet'!$A$166,'Données projet'!$B$166,DO6+DN7-DW6)))</f>
        <v>1.7232147397057538</v>
      </c>
      <c r="DP7" s="17">
        <f>DO7*VLOOKUP('Données projet'!$B$14,Paramètres!$A$1:$I$89,3,0)*VLOOKUP('Données projet'!$B$14,Paramètres!$A$1:$I$89,5,0)</f>
        <v>1.6666932962434051</v>
      </c>
      <c r="DQ7" s="13">
        <f t="shared" si="43"/>
        <v>0.72374195851500689</v>
      </c>
      <c r="DR7" s="20">
        <f t="shared" si="16"/>
        <v>4.1633414020375676</v>
      </c>
      <c r="DS7" s="59">
        <f t="shared" si="17"/>
        <v>265.71889695759313</v>
      </c>
      <c r="DT7" s="59">
        <f ca="1">AVERAGE(OFFSET($DS$3,0,0,'Données projet'!$E$14+1,1))-AVERAGE(OFFSET($H$3,0,0,'Données projet'!$E$14+1,1))</f>
        <v>186.90852124957956</v>
      </c>
      <c r="DU7" s="59">
        <f t="shared" si="44"/>
        <v>93.013797128776446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1.2</v>
      </c>
      <c r="EJ7" s="12">
        <f>IF('Données projet'!$A$192&gt;35,EJ6+EI7-ER6,IF(A7&lt;'Données projet'!$A$192,$EG$205^A7,IF(A7='Données projet'!$A$192,'Données projet'!$B$192,EJ6+EI7-ER6)))</f>
        <v>1.7232147397057538</v>
      </c>
      <c r="EK7" s="17">
        <f>EJ7*VLOOKUP('Données projet'!$B$15,Paramètres!$A$1:$I$89,3,0)*VLOOKUP('Données projet'!$B$15,Paramètres!$A$1:$I$89,5,0)</f>
        <v>1.8548683458192732</v>
      </c>
      <c r="EL7" s="13">
        <f t="shared" si="45"/>
        <v>0.79548777725536501</v>
      </c>
      <c r="EM7" s="20">
        <f t="shared" si="19"/>
        <v>4.6160369143549937</v>
      </c>
      <c r="EN7" s="59">
        <f t="shared" si="20"/>
        <v>266.17159246991054</v>
      </c>
      <c r="EO7" s="59">
        <f ca="1">AVERAGE(OFFSET($EN$3,0,0,'Données projet'!$E$15+1,1))-AVERAGE(OFFSET($H$3,0,0,'Données projet'!$E$15+1,1))</f>
        <v>217.10418688911096</v>
      </c>
      <c r="EP7" s="59">
        <f t="shared" si="46"/>
        <v>105.90631421515786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2.0833333333333335</v>
      </c>
      <c r="N8" s="13">
        <f>IF('Données projet'!$A$36&gt;35,N7+M8-V7,IF(A8&lt;'Données projet'!$A$36,$K$205^A8,IF(A8='Données projet'!$A$36,'Données projet'!$B$36,N7+M8-V7)))</f>
        <v>3.8236224566586507</v>
      </c>
      <c r="O8" s="13">
        <f>N8*VLOOKUP('Données projet'!$B$9,Paramètres!$A$1:$I$89,3,0)*VLOOKUP('Données projet'!$B$9,Paramètres!$A$1:$I$89,5,0)</f>
        <v>2.2865262290818733</v>
      </c>
      <c r="P8" s="13">
        <f t="shared" si="33"/>
        <v>0.95701808370696195</v>
      </c>
      <c r="Q8" s="20">
        <f t="shared" si="2"/>
        <v>5.6491730114405536</v>
      </c>
      <c r="R8" s="59">
        <f t="shared" si="0"/>
        <v>268.42695078921832</v>
      </c>
      <c r="S8" s="59">
        <f ca="1">AVERAGE(OFFSET($R$3,0,0,'Données projet'!$E$9+1,1))-AVERAGE(OFFSET($H$3,0,0,'Données projet'!$E$9+1,1))</f>
        <v>145.19188637714888</v>
      </c>
      <c r="T8" s="59">
        <f t="shared" si="34"/>
        <v>169.74069292032493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6.6</v>
      </c>
      <c r="AI8" s="13">
        <f>IF('Données projet'!$A$62&gt;35,AI7+AH8-AQ7,IF(A8&lt;'Données projet'!$A$62,$AF$205^A8,IF(A8='Données projet'!$A$62,'Données projet'!$B$62,AI7+AH8-AQ7)))</f>
        <v>3.3895612242701949</v>
      </c>
      <c r="AJ8" s="13">
        <f>AI8*VLOOKUP('Données projet'!$B$10,Paramètres!$A$1:$I$89,3,0)*VLOOKUP('Données projet'!$B$10,Paramètres!$A$1:$I$89,5,0)</f>
        <v>2.9611206855224426</v>
      </c>
      <c r="AK8" s="13">
        <f t="shared" si="35"/>
        <v>1.2026262582604759</v>
      </c>
      <c r="AL8" s="20">
        <f t="shared" si="4"/>
        <v>7.2518592604219156</v>
      </c>
      <c r="AM8" s="59">
        <f t="shared" si="5"/>
        <v>270.02963703819967</v>
      </c>
      <c r="AN8" s="59">
        <f ca="1">AVERAGE(OFFSET($AM$3,0,0,'Données projet'!$E$10+1,1))-AVERAGE(OFFSET($H$3,0,0,'Données projet'!$E$10+1,1))</f>
        <v>254.24072778190163</v>
      </c>
      <c r="AO8" s="59">
        <f t="shared" si="36"/>
        <v>356.78706780980383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4.55</v>
      </c>
      <c r="BD8" s="12">
        <f>IF('Données projet'!$A$88&gt;35,BD7+BC8-BL7,IF(A8&lt;'Données projet'!$A$88,$BA$205^A8,IF(A8='Données projet'!$A$88,'Données projet'!$B$88,BD7+BC8-BL7)))</f>
        <v>3.0885906193876616</v>
      </c>
      <c r="BE8" s="13">
        <f>BD8*VLOOKUP('Données projet'!$B$11,Paramètres!$A$1:$I$89,3,0)*VLOOKUP('Données projet'!$B$11,Paramètres!$A$1:$I$89,5,0)</f>
        <v>1.8469771903938217</v>
      </c>
      <c r="BF8" s="13">
        <f t="shared" si="37"/>
        <v>0.79249672214945899</v>
      </c>
      <c r="BG8" s="20">
        <f t="shared" si="7"/>
        <v>4.59708373101288</v>
      </c>
      <c r="BH8" s="59">
        <f t="shared" si="8"/>
        <v>267.37486150879067</v>
      </c>
      <c r="BI8" s="59">
        <f ca="1">AVERAGE(OFFSET($BH$3,0,0,'Données projet'!$E$11+1,1))-AVERAGE(OFFSET($H$3,0,0,'Données projet'!$E$11+1,1))</f>
        <v>246.59447135626942</v>
      </c>
      <c r="BJ8" s="59">
        <f t="shared" si="38"/>
        <v>262.00382544285367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1.7863923195833453</v>
      </c>
      <c r="CA8" s="13">
        <f t="shared" si="39"/>
        <v>0.76948259905993732</v>
      </c>
      <c r="CB8" s="20">
        <f t="shared" si="10"/>
        <v>4.4514821499703841</v>
      </c>
      <c r="CC8" s="59">
        <f t="shared" si="11"/>
        <v>267.22925992774816</v>
      </c>
      <c r="CD8" s="59">
        <f ca="1">AVERAGE(OFFSET($CC$3,0,0,'Données projet'!$E$12+1,1))-AVERAGE(OFFSET($H$3,0,0,'Données projet'!$E$12+1,1))</f>
        <v>169.62156467157178</v>
      </c>
      <c r="CE8" s="59">
        <f t="shared" si="40"/>
        <v>85.631326020763254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4.75</v>
      </c>
      <c r="CT8" s="12">
        <f>IF('Données projet'!$A$140&gt;35,CT7+CS8-DB7,IF(A8&lt;'Données projet'!$A$140,$CQ$205^A8,IF(A8='Données projet'!$A$140,'Données projet'!$B$140,CT7+CS8-DB7)))</f>
        <v>3.121985641352143</v>
      </c>
      <c r="CU8" s="17">
        <f>CT8*VLOOKUP('Données projet'!$B$13,Paramètres!$A$1:$I$89,3,0)*VLOOKUP('Données projet'!$B$13,Paramètres!$A$1:$I$89,5,0)</f>
        <v>2.5325547522648586</v>
      </c>
      <c r="CV8" s="13">
        <f t="shared" si="41"/>
        <v>1.0474580983308857</v>
      </c>
      <c r="CW8" s="20">
        <f t="shared" si="13"/>
        <v>6.2351890481209198</v>
      </c>
      <c r="CX8" s="59">
        <f t="shared" si="14"/>
        <v>269.01296682589867</v>
      </c>
      <c r="CY8" s="59">
        <f ca="1">AVERAGE(OFFSET($CX$3,0,0,'Données projet'!$E$13+1,1))-AVERAGE(OFFSET($H$3,0,0,'Données projet'!$E$13+1,1))</f>
        <v>234.59657655504111</v>
      </c>
      <c r="CZ8" s="59">
        <f t="shared" si="42"/>
        <v>285.10598666479211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1.2</v>
      </c>
      <c r="DO8" s="12">
        <f>IF('Données projet'!$A$166&gt;35,DO7+DN8-DW7,IF(A8&lt;'Données projet'!$A$166,$DL$205^A8,IF(A8='Données projet'!$A$166,'Données projet'!$B$166,DO7+DN8-DW7)))</f>
        <v>1.9743504858348202</v>
      </c>
      <c r="DP8" s="17">
        <f>DO8*VLOOKUP('Données projet'!$B$14,Paramètres!$A$1:$I$89,3,0)*VLOOKUP('Données projet'!$B$14,Paramètres!$A$1:$I$89,5,0)</f>
        <v>1.9095917898994379</v>
      </c>
      <c r="DQ8" s="13">
        <f t="shared" si="43"/>
        <v>0.81618972839261894</v>
      </c>
      <c r="DR8" s="20">
        <f t="shared" si="16"/>
        <v>4.7474028110253315</v>
      </c>
      <c r="DS8" s="59">
        <f t="shared" si="17"/>
        <v>267.5251805888031</v>
      </c>
      <c r="DT8" s="59">
        <f ca="1">AVERAGE(OFFSET($DS$3,0,0,'Données projet'!$E$14+1,1))-AVERAGE(OFFSET($H$3,0,0,'Données projet'!$E$14+1,1))</f>
        <v>186.90852124957956</v>
      </c>
      <c r="DU8" s="59">
        <f t="shared" si="44"/>
        <v>93.013797128776446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1.2</v>
      </c>
      <c r="EJ8" s="12">
        <f>IF('Données projet'!$A$192&gt;35,EJ7+EI8-ER7,IF(A8&lt;'Données projet'!$A$192,$EG$205^A8,IF(A8='Données projet'!$A$192,'Données projet'!$B$192,EJ7+EI8-ER7)))</f>
        <v>1.9743504858348202</v>
      </c>
      <c r="EK8" s="17">
        <f>EJ8*VLOOKUP('Données projet'!$B$15,Paramètres!$A$1:$I$89,3,0)*VLOOKUP('Données projet'!$B$15,Paramètres!$A$1:$I$89,5,0)</f>
        <v>2.1251908629526004</v>
      </c>
      <c r="EL8" s="13">
        <f t="shared" si="45"/>
        <v>0.89710005785748825</v>
      </c>
      <c r="EM8" s="20">
        <f t="shared" si="19"/>
        <v>5.2638233537442369</v>
      </c>
      <c r="EN8" s="59">
        <f t="shared" si="20"/>
        <v>268.04160113152199</v>
      </c>
      <c r="EO8" s="59">
        <f ca="1">AVERAGE(OFFSET($EN$3,0,0,'Données projet'!$E$15+1,1))-AVERAGE(OFFSET($H$3,0,0,'Données projet'!$E$15+1,1))</f>
        <v>217.10418688911096</v>
      </c>
      <c r="EP8" s="59">
        <f t="shared" si="46"/>
        <v>105.90631421515786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2.0833333333333335</v>
      </c>
      <c r="N9" s="13">
        <f>IF('Données projet'!$A$36&gt;35,N8+M9-V8,IF(A9&lt;'Données projet'!$A$36,$K$205^A9,IF(A9='Données projet'!$A$36,'Données projet'!$B$36,N8+M9-V8)))</f>
        <v>5.0000000000000009</v>
      </c>
      <c r="O9" s="13">
        <f>N9*VLOOKUP('Données projet'!$B$9,Paramètres!$A$1:$I$89,3,0)*VLOOKUP('Données projet'!$B$9,Paramètres!$A$1:$I$89,5,0)</f>
        <v>2.9900000000000011</v>
      </c>
      <c r="P9" s="13">
        <f t="shared" si="33"/>
        <v>1.212984152436859</v>
      </c>
      <c r="Q9" s="20">
        <f t="shared" si="2"/>
        <v>7.3201973988275313</v>
      </c>
      <c r="R9" s="59">
        <f t="shared" si="0"/>
        <v>271.32019739882753</v>
      </c>
      <c r="S9" s="59">
        <f ca="1">AVERAGE(OFFSET($R$3,0,0,'Données projet'!$E$9+1,1))-AVERAGE(OFFSET($H$3,0,0,'Données projet'!$E$9+1,1))</f>
        <v>145.19188637714888</v>
      </c>
      <c r="T9" s="59">
        <f t="shared" si="34"/>
        <v>169.74069292032493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6.6</v>
      </c>
      <c r="AI9" s="13">
        <f>IF('Données projet'!$A$62&gt;35,AI8+AH9-AQ8,IF(A9&lt;'Données projet'!$A$62,$AF$205^A9,IF(A9='Données projet'!$A$62,'Données projet'!$B$62,AI8+AH9-AQ8)))</f>
        <v>4.32685338439601</v>
      </c>
      <c r="AJ9" s="13">
        <f>AI9*VLOOKUP('Données projet'!$B$10,Paramètres!$A$1:$I$89,3,0)*VLOOKUP('Données projet'!$B$10,Paramètres!$A$1:$I$89,5,0)</f>
        <v>3.7799391166083551</v>
      </c>
      <c r="AK9" s="13">
        <f t="shared" si="35"/>
        <v>1.4921677118944865</v>
      </c>
      <c r="AL9" s="20">
        <f t="shared" si="4"/>
        <v>9.1822527263091143</v>
      </c>
      <c r="AM9" s="59">
        <f t="shared" si="5"/>
        <v>273.18225272630912</v>
      </c>
      <c r="AN9" s="59">
        <f ca="1">AVERAGE(OFFSET($AM$3,0,0,'Données projet'!$E$10+1,1))-AVERAGE(OFFSET($H$3,0,0,'Données projet'!$E$10+1,1))</f>
        <v>254.24072778190163</v>
      </c>
      <c r="AO9" s="59">
        <f t="shared" si="36"/>
        <v>356.78706780980383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4.55</v>
      </c>
      <c r="BD9" s="12">
        <f>IF('Données projet'!$A$88&gt;35,BD8+BC9-BL8,IF(A9&lt;'Données projet'!$A$88,$BA$205^A9,IF(A9='Données projet'!$A$88,'Données projet'!$B$88,BD8+BC9-BL8)))</f>
        <v>3.8700129448363709</v>
      </c>
      <c r="BE9" s="13">
        <f>BD9*VLOOKUP('Données projet'!$B$11,Paramètres!$A$1:$I$89,3,0)*VLOOKUP('Données projet'!$B$11,Paramètres!$A$1:$I$89,5,0)</f>
        <v>2.3142677410121499</v>
      </c>
      <c r="BF9" s="13">
        <f t="shared" si="37"/>
        <v>0.96727045665540168</v>
      </c>
      <c r="BG9" s="20">
        <f t="shared" si="7"/>
        <v>5.7153456942709857</v>
      </c>
      <c r="BH9" s="59">
        <f t="shared" si="8"/>
        <v>269.71534569427098</v>
      </c>
      <c r="BI9" s="59">
        <f ca="1">AVERAGE(OFFSET($BH$3,0,0,'Données projet'!$E$11+1,1))-AVERAGE(OFFSET($H$3,0,0,'Données projet'!$E$11+1,1))</f>
        <v>246.59447135626942</v>
      </c>
      <c r="BJ9" s="59">
        <f t="shared" si="38"/>
        <v>262.00382544285367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2.0467353619916304</v>
      </c>
      <c r="CA9" s="13">
        <f t="shared" si="39"/>
        <v>0.86777308699666067</v>
      </c>
      <c r="CB9" s="20">
        <f t="shared" si="10"/>
        <v>5.0761022153212734</v>
      </c>
      <c r="CC9" s="59">
        <f t="shared" si="11"/>
        <v>269.07610221532127</v>
      </c>
      <c r="CD9" s="59">
        <f ca="1">AVERAGE(OFFSET($CC$3,0,0,'Données projet'!$E$12+1,1))-AVERAGE(OFFSET($H$3,0,0,'Données projet'!$E$12+1,1))</f>
        <v>169.62156467157178</v>
      </c>
      <c r="CE9" s="59">
        <f t="shared" si="40"/>
        <v>85.631326020763254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4.75</v>
      </c>
      <c r="CT9" s="12">
        <f>IF('Données projet'!$A$140&gt;35,CT8+CS9-DB8,IF(A9&lt;'Données projet'!$A$140,$CQ$205^A9,IF(A9='Données projet'!$A$140,'Données projet'!$B$140,CT8+CS9-DB8)))</f>
        <v>3.920279951613006</v>
      </c>
      <c r="CU9" s="17">
        <f>CT9*VLOOKUP('Données projet'!$B$13,Paramètres!$A$1:$I$89,3,0)*VLOOKUP('Données projet'!$B$13,Paramètres!$A$1:$I$89,5,0)</f>
        <v>3.1801310967484708</v>
      </c>
      <c r="CV9" s="13">
        <f t="shared" si="41"/>
        <v>1.2808919247663788</v>
      </c>
      <c r="CW9" s="20">
        <f t="shared" si="13"/>
        <v>7.7696150958050287</v>
      </c>
      <c r="CX9" s="59">
        <f t="shared" si="14"/>
        <v>271.76961509580502</v>
      </c>
      <c r="CY9" s="59">
        <f ca="1">AVERAGE(OFFSET($CX$3,0,0,'Données projet'!$E$13+1,1))-AVERAGE(OFFSET($H$3,0,0,'Données projet'!$E$13+1,1))</f>
        <v>234.59657655504111</v>
      </c>
      <c r="CZ9" s="59">
        <f t="shared" si="42"/>
        <v>285.10598666479211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1.2</v>
      </c>
      <c r="DO9" s="12">
        <f>IF('Données projet'!$A$166&gt;35,DO8+DN9-DW8,IF(A9&lt;'Données projet'!$A$166,$DL$205^A9,IF(A9='Données projet'!$A$166,'Données projet'!$B$166,DO8+DN9-DW8)))</f>
        <v>2.2620859438457455</v>
      </c>
      <c r="DP9" s="17">
        <f>DO9*VLOOKUP('Données projet'!$B$14,Paramètres!$A$1:$I$89,3,0)*VLOOKUP('Données projet'!$B$14,Paramètres!$A$1:$I$89,5,0)</f>
        <v>2.1878895248876051</v>
      </c>
      <c r="DQ9" s="13">
        <f t="shared" si="43"/>
        <v>0.92044638962272363</v>
      </c>
      <c r="DR9" s="20">
        <f t="shared" si="16"/>
        <v>5.4136850511054888</v>
      </c>
      <c r="DS9" s="59">
        <f t="shared" si="17"/>
        <v>269.41368505110552</v>
      </c>
      <c r="DT9" s="59">
        <f ca="1">AVERAGE(OFFSET($DS$3,0,0,'Données projet'!$E$14+1,1))-AVERAGE(OFFSET($H$3,0,0,'Données projet'!$E$14+1,1))</f>
        <v>186.90852124957956</v>
      </c>
      <c r="DU9" s="59">
        <f t="shared" si="44"/>
        <v>93.013797128776446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1.2</v>
      </c>
      <c r="EJ9" s="12">
        <f>IF('Données projet'!$A$192&gt;35,EJ8+EI9-ER8,IF(A9&lt;'Données projet'!$A$192,$EG$205^A9,IF(A9='Données projet'!$A$192,'Données projet'!$B$192,EJ8+EI9-ER8)))</f>
        <v>2.2620859438457455</v>
      </c>
      <c r="EK9" s="17">
        <f>EJ9*VLOOKUP('Données projet'!$B$15,Paramètres!$A$1:$I$89,3,0)*VLOOKUP('Données projet'!$B$15,Paramètres!$A$1:$I$89,5,0)</f>
        <v>2.4349093099555601</v>
      </c>
      <c r="EL9" s="13">
        <f t="shared" si="45"/>
        <v>1.0116918660706939</v>
      </c>
      <c r="EM9" s="20">
        <f t="shared" si="19"/>
        <v>6.0028303815790593</v>
      </c>
      <c r="EN9" s="59">
        <f t="shared" si="20"/>
        <v>270.00283038157909</v>
      </c>
      <c r="EO9" s="59">
        <f ca="1">AVERAGE(OFFSET($EN$3,0,0,'Données projet'!$E$15+1,1))-AVERAGE(OFFSET($H$3,0,0,'Données projet'!$E$15+1,1))</f>
        <v>217.10418688911096</v>
      </c>
      <c r="EP9" s="59">
        <f t="shared" si="46"/>
        <v>105.90631421515786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2.0833333333333335</v>
      </c>
      <c r="N10" s="13">
        <f>IF('Données projet'!$A$36&gt;35,N9+M10-V9,IF(A10&lt;'Données projet'!$A$36,$K$205^A10,IF(A10='Données projet'!$A$36,'Données projet'!$B$36,N9+M10-V9)))</f>
        <v>6.5383024300591543</v>
      </c>
      <c r="O10" s="13">
        <f>N10*VLOOKUP('Données projet'!$B$9,Paramètres!$A$1:$I$89,3,0)*VLOOKUP('Données projet'!$B$9,Paramètres!$A$1:$I$89,5,0)</f>
        <v>3.9099048531753748</v>
      </c>
      <c r="P10" s="13">
        <f t="shared" si="33"/>
        <v>1.5374114440594884</v>
      </c>
      <c r="Q10" s="20">
        <f t="shared" si="2"/>
        <v>9.4874092176840534</v>
      </c>
      <c r="R10" s="59">
        <f t="shared" si="0"/>
        <v>274.70963143990627</v>
      </c>
      <c r="S10" s="59">
        <f ca="1">AVERAGE(OFFSET($R$3,0,0,'Données projet'!$E$9+1,1))-AVERAGE(OFFSET($H$3,0,0,'Données projet'!$E$9+1,1))</f>
        <v>145.19188637714888</v>
      </c>
      <c r="T10" s="59">
        <f t="shared" si="34"/>
        <v>169.74069292032493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6.6</v>
      </c>
      <c r="AI10" s="13">
        <f>IF('Données projet'!$A$62&gt;35,AI9+AH10-AQ9,IF(A10&lt;'Données projet'!$A$62,$AF$205^A10,IF(A10='Données projet'!$A$62,'Données projet'!$B$62,AI9+AH10-AQ9)))</f>
        <v>5.5233285287803451</v>
      </c>
      <c r="AJ10" s="13">
        <f>AI10*VLOOKUP('Données projet'!$B$10,Paramètres!$A$1:$I$89,3,0)*VLOOKUP('Données projet'!$B$10,Paramètres!$A$1:$I$89,5,0)</f>
        <v>4.8251798027425101</v>
      </c>
      <c r="AK10" s="13">
        <f t="shared" si="35"/>
        <v>1.8514184811173284</v>
      </c>
      <c r="AL10" s="20">
        <f t="shared" si="4"/>
        <v>11.628408677722552</v>
      </c>
      <c r="AM10" s="59">
        <f t="shared" si="5"/>
        <v>276.8506308999448</v>
      </c>
      <c r="AN10" s="59">
        <f ca="1">AVERAGE(OFFSET($AM$3,0,0,'Données projet'!$E$10+1,1))-AVERAGE(OFFSET($H$3,0,0,'Données projet'!$E$10+1,1))</f>
        <v>254.24072778190163</v>
      </c>
      <c r="AO10" s="59">
        <f t="shared" si="36"/>
        <v>356.78706780980383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4.55</v>
      </c>
      <c r="BD10" s="12">
        <f>IF('Données projet'!$A$88&gt;35,BD9+BC10-BL9,IF(A10&lt;'Données projet'!$A$88,$BA$205^A10,IF(A10='Données projet'!$A$88,'Données projet'!$B$88,BD9+BC10-BL9)))</f>
        <v>4.8491373700313813</v>
      </c>
      <c r="BE10" s="13">
        <f>BD10*VLOOKUP('Données projet'!$B$11,Paramètres!$A$1:$I$89,3,0)*VLOOKUP('Données projet'!$B$11,Paramètres!$A$1:$I$89,5,0)</f>
        <v>2.8997841472787664</v>
      </c>
      <c r="BF10" s="13">
        <f t="shared" si="37"/>
        <v>1.1805880203273573</v>
      </c>
      <c r="BG10" s="20">
        <f t="shared" si="7"/>
        <v>7.1066481919139983</v>
      </c>
      <c r="BH10" s="59">
        <f t="shared" si="8"/>
        <v>272.32887041413625</v>
      </c>
      <c r="BI10" s="59">
        <f ca="1">AVERAGE(OFFSET($BH$3,0,0,'Données projet'!$E$11+1,1))-AVERAGE(OFFSET($H$3,0,0,'Données projet'!$E$11+1,1))</f>
        <v>246.59447135626942</v>
      </c>
      <c r="BJ10" s="59">
        <f t="shared" si="38"/>
        <v>262.00382544285367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2.3450199578802908</v>
      </c>
      <c r="CA10" s="13">
        <f t="shared" si="39"/>
        <v>0.97861879064669866</v>
      </c>
      <c r="CB10" s="20">
        <f t="shared" si="10"/>
        <v>5.7886708203511725</v>
      </c>
      <c r="CC10" s="59">
        <f t="shared" si="11"/>
        <v>271.0108930425734</v>
      </c>
      <c r="CD10" s="59">
        <f ca="1">AVERAGE(OFFSET($CC$3,0,0,'Données projet'!$E$12+1,1))-AVERAGE(OFFSET($H$3,0,0,'Données projet'!$E$12+1,1))</f>
        <v>169.62156467157178</v>
      </c>
      <c r="CE10" s="59">
        <f t="shared" si="40"/>
        <v>85.631326020763254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4.75</v>
      </c>
      <c r="CT10" s="12">
        <f>IF('Données projet'!$A$140&gt;35,CT9+CS10-DB9,IF(A10&lt;'Données projet'!$A$140,$CQ$205^A10,IF(A10='Données projet'!$A$140,'Données projet'!$B$140,CT9+CS10-DB9)))</f>
        <v>4.9226987771675601</v>
      </c>
      <c r="CU10" s="17">
        <f>CT10*VLOOKUP('Données projet'!$B$13,Paramètres!$A$1:$I$89,3,0)*VLOOKUP('Données projet'!$B$13,Paramètres!$A$1:$I$89,5,0)</f>
        <v>3.993293248038325</v>
      </c>
      <c r="CV10" s="13">
        <f t="shared" si="41"/>
        <v>1.566348215309169</v>
      </c>
      <c r="CW10" s="20">
        <f t="shared" si="13"/>
        <v>9.683042215330218</v>
      </c>
      <c r="CX10" s="59">
        <f t="shared" si="14"/>
        <v>274.90526443755243</v>
      </c>
      <c r="CY10" s="59">
        <f ca="1">AVERAGE(OFFSET($CX$3,0,0,'Données projet'!$E$13+1,1))-AVERAGE(OFFSET($H$3,0,0,'Données projet'!$E$13+1,1))</f>
        <v>234.59657655504111</v>
      </c>
      <c r="CZ10" s="59">
        <f t="shared" si="42"/>
        <v>285.10598666479211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1.2</v>
      </c>
      <c r="DO10" s="12">
        <f>IF('Données projet'!$A$166&gt;35,DO9+DN10-DW9,IF(A10&lt;'Données projet'!$A$166,$DL$205^A10,IF(A10='Données projet'!$A$166,'Données projet'!$B$166,DO9+DN10-DW9)))</f>
        <v>2.5917550374450604</v>
      </c>
      <c r="DP10" s="17">
        <f>DO10*VLOOKUP('Données projet'!$B$14,Paramètres!$A$1:$I$89,3,0)*VLOOKUP('Données projet'!$B$14,Paramètres!$A$1:$I$89,5,0)</f>
        <v>2.5067454722168625</v>
      </c>
      <c r="DQ10" s="13">
        <f t="shared" si="43"/>
        <v>1.038020360582093</v>
      </c>
      <c r="DR10" s="20">
        <f t="shared" si="16"/>
        <v>6.1738004921248475</v>
      </c>
      <c r="DS10" s="59">
        <f t="shared" si="17"/>
        <v>271.39602271434705</v>
      </c>
      <c r="DT10" s="59">
        <f ca="1">AVERAGE(OFFSET($DS$3,0,0,'Données projet'!$E$14+1,1))-AVERAGE(OFFSET($H$3,0,0,'Données projet'!$E$14+1,1))</f>
        <v>186.90852124957956</v>
      </c>
      <c r="DU10" s="59">
        <f t="shared" si="44"/>
        <v>93.013797128776446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1.2</v>
      </c>
      <c r="EJ10" s="12">
        <f>IF('Données projet'!$A$192&gt;35,EJ9+EI10-ER9,IF(A10&lt;'Données projet'!$A$192,$EG$205^A10,IF(A10='Données projet'!$A$192,'Données projet'!$B$192,EJ9+EI10-ER9)))</f>
        <v>2.5917550374450604</v>
      </c>
      <c r="EK10" s="17">
        <f>EJ10*VLOOKUP('Données projet'!$B$15,Paramètres!$A$1:$I$89,3,0)*VLOOKUP('Données projet'!$B$15,Paramètres!$A$1:$I$89,5,0)</f>
        <v>2.7897651223058633</v>
      </c>
      <c r="EL10" s="13">
        <f t="shared" si="45"/>
        <v>1.1409211524498617</v>
      </c>
      <c r="EM10" s="20">
        <f t="shared" si="19"/>
        <v>6.8459452618662198</v>
      </c>
      <c r="EN10" s="59">
        <f t="shared" si="20"/>
        <v>272.06816748408846</v>
      </c>
      <c r="EO10" s="59">
        <f ca="1">AVERAGE(OFFSET($EN$3,0,0,'Données projet'!$E$15+1,1))-AVERAGE(OFFSET($H$3,0,0,'Données projet'!$E$15+1,1))</f>
        <v>217.10418688911096</v>
      </c>
      <c r="EP10" s="59">
        <f t="shared" si="46"/>
        <v>105.90631421515786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2.0833333333333335</v>
      </c>
      <c r="N11" s="13">
        <f>IF('Données projet'!$A$36&gt;35,N10+M11-V10,IF(A11&lt;'Données projet'!$A$36,$K$205^A11,IF(A11='Données projet'!$A$36,'Données projet'!$B$36,N10+M11-V10)))</f>
        <v>8.5498797333834879</v>
      </c>
      <c r="O11" s="13">
        <f>N11*VLOOKUP('Données projet'!$B$9,Paramètres!$A$1:$I$89,3,0)*VLOOKUP('Données projet'!$B$9,Paramètres!$A$1:$I$89,5,0)</f>
        <v>5.1128280805633262</v>
      </c>
      <c r="P11" s="13">
        <f t="shared" si="33"/>
        <v>1.9486107411845339</v>
      </c>
      <c r="Q11" s="20">
        <f t="shared" si="2"/>
        <v>12.298672614544188</v>
      </c>
      <c r="R11" s="59">
        <f t="shared" si="0"/>
        <v>278.74311705898867</v>
      </c>
      <c r="S11" s="59">
        <f ca="1">AVERAGE(OFFSET($R$3,0,0,'Données projet'!$E$9+1,1))-AVERAGE(OFFSET($H$3,0,0,'Données projet'!$E$9+1,1))</f>
        <v>145.19188637714888</v>
      </c>
      <c r="T11" s="59">
        <f t="shared" si="34"/>
        <v>169.74069292032493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6.6</v>
      </c>
      <c r="AI11" s="13">
        <f>IF('Données projet'!$A$62&gt;35,AI10+AH11-AQ10,IF(A11&lt;'Données projet'!$A$62,$AF$205^A11,IF(A11='Données projet'!$A$62,'Données projet'!$B$62,AI10+AH11-AQ10)))</f>
        <v>7.0506567536716718</v>
      </c>
      <c r="AJ11" s="13">
        <f>AI11*VLOOKUP('Données projet'!$B$10,Paramètres!$A$1:$I$89,3,0)*VLOOKUP('Données projet'!$B$10,Paramètres!$A$1:$I$89,5,0)</f>
        <v>6.1594537400075735</v>
      </c>
      <c r="AK11" s="13">
        <f t="shared" si="35"/>
        <v>2.2971616158822084</v>
      </c>
      <c r="AL11" s="20">
        <f t="shared" si="4"/>
        <v>14.728605078174702</v>
      </c>
      <c r="AM11" s="59">
        <f t="shared" si="5"/>
        <v>281.17304952261918</v>
      </c>
      <c r="AN11" s="59">
        <f ca="1">AVERAGE(OFFSET($AM$3,0,0,'Données projet'!$E$10+1,1))-AVERAGE(OFFSET($H$3,0,0,'Données projet'!$E$10+1,1))</f>
        <v>254.24072778190163</v>
      </c>
      <c r="AO11" s="59">
        <f t="shared" si="36"/>
        <v>356.78706780980383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4.55</v>
      </c>
      <c r="BD11" s="12">
        <f>IF('Données projet'!$A$88&gt;35,BD10+BC11-BL10,IF(A11&lt;'Données projet'!$A$88,$BA$205^A11,IF(A11='Données projet'!$A$88,'Données projet'!$B$88,BD10+BC11-BL10)))</f>
        <v>6.0759830958211616</v>
      </c>
      <c r="BE11" s="13">
        <f>BD11*VLOOKUP('Données projet'!$B$11,Paramètres!$A$1:$I$89,3,0)*VLOOKUP('Données projet'!$B$11,Paramètres!$A$1:$I$89,5,0)</f>
        <v>3.633437891301055</v>
      </c>
      <c r="BF11" s="13">
        <f t="shared" si="37"/>
        <v>1.4409496993838373</v>
      </c>
      <c r="BG11" s="20">
        <f t="shared" si="7"/>
        <v>8.8378917204428529</v>
      </c>
      <c r="BH11" s="59">
        <f t="shared" si="8"/>
        <v>275.28233616488728</v>
      </c>
      <c r="BI11" s="59">
        <f ca="1">AVERAGE(OFFSET($BH$3,0,0,'Données projet'!$E$11+1,1))-AVERAGE(OFFSET($H$3,0,0,'Données projet'!$E$11+1,1))</f>
        <v>246.59447135626942</v>
      </c>
      <c r="BJ11" s="59">
        <f t="shared" si="38"/>
        <v>262.00382544285367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2.6867755866131198</v>
      </c>
      <c r="CA11" s="13">
        <f t="shared" si="39"/>
        <v>1.1036234607382931</v>
      </c>
      <c r="CB11" s="20">
        <f t="shared" si="10"/>
        <v>6.6016116741370441</v>
      </c>
      <c r="CC11" s="59">
        <f t="shared" si="11"/>
        <v>273.04605611858148</v>
      </c>
      <c r="CD11" s="59">
        <f ca="1">AVERAGE(OFFSET($CC$3,0,0,'Données projet'!$E$12+1,1))-AVERAGE(OFFSET($H$3,0,0,'Données projet'!$E$12+1,1))</f>
        <v>169.62156467157178</v>
      </c>
      <c r="CE11" s="59">
        <f t="shared" si="40"/>
        <v>85.631326020763254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4.75</v>
      </c>
      <c r="CT11" s="12">
        <f>IF('Données projet'!$A$140&gt;35,CT10+CS11-DB10,IF(A11&lt;'Données projet'!$A$140,$CQ$205^A11,IF(A11='Données projet'!$A$140,'Données projet'!$B$140,CT10+CS11-DB10)))</f>
        <v>6.1814369253798551</v>
      </c>
      <c r="CU11" s="17">
        <f>CT11*VLOOKUP('Données projet'!$B$13,Paramètres!$A$1:$I$89,3,0)*VLOOKUP('Données projet'!$B$13,Paramètres!$A$1:$I$89,5,0)</f>
        <v>5.0143816338681386</v>
      </c>
      <c r="CV11" s="13">
        <f t="shared" si="41"/>
        <v>1.9154205629407037</v>
      </c>
      <c r="CW11" s="20">
        <f t="shared" si="13"/>
        <v>12.069405492775401</v>
      </c>
      <c r="CX11" s="59">
        <f t="shared" si="14"/>
        <v>278.51384993721985</v>
      </c>
      <c r="CY11" s="59">
        <f ca="1">AVERAGE(OFFSET($CX$3,0,0,'Données projet'!$E$13+1,1))-AVERAGE(OFFSET($H$3,0,0,'Données projet'!$E$13+1,1))</f>
        <v>234.59657655504111</v>
      </c>
      <c r="CZ11" s="59">
        <f t="shared" si="42"/>
        <v>285.10598666479211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1.2</v>
      </c>
      <c r="DO11" s="12">
        <f>IF('Données projet'!$A$166&gt;35,DO10+DN11-DW10,IF(A11&lt;'Données projet'!$A$166,$DL$205^A11,IF(A11='Données projet'!$A$166,'Données projet'!$B$166,DO10+DN11-DW10)))</f>
        <v>2.9694690391391689</v>
      </c>
      <c r="DP11" s="17">
        <f>DO11*VLOOKUP('Données projet'!$B$14,Paramètres!$A$1:$I$89,3,0)*VLOOKUP('Données projet'!$B$14,Paramètres!$A$1:$I$89,5,0)</f>
        <v>2.8720704546554043</v>
      </c>
      <c r="DQ11" s="13">
        <f t="shared" si="43"/>
        <v>1.1706127387002112</v>
      </c>
      <c r="DR11" s="20">
        <f t="shared" si="16"/>
        <v>7.04100656176103</v>
      </c>
      <c r="DS11" s="59">
        <f t="shared" si="17"/>
        <v>273.48545100620549</v>
      </c>
      <c r="DT11" s="59">
        <f ca="1">AVERAGE(OFFSET($DS$3,0,0,'Données projet'!$E$14+1,1))-AVERAGE(OFFSET($H$3,0,0,'Données projet'!$E$14+1,1))</f>
        <v>186.90852124957956</v>
      </c>
      <c r="DU11" s="59">
        <f t="shared" si="44"/>
        <v>93.013797128776446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1.2</v>
      </c>
      <c r="EJ11" s="12">
        <f>IF('Données projet'!$A$192&gt;35,EJ10+EI11-ER10,IF(A11&lt;'Données projet'!$A$192,$EG$205^A11,IF(A11='Données projet'!$A$192,'Données projet'!$B$192,EJ10+EI11-ER10)))</f>
        <v>2.9694690391391689</v>
      </c>
      <c r="EK11" s="17">
        <f>EJ11*VLOOKUP('Données projet'!$B$15,Paramètres!$A$1:$I$89,3,0)*VLOOKUP('Données projet'!$B$15,Paramètres!$A$1:$I$89,5,0)</f>
        <v>3.1963364737294016</v>
      </c>
      <c r="EL11" s="13">
        <f t="shared" si="45"/>
        <v>1.28665764721742</v>
      </c>
      <c r="EM11" s="20">
        <f t="shared" si="19"/>
        <v>7.8078814273157144</v>
      </c>
      <c r="EN11" s="59">
        <f t="shared" si="20"/>
        <v>274.25232587176015</v>
      </c>
      <c r="EO11" s="59">
        <f ca="1">AVERAGE(OFFSET($EN$3,0,0,'Données projet'!$E$15+1,1))-AVERAGE(OFFSET($H$3,0,0,'Données projet'!$E$15+1,1))</f>
        <v>217.10418688911096</v>
      </c>
      <c r="EP11" s="59">
        <f t="shared" si="46"/>
        <v>105.90631421515786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2.0833333333333335</v>
      </c>
      <c r="N12" s="13">
        <f>IF('Données projet'!$A$36&gt;35,N11+M12-V11,IF(A12&lt;'Données projet'!$A$36,$K$205^A12,IF(A12='Données projet'!$A$36,'Données projet'!$B$36,N11+M12-V11)))</f>
        <v>11.180339887498953</v>
      </c>
      <c r="O12" s="13">
        <f>N12*VLOOKUP('Données projet'!$B$9,Paramètres!$A$1:$I$89,3,0)*VLOOKUP('Données projet'!$B$9,Paramètres!$A$1:$I$89,5,0)</f>
        <v>6.6858432527243732</v>
      </c>
      <c r="P12" s="13">
        <f t="shared" si="33"/>
        <v>2.4697902668355676</v>
      </c>
      <c r="Q12" s="20">
        <f t="shared" si="2"/>
        <v>15.946061713233563</v>
      </c>
      <c r="R12" s="59">
        <f t="shared" si="0"/>
        <v>283.61272837990026</v>
      </c>
      <c r="S12" s="59">
        <f ca="1">AVERAGE(OFFSET($R$3,0,0,'Données projet'!$E$9+1,1))-AVERAGE(OFFSET($H$3,0,0,'Données projet'!$E$9+1,1))</f>
        <v>145.19188637714888</v>
      </c>
      <c r="T12" s="59">
        <f t="shared" si="34"/>
        <v>169.74069292032493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6.6</v>
      </c>
      <c r="AI12" s="13">
        <f>IF('Données projet'!$A$62&gt;35,AI11+AH12-AQ11,IF(A12&lt;'Données projet'!$A$62,$AF$205^A12,IF(A12='Données projet'!$A$62,'Données projet'!$B$62,AI11+AH12-AQ11)))</f>
        <v>9.0003265963745314</v>
      </c>
      <c r="AJ12" s="13">
        <f>AI12*VLOOKUP('Données projet'!$B$10,Paramètres!$A$1:$I$89,3,0)*VLOOKUP('Données projet'!$B$10,Paramètres!$A$1:$I$89,5,0)</f>
        <v>7.8626853145927917</v>
      </c>
      <c r="AK12" s="13">
        <f t="shared" si="35"/>
        <v>2.8502208135558442</v>
      </c>
      <c r="AL12" s="20">
        <f t="shared" si="4"/>
        <v>18.658311506525539</v>
      </c>
      <c r="AM12" s="59">
        <f t="shared" si="5"/>
        <v>286.32497817319222</v>
      </c>
      <c r="AN12" s="59">
        <f ca="1">AVERAGE(OFFSET($AM$3,0,0,'Données projet'!$E$10+1,1))-AVERAGE(OFFSET($H$3,0,0,'Données projet'!$E$10+1,1))</f>
        <v>254.24072778190163</v>
      </c>
      <c r="AO12" s="59">
        <f t="shared" si="36"/>
        <v>356.78706780980383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4.55</v>
      </c>
      <c r="BD12" s="12">
        <f>IF('Données projet'!$A$88&gt;35,BD11+BC12-BL11,IF(A12&lt;'Données projet'!$A$88,$BA$205^A12,IF(A12='Données projet'!$A$88,'Données projet'!$B$88,BD11+BC12-BL11)))</f>
        <v>7.6132243249824851</v>
      </c>
      <c r="BE12" s="13">
        <f>BD12*VLOOKUP('Données projet'!$B$11,Paramètres!$A$1:$I$89,3,0)*VLOOKUP('Données projet'!$B$11,Paramètres!$A$1:$I$89,5,0)</f>
        <v>4.5527081463395263</v>
      </c>
      <c r="BF12" s="13">
        <f t="shared" si="37"/>
        <v>1.758730395704539</v>
      </c>
      <c r="BG12" s="20">
        <f t="shared" si="7"/>
        <v>10.992422127393413</v>
      </c>
      <c r="BH12" s="59">
        <f t="shared" si="8"/>
        <v>278.6590887940601</v>
      </c>
      <c r="BI12" s="59">
        <f ca="1">AVERAGE(OFFSET($BH$3,0,0,'Données projet'!$E$11+1,1))-AVERAGE(OFFSET($H$3,0,0,'Données projet'!$E$11+1,1))</f>
        <v>246.59447135626942</v>
      </c>
      <c r="BJ12" s="59">
        <f t="shared" si="38"/>
        <v>262.00382544285367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3.0783375760031726</v>
      </c>
      <c r="CA12" s="13">
        <f t="shared" si="39"/>
        <v>1.2445957044081368</v>
      </c>
      <c r="CB12" s="20">
        <f t="shared" si="10"/>
        <v>7.5291087967163621</v>
      </c>
      <c r="CC12" s="59">
        <f t="shared" si="11"/>
        <v>275.19577546338303</v>
      </c>
      <c r="CD12" s="59">
        <f ca="1">AVERAGE(OFFSET($CC$3,0,0,'Données projet'!$E$12+1,1))-AVERAGE(OFFSET($H$3,0,0,'Données projet'!$E$12+1,1))</f>
        <v>169.62156467157178</v>
      </c>
      <c r="CE12" s="59">
        <f t="shared" si="40"/>
        <v>85.631326020763254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4.75</v>
      </c>
      <c r="CT12" s="12">
        <f>IF('Données projet'!$A$140&gt;35,CT11+CS12-DB11,IF(A12&lt;'Données projet'!$A$140,$CQ$205^A12,IF(A12='Données projet'!$A$140,'Données projet'!$B$140,CT11+CS12-DB11)))</f>
        <v>7.7620354590201153</v>
      </c>
      <c r="CU12" s="17">
        <f>CT12*VLOOKUP('Données projet'!$B$13,Paramètres!$A$1:$I$89,3,0)*VLOOKUP('Données projet'!$B$13,Paramètres!$A$1:$I$89,5,0)</f>
        <v>6.296563164357118</v>
      </c>
      <c r="CV12" s="13">
        <f t="shared" si="41"/>
        <v>2.3422862790518897</v>
      </c>
      <c r="CW12" s="20">
        <f t="shared" si="13"/>
        <v>15.045996113937354</v>
      </c>
      <c r="CX12" s="59">
        <f t="shared" si="14"/>
        <v>282.71266278060403</v>
      </c>
      <c r="CY12" s="59">
        <f ca="1">AVERAGE(OFFSET($CX$3,0,0,'Données projet'!$E$13+1,1))-AVERAGE(OFFSET($H$3,0,0,'Données projet'!$E$13+1,1))</f>
        <v>234.59657655504111</v>
      </c>
      <c r="CZ12" s="59">
        <f t="shared" si="42"/>
        <v>285.10598666479211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1.2</v>
      </c>
      <c r="DO12" s="12">
        <f>IF('Données projet'!$A$166&gt;35,DO11+DN12-DW11,IF(A12&lt;'Données projet'!$A$166,$DL$205^A12,IF(A12='Données projet'!$A$166,'Données projet'!$B$166,DO11+DN12-DW11)))</f>
        <v>3.4022298585357786</v>
      </c>
      <c r="DP12" s="17">
        <f>DO12*VLOOKUP('Données projet'!$B$14,Paramètres!$A$1:$I$89,3,0)*VLOOKUP('Données projet'!$B$14,Paramètres!$A$1:$I$89,5,0)</f>
        <v>3.2906367191758048</v>
      </c>
      <c r="DQ12" s="13">
        <f t="shared" si="43"/>
        <v>1.3201419124753617</v>
      </c>
      <c r="DR12" s="20">
        <f t="shared" si="16"/>
        <v>8.0304394501257814</v>
      </c>
      <c r="DS12" s="59">
        <f t="shared" si="17"/>
        <v>275.69710611679244</v>
      </c>
      <c r="DT12" s="59">
        <f ca="1">AVERAGE(OFFSET($DS$3,0,0,'Données projet'!$E$14+1,1))-AVERAGE(OFFSET($H$3,0,0,'Données projet'!$E$14+1,1))</f>
        <v>186.90852124957956</v>
      </c>
      <c r="DU12" s="59">
        <f t="shared" si="44"/>
        <v>93.013797128776446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1.2</v>
      </c>
      <c r="EJ12" s="12">
        <f>IF('Données projet'!$A$192&gt;35,EJ11+EI12-ER11,IF(A12&lt;'Données projet'!$A$192,$EG$205^A12,IF(A12='Données projet'!$A$192,'Données projet'!$B$192,EJ11+EI12-ER11)))</f>
        <v>3.4022298585357786</v>
      </c>
      <c r="EK12" s="17">
        <f>EJ12*VLOOKUP('Données projet'!$B$15,Paramètres!$A$1:$I$89,3,0)*VLOOKUP('Données projet'!$B$15,Paramètres!$A$1:$I$89,5,0)</f>
        <v>3.6621602197279119</v>
      </c>
      <c r="EL12" s="13">
        <f t="shared" si="45"/>
        <v>1.4510099121120625</v>
      </c>
      <c r="EM12" s="20">
        <f t="shared" si="19"/>
        <v>8.9054379796212881</v>
      </c>
      <c r="EN12" s="59">
        <f t="shared" si="20"/>
        <v>276.57210464628798</v>
      </c>
      <c r="EO12" s="59">
        <f ca="1">AVERAGE(OFFSET($EN$3,0,0,'Données projet'!$E$15+1,1))-AVERAGE(OFFSET($H$3,0,0,'Données projet'!$E$15+1,1))</f>
        <v>217.10418688911096</v>
      </c>
      <c r="EP12" s="59">
        <f t="shared" si="46"/>
        <v>105.90631421515786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2.0833333333333335</v>
      </c>
      <c r="N13" s="13">
        <f>IF('Données projet'!$A$36&gt;35,N12+M13-V12,IF(A13&lt;'Données projet'!$A$36,$K$205^A13,IF(A13='Données projet'!$A$36,'Données projet'!$B$36,N12+M13-V12)))</f>
        <v>14.620088691064336</v>
      </c>
      <c r="O13" s="13">
        <f>N13*VLOOKUP('Données projet'!$B$9,Paramètres!$A$1:$I$89,3,0)*VLOOKUP('Données projet'!$B$9,Paramètres!$A$1:$I$89,5,0)</f>
        <v>8.7428130372564734</v>
      </c>
      <c r="P13" s="13">
        <f t="shared" si="33"/>
        <v>3.1303655641596633</v>
      </c>
      <c r="Q13" s="20">
        <f t="shared" si="2"/>
        <v>20.679119397466433</v>
      </c>
      <c r="R13" s="59">
        <f t="shared" si="0"/>
        <v>289.56800828635528</v>
      </c>
      <c r="S13" s="59">
        <f ca="1">AVERAGE(OFFSET($R$3,0,0,'Données projet'!$E$9+1,1))-AVERAGE(OFFSET($H$3,0,0,'Données projet'!$E$9+1,1))</f>
        <v>145.19188637714888</v>
      </c>
      <c r="T13" s="59">
        <f t="shared" si="34"/>
        <v>169.74069292032493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6.6</v>
      </c>
      <c r="AI13" s="13">
        <f>IF('Données projet'!$A$62&gt;35,AI12+AH13-AQ12,IF(A13&lt;'Données projet'!$A$62,$AF$205^A13,IF(A13='Données projet'!$A$62,'Données projet'!$B$62,AI12+AH13-AQ12)))</f>
        <v>11.489125293076063</v>
      </c>
      <c r="AJ13" s="13">
        <f>AI13*VLOOKUP('Données projet'!$B$10,Paramètres!$A$1:$I$89,3,0)*VLOOKUP('Données projet'!$B$10,Paramètres!$A$1:$I$89,5,0)</f>
        <v>10.036899856031249</v>
      </c>
      <c r="AK13" s="13">
        <f t="shared" si="35"/>
        <v>3.5364332356333024</v>
      </c>
      <c r="AL13" s="20">
        <f t="shared" si="4"/>
        <v>23.640221801315761</v>
      </c>
      <c r="AM13" s="59">
        <f t="shared" si="5"/>
        <v>292.52911069020462</v>
      </c>
      <c r="AN13" s="59">
        <f ca="1">AVERAGE(OFFSET($AM$3,0,0,'Données projet'!$E$10+1,1))-AVERAGE(OFFSET($H$3,0,0,'Données projet'!$E$10+1,1))</f>
        <v>254.24072778190163</v>
      </c>
      <c r="AO13" s="59">
        <f t="shared" si="36"/>
        <v>356.78706780980383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4.55</v>
      </c>
      <c r="BD13" s="12">
        <f>IF('Données projet'!$A$88&gt;35,BD12+BC13-BL12,IF(A13&lt;'Données projet'!$A$88,$BA$205^A13,IF(A13='Données projet'!$A$88,'Données projet'!$B$88,BD12+BC13-BL12)))</f>
        <v>9.5393920141694579</v>
      </c>
      <c r="BE13" s="13">
        <f>BD13*VLOOKUP('Données projet'!$B$11,Paramètres!$A$1:$I$89,3,0)*VLOOKUP('Données projet'!$B$11,Paramètres!$A$1:$I$89,5,0)</f>
        <v>5.7045564244733367</v>
      </c>
      <c r="BF13" s="13">
        <f t="shared" si="37"/>
        <v>2.1465930463066791</v>
      </c>
      <c r="BG13" s="20">
        <f t="shared" si="7"/>
        <v>13.674085328275192</v>
      </c>
      <c r="BH13" s="59">
        <f t="shared" si="8"/>
        <v>282.56297421716403</v>
      </c>
      <c r="BI13" s="59">
        <f ca="1">AVERAGE(OFFSET($BH$3,0,0,'Données projet'!$E$11+1,1))-AVERAGE(OFFSET($H$3,0,0,'Données projet'!$E$11+1,1))</f>
        <v>246.59447135626942</v>
      </c>
      <c r="BJ13" s="59">
        <f t="shared" si="38"/>
        <v>262.00382544285367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3.5269645440609696</v>
      </c>
      <c r="CA13" s="13">
        <f t="shared" si="39"/>
        <v>1.403575152701934</v>
      </c>
      <c r="CB13" s="20">
        <f t="shared" si="10"/>
        <v>8.587356638528723</v>
      </c>
      <c r="CC13" s="59">
        <f t="shared" si="11"/>
        <v>277.47624552741757</v>
      </c>
      <c r="CD13" s="59">
        <f ca="1">AVERAGE(OFFSET($CC$3,0,0,'Données projet'!$E$12+1,1))-AVERAGE(OFFSET($H$3,0,0,'Données projet'!$E$12+1,1))</f>
        <v>169.62156467157178</v>
      </c>
      <c r="CE13" s="59">
        <f t="shared" si="40"/>
        <v>85.631326020763254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4.75</v>
      </c>
      <c r="CT13" s="12">
        <f>IF('Données projet'!$A$140&gt;35,CT12+CS13-DB12,IF(A13&lt;'Données projet'!$A$140,$CQ$205^A13,IF(A13='Données projet'!$A$140,'Données projet'!$B$140,CT12+CS13-DB12)))</f>
        <v>9.7467943448089507</v>
      </c>
      <c r="CU13" s="17">
        <f>CT13*VLOOKUP('Données projet'!$B$13,Paramètres!$A$1:$I$89,3,0)*VLOOKUP('Données projet'!$B$13,Paramètres!$A$1:$I$89,5,0)</f>
        <v>7.9065995725090206</v>
      </c>
      <c r="CV13" s="13">
        <f t="shared" si="41"/>
        <v>2.8642821943039705</v>
      </c>
      <c r="CW13" s="20">
        <f t="shared" si="13"/>
        <v>18.759285743865959</v>
      </c>
      <c r="CX13" s="59">
        <f t="shared" si="14"/>
        <v>287.64817463275483</v>
      </c>
      <c r="CY13" s="59">
        <f ca="1">AVERAGE(OFFSET($CX$3,0,0,'Données projet'!$E$13+1,1))-AVERAGE(OFFSET($H$3,0,0,'Données projet'!$E$13+1,1))</f>
        <v>234.59657655504111</v>
      </c>
      <c r="CZ13" s="59">
        <f t="shared" si="42"/>
        <v>285.10598666479211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1.2</v>
      </c>
      <c r="DO13" s="12">
        <f>IF('Données projet'!$A$166&gt;35,DO12+DN13-DW12,IF(A13&lt;'Données projet'!$A$166,$DL$205^A13,IF(A13='Données projet'!$A$166,'Données projet'!$B$166,DO12+DN13-DW12)))</f>
        <v>3.8980598409161908</v>
      </c>
      <c r="DP13" s="17">
        <f>DO13*VLOOKUP('Données projet'!$B$14,Paramètres!$A$1:$I$89,3,0)*VLOOKUP('Données projet'!$B$14,Paramètres!$A$1:$I$89,5,0)</f>
        <v>3.7702034781341398</v>
      </c>
      <c r="DQ13" s="13">
        <f t="shared" si="43"/>
        <v>1.4887713173266797</v>
      </c>
      <c r="DR13" s="20">
        <f t="shared" si="16"/>
        <v>9.1593811020942599</v>
      </c>
      <c r="DS13" s="59">
        <f t="shared" si="17"/>
        <v>278.0482699909831</v>
      </c>
      <c r="DT13" s="59">
        <f ca="1">AVERAGE(OFFSET($DS$3,0,0,'Données projet'!$E$14+1,1))-AVERAGE(OFFSET($H$3,0,0,'Données projet'!$E$14+1,1))</f>
        <v>186.90852124957956</v>
      </c>
      <c r="DU13" s="59">
        <f t="shared" si="44"/>
        <v>93.013797128776446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1.2</v>
      </c>
      <c r="EJ13" s="12">
        <f>IF('Données projet'!$A$192&gt;35,EJ12+EI13-ER12,IF(A13&lt;'Données projet'!$A$192,$EG$205^A13,IF(A13='Données projet'!$A$192,'Données projet'!$B$192,EJ12+EI13-ER12)))</f>
        <v>3.8980598409161908</v>
      </c>
      <c r="EK13" s="17">
        <f>EJ13*VLOOKUP('Données projet'!$B$15,Paramètres!$A$1:$I$89,3,0)*VLOOKUP('Données projet'!$B$15,Paramètres!$A$1:$I$89,5,0)</f>
        <v>4.1958716127621871</v>
      </c>
      <c r="EL13" s="13">
        <f t="shared" si="45"/>
        <v>1.63635584772744</v>
      </c>
      <c r="EM13" s="20">
        <f t="shared" si="19"/>
        <v>10.157796160352767</v>
      </c>
      <c r="EN13" s="59">
        <f t="shared" si="20"/>
        <v>279.0466850492416</v>
      </c>
      <c r="EO13" s="59">
        <f ca="1">AVERAGE(OFFSET($EN$3,0,0,'Données projet'!$E$15+1,1))-AVERAGE(OFFSET($H$3,0,0,'Données projet'!$E$15+1,1))</f>
        <v>217.10418688911096</v>
      </c>
      <c r="EP13" s="59">
        <f t="shared" si="46"/>
        <v>105.90631421515786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2.0833333333333335</v>
      </c>
      <c r="N14" s="13">
        <f>IF('Données projet'!$A$36&gt;35,N13+M14-V13,IF(A14&lt;'Données projet'!$A$36,$K$205^A14,IF(A14='Données projet'!$A$36,'Données projet'!$B$36,N13+M14-V13)))</f>
        <v>19.118112283293257</v>
      </c>
      <c r="O14" s="13">
        <f>N14*VLOOKUP('Données projet'!$B$9,Paramètres!$A$1:$I$89,3,0)*VLOOKUP('Données projet'!$B$9,Paramètres!$A$1:$I$89,5,0)</f>
        <v>11.432631145409369</v>
      </c>
      <c r="P14" s="13">
        <f t="shared" si="33"/>
        <v>3.9676197193180758</v>
      </c>
      <c r="Q14" s="20">
        <f t="shared" si="2"/>
        <v>26.822103589400299</v>
      </c>
      <c r="R14" s="59">
        <f t="shared" si="0"/>
        <v>296.93321470051143</v>
      </c>
      <c r="S14" s="59">
        <f ca="1">AVERAGE(OFFSET($R$3,0,0,'Données projet'!$E$9+1,1))-AVERAGE(OFFSET($H$3,0,0,'Données projet'!$E$9+1,1))</f>
        <v>145.19188637714888</v>
      </c>
      <c r="T14" s="59">
        <f t="shared" si="34"/>
        <v>169.74069292032493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6.6</v>
      </c>
      <c r="AI14" s="13">
        <f>IF('Données projet'!$A$62&gt;35,AI13+AH14-AQ13,IF(A14&lt;'Données projet'!$A$62,$AF$205^A14,IF(A14='Données projet'!$A$62,'Données projet'!$B$62,AI13+AH14-AQ13)))</f>
        <v>14.666134454850974</v>
      </c>
      <c r="AJ14" s="13">
        <f>AI14*VLOOKUP('Données projet'!$B$10,Paramètres!$A$1:$I$89,3,0)*VLOOKUP('Données projet'!$B$10,Paramètres!$A$1:$I$89,5,0)</f>
        <v>12.812335059757812</v>
      </c>
      <c r="AK14" s="13">
        <f t="shared" si="35"/>
        <v>4.3878565375042955</v>
      </c>
      <c r="AL14" s="20">
        <f t="shared" si="4"/>
        <v>29.957000365231504</v>
      </c>
      <c r="AM14" s="59">
        <f t="shared" si="5"/>
        <v>300.06811147634266</v>
      </c>
      <c r="AN14" s="59">
        <f ca="1">AVERAGE(OFFSET($AM$3,0,0,'Données projet'!$E$10+1,1))-AVERAGE(OFFSET($H$3,0,0,'Données projet'!$E$10+1,1))</f>
        <v>254.24072778190163</v>
      </c>
      <c r="AO14" s="59">
        <f t="shared" si="36"/>
        <v>356.78706780980383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4.55</v>
      </c>
      <c r="BD14" s="12">
        <f>IF('Données projet'!$A$88&gt;35,BD13+BC14-BL13,IF(A14&lt;'Données projet'!$A$88,$BA$205^A14,IF(A14='Données projet'!$A$88,'Données projet'!$B$88,BD13+BC14-BL13)))</f>
        <v>11.952885678330434</v>
      </c>
      <c r="BE14" s="13">
        <f>BD14*VLOOKUP('Données projet'!$B$11,Paramètres!$A$1:$I$89,3,0)*VLOOKUP('Données projet'!$B$11,Paramètres!$A$1:$I$89,5,0)</f>
        <v>7.147825635641599</v>
      </c>
      <c r="BF14" s="13">
        <f t="shared" si="37"/>
        <v>2.6199932165306663</v>
      </c>
      <c r="BG14" s="20">
        <f t="shared" si="7"/>
        <v>17.012284500866695</v>
      </c>
      <c r="BH14" s="59">
        <f t="shared" si="8"/>
        <v>287.12339561197786</v>
      </c>
      <c r="BI14" s="59">
        <f ca="1">AVERAGE(OFFSET($BH$3,0,0,'Données projet'!$E$11+1,1))-AVERAGE(OFFSET($H$3,0,0,'Données projet'!$E$11+1,1))</f>
        <v>246.59447135626942</v>
      </c>
      <c r="BJ14" s="59">
        <f t="shared" si="38"/>
        <v>262.00382544285367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4.0409729563234826</v>
      </c>
      <c r="CA14" s="13">
        <f t="shared" si="39"/>
        <v>1.5828619706020071</v>
      </c>
      <c r="CB14" s="20">
        <f t="shared" si="10"/>
        <v>9.7948458310618953</v>
      </c>
      <c r="CC14" s="59">
        <f t="shared" si="11"/>
        <v>279.90595694217302</v>
      </c>
      <c r="CD14" s="59">
        <f ca="1">AVERAGE(OFFSET($CC$3,0,0,'Données projet'!$E$12+1,1))-AVERAGE(OFFSET($H$3,0,0,'Données projet'!$E$12+1,1))</f>
        <v>169.62156467157178</v>
      </c>
      <c r="CE14" s="59">
        <f t="shared" si="40"/>
        <v>85.631326020763254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4.75</v>
      </c>
      <c r="CT14" s="12">
        <f>IF('Données projet'!$A$140&gt;35,CT13+CS14-DB13,IF(A14&lt;'Données projet'!$A$140,$CQ$205^A14,IF(A14='Données projet'!$A$140,'Données projet'!$B$140,CT13+CS14-DB13)))</f>
        <v>12.239057719016479</v>
      </c>
      <c r="CU14" s="17">
        <f>CT14*VLOOKUP('Données projet'!$B$13,Paramètres!$A$1:$I$89,3,0)*VLOOKUP('Données projet'!$B$13,Paramètres!$A$1:$I$89,5,0)</f>
        <v>9.9283236216661681</v>
      </c>
      <c r="CV14" s="13">
        <f t="shared" si="41"/>
        <v>3.5026087809930875</v>
      </c>
      <c r="CW14" s="20">
        <f t="shared" si="13"/>
        <v>23.392207267964867</v>
      </c>
      <c r="CX14" s="59">
        <f t="shared" si="14"/>
        <v>293.50331837907601</v>
      </c>
      <c r="CY14" s="59">
        <f ca="1">AVERAGE(OFFSET($CX$3,0,0,'Données projet'!$E$13+1,1))-AVERAGE(OFFSET($H$3,0,0,'Données projet'!$E$13+1,1))</f>
        <v>234.59657655504111</v>
      </c>
      <c r="CZ14" s="59">
        <f t="shared" si="42"/>
        <v>285.10598666479211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1.2</v>
      </c>
      <c r="DO14" s="12">
        <f>IF('Données projet'!$A$166&gt;35,DO13+DN14-DW13,IF(A14&lt;'Données projet'!$A$166,$DL$205^A14,IF(A14='Données projet'!$A$166,'Données projet'!$B$166,DO13+DN14-DW13)))</f>
        <v>4.4661504822319662</v>
      </c>
      <c r="DP14" s="17">
        <f>DO14*VLOOKUP('Données projet'!$B$14,Paramètres!$A$1:$I$89,3,0)*VLOOKUP('Données projet'!$B$14,Paramètres!$A$1:$I$89,5,0)</f>
        <v>4.3196607464147583</v>
      </c>
      <c r="DQ14" s="13">
        <f t="shared" si="43"/>
        <v>1.6789407368626241</v>
      </c>
      <c r="DR14" s="20">
        <f t="shared" si="16"/>
        <v>10.44756425004144</v>
      </c>
      <c r="DS14" s="59">
        <f t="shared" si="17"/>
        <v>280.55867536115261</v>
      </c>
      <c r="DT14" s="59">
        <f ca="1">AVERAGE(OFFSET($DS$3,0,0,'Données projet'!$E$14+1,1))-AVERAGE(OFFSET($H$3,0,0,'Données projet'!$E$14+1,1))</f>
        <v>186.90852124957956</v>
      </c>
      <c r="DU14" s="59">
        <f t="shared" si="44"/>
        <v>93.013797128776446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1.2</v>
      </c>
      <c r="EJ14" s="12">
        <f>IF('Données projet'!$A$192&gt;35,EJ13+EI14-ER13,IF(A14&lt;'Données projet'!$A$192,$EG$205^A14,IF(A14='Données projet'!$A$192,'Données projet'!$B$192,EJ13+EI14-ER13)))</f>
        <v>4.4661504822319662</v>
      </c>
      <c r="EK14" s="17">
        <f>EJ14*VLOOKUP('Données projet'!$B$15,Paramètres!$A$1:$I$89,3,0)*VLOOKUP('Données projet'!$B$15,Paramètres!$A$1:$I$89,5,0)</f>
        <v>4.8073643790744889</v>
      </c>
      <c r="EL14" s="13">
        <f t="shared" si="45"/>
        <v>1.8453770977306692</v>
      </c>
      <c r="EM14" s="20">
        <f t="shared" si="19"/>
        <v>11.586858072102316</v>
      </c>
      <c r="EN14" s="59">
        <f t="shared" si="20"/>
        <v>281.69796918321344</v>
      </c>
      <c r="EO14" s="59">
        <f ca="1">AVERAGE(OFFSET($EN$3,0,0,'Données projet'!$E$15+1,1))-AVERAGE(OFFSET($H$3,0,0,'Données projet'!$E$15+1,1))</f>
        <v>217.10418688911096</v>
      </c>
      <c r="EP14" s="59">
        <f t="shared" si="46"/>
        <v>105.90631421515786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25</v>
      </c>
      <c r="L15" s="12">
        <f>VLOOKUP(A15,'Données projet'!$A$35:$I$55,9,0)</f>
        <v>2.0833333333333335</v>
      </c>
      <c r="M15" s="12">
        <f t="array" ref="M15">INDEX(L:L,MIN(IF(ISNUMBER(L15:L211),ROW(L15:L211),"")))</f>
        <v>2.0833333333333335</v>
      </c>
      <c r="N15" s="13">
        <f>IF('Données projet'!$A$36&gt;35,N14+M15-V14,IF(A15&lt;'Données projet'!$A$36,$K$205^A15,IF(A15='Données projet'!$A$36,'Données projet'!$B$36,N14+M15-V14)))</f>
        <v>25</v>
      </c>
      <c r="O15" s="13">
        <f>N15*VLOOKUP('Données projet'!$B$9,Paramètres!$A$1:$I$89,3,0)*VLOOKUP('Données projet'!$B$9,Paramètres!$A$1:$I$89,5,0)</f>
        <v>14.950000000000001</v>
      </c>
      <c r="P15" s="13">
        <f t="shared" si="33"/>
        <v>5.0288076310817473</v>
      </c>
      <c r="Q15" s="20">
        <f t="shared" si="2"/>
        <v>34.796423290800711</v>
      </c>
      <c r="R15" s="59">
        <f t="shared" si="0"/>
        <v>306.12975662413402</v>
      </c>
      <c r="S15" s="59">
        <f ca="1">AVERAGE(OFFSET($R$3,0,0,'Données projet'!$E$9+1,1))-AVERAGE(OFFSET($H$3,0,0,'Données projet'!$E$9+1,1))</f>
        <v>145.19188637714888</v>
      </c>
      <c r="T15" s="59">
        <f t="shared" si="34"/>
        <v>169.74069292032493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6.6</v>
      </c>
      <c r="AI15" s="13">
        <f>IF('Données projet'!$A$62&gt;35,AI14+AH15-AQ14,IF(A15&lt;'Données projet'!$A$62,$AF$205^A15,IF(A15='Données projet'!$A$62,'Données projet'!$B$62,AI14+AH15-AQ14)))</f>
        <v>18.721660210059202</v>
      </c>
      <c r="AJ15" s="13">
        <f>AI15*VLOOKUP('Données projet'!$B$10,Paramètres!$A$1:$I$89,3,0)*VLOOKUP('Données projet'!$B$10,Paramètres!$A$1:$I$89,5,0)</f>
        <v>16.35524235950772</v>
      </c>
      <c r="AK15" s="13">
        <f t="shared" si="35"/>
        <v>5.4442664998513175</v>
      </c>
      <c r="AL15" s="20">
        <f t="shared" si="4"/>
        <v>37.967477930050322</v>
      </c>
      <c r="AM15" s="59">
        <f t="shared" si="5"/>
        <v>309.30081126338365</v>
      </c>
      <c r="AN15" s="59">
        <f ca="1">AVERAGE(OFFSET($AM$3,0,0,'Données projet'!$E$10+1,1))-AVERAGE(OFFSET($H$3,0,0,'Données projet'!$E$10+1,1))</f>
        <v>254.24072778190163</v>
      </c>
      <c r="AO15" s="59">
        <f t="shared" si="36"/>
        <v>356.78706780980383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4.55</v>
      </c>
      <c r="BD15" s="12">
        <f>IF('Données projet'!$A$88&gt;35,BD14+BC15-BL14,IF(A15&lt;'Données projet'!$A$88,$BA$205^A15,IF(A15='Données projet'!$A$88,'Données projet'!$B$88,BD14+BC15-BL14)))</f>
        <v>14.97700019320108</v>
      </c>
      <c r="BE15" s="13">
        <f>BD15*VLOOKUP('Données projet'!$B$11,Paramètres!$A$1:$I$89,3,0)*VLOOKUP('Données projet'!$B$11,Paramètres!$A$1:$I$89,5,0)</f>
        <v>8.9562461155342472</v>
      </c>
      <c r="BF15" s="13">
        <f t="shared" si="37"/>
        <v>3.1977949739831653</v>
      </c>
      <c r="BG15" s="20">
        <f t="shared" si="7"/>
        <v>21.168288230909493</v>
      </c>
      <c r="BH15" s="59">
        <f t="shared" si="8"/>
        <v>292.50162156424278</v>
      </c>
      <c r="BI15" s="59">
        <f ca="1">AVERAGE(OFFSET($BH$3,0,0,'Données projet'!$E$11+1,1))-AVERAGE(OFFSET($H$3,0,0,'Données projet'!$E$11+1,1))</f>
        <v>246.59447135626942</v>
      </c>
      <c r="BJ15" s="59">
        <f t="shared" si="38"/>
        <v>262.00382544285367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4.6298912931333014</v>
      </c>
      <c r="CA15" s="13">
        <f t="shared" si="39"/>
        <v>1.7850501365423737</v>
      </c>
      <c r="CB15" s="20">
        <f t="shared" si="10"/>
        <v>11.172689656685135</v>
      </c>
      <c r="CC15" s="59">
        <f t="shared" si="11"/>
        <v>282.50602299001844</v>
      </c>
      <c r="CD15" s="59">
        <f ca="1">AVERAGE(OFFSET($CC$3,0,0,'Données projet'!$E$12+1,1))-AVERAGE(OFFSET($H$3,0,0,'Données projet'!$E$12+1,1))</f>
        <v>169.62156467157178</v>
      </c>
      <c r="CE15" s="59">
        <f t="shared" si="40"/>
        <v>85.631326020763254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4.75</v>
      </c>
      <c r="CT15" s="12">
        <f>IF('Données projet'!$A$140&gt;35,CT14+CS15-DB14,IF(A15&lt;'Données projet'!$A$140,$CQ$205^A15,IF(A15='Données projet'!$A$140,'Données projet'!$B$140,CT14+CS15-DB14)))</f>
        <v>15.368594899018873</v>
      </c>
      <c r="CU15" s="17">
        <f>CT15*VLOOKUP('Données projet'!$B$13,Paramètres!$A$1:$I$89,3,0)*VLOOKUP('Données projet'!$B$13,Paramètres!$A$1:$I$89,5,0)</f>
        <v>12.467004182084111</v>
      </c>
      <c r="CV15" s="13">
        <f t="shared" si="41"/>
        <v>4.2831911943198415</v>
      </c>
      <c r="CW15" s="20">
        <f t="shared" si="13"/>
        <v>29.173256947236883</v>
      </c>
      <c r="CX15" s="59">
        <f t="shared" si="14"/>
        <v>300.50659028057021</v>
      </c>
      <c r="CY15" s="59">
        <f ca="1">AVERAGE(OFFSET($CX$3,0,0,'Données projet'!$E$13+1,1))-AVERAGE(OFFSET($H$3,0,0,'Données projet'!$E$13+1,1))</f>
        <v>234.59657655504111</v>
      </c>
      <c r="CZ15" s="59">
        <f t="shared" si="42"/>
        <v>285.10598666479211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1.2</v>
      </c>
      <c r="DO15" s="12">
        <f>IF('Données projet'!$A$166&gt;35,DO14+DN15-DW14,IF(A15&lt;'Données projet'!$A$166,$DL$205^A15,IF(A15='Données projet'!$A$166,'Données projet'!$B$166,DO14+DN15-DW14)))</f>
        <v>5.1170328173444979</v>
      </c>
      <c r="DP15" s="17">
        <f>DO15*VLOOKUP('Données projet'!$B$14,Paramètres!$A$1:$I$89,3,0)*VLOOKUP('Données projet'!$B$14,Paramètres!$A$1:$I$89,5,0)</f>
        <v>4.9491941409355986</v>
      </c>
      <c r="DQ15" s="13">
        <f t="shared" si="43"/>
        <v>1.8934016024425293</v>
      </c>
      <c r="DR15" s="20">
        <f t="shared" si="16"/>
        <v>11.917520919716907</v>
      </c>
      <c r="DS15" s="59">
        <f t="shared" si="17"/>
        <v>283.25085425305019</v>
      </c>
      <c r="DT15" s="59">
        <f ca="1">AVERAGE(OFFSET($DS$3,0,0,'Données projet'!$E$14+1,1))-AVERAGE(OFFSET($H$3,0,0,'Données projet'!$E$14+1,1))</f>
        <v>186.90852124957956</v>
      </c>
      <c r="DU15" s="59">
        <f t="shared" si="44"/>
        <v>93.013797128776446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1.2</v>
      </c>
      <c r="EJ15" s="12">
        <f>IF('Données projet'!$A$192&gt;35,EJ14+EI15-ER14,IF(A15&lt;'Données projet'!$A$192,$EG$205^A15,IF(A15='Données projet'!$A$192,'Données projet'!$B$192,EJ14+EI15-ER14)))</f>
        <v>5.1170328173444979</v>
      </c>
      <c r="EK15" s="17">
        <f>EJ15*VLOOKUP('Données projet'!$B$15,Paramètres!$A$1:$I$89,3,0)*VLOOKUP('Données projet'!$B$15,Paramètres!$A$1:$I$89,5,0)</f>
        <v>5.5079741245896177</v>
      </c>
      <c r="EL15" s="13">
        <f t="shared" si="45"/>
        <v>2.0810978477317659</v>
      </c>
      <c r="EM15" s="20">
        <f t="shared" si="19"/>
        <v>13.217633685126408</v>
      </c>
      <c r="EN15" s="59">
        <f t="shared" si="20"/>
        <v>284.55096701845974</v>
      </c>
      <c r="EO15" s="59">
        <f ca="1">AVERAGE(OFFSET($EN$3,0,0,'Données projet'!$E$15+1,1))-AVERAGE(OFFSET($H$3,0,0,'Données projet'!$E$15+1,1))</f>
        <v>217.10418688911096</v>
      </c>
      <c r="EP15" s="59">
        <f t="shared" si="46"/>
        <v>105.90631421515786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</v>
      </c>
      <c r="N16" s="13">
        <f>IF('Données projet'!$A$36&gt;35,N15+M16-V15,IF(A16&lt;'Données projet'!$A$36,$K$205^A16,IF(A16='Données projet'!$A$36,'Données projet'!$B$36,N15+M16-V15)))</f>
        <v>33.5</v>
      </c>
      <c r="O16" s="13">
        <f>N16*VLOOKUP('Données projet'!$B$9,Paramètres!$A$1:$I$89,3,0)*VLOOKUP('Données projet'!$B$9,Paramètres!$A$1:$I$89,5,0)</f>
        <v>20.033000000000001</v>
      </c>
      <c r="P16" s="13">
        <f t="shared" si="33"/>
        <v>6.5129061865703672</v>
      </c>
      <c r="Q16" s="20">
        <f t="shared" si="2"/>
        <v>46.234119941610061</v>
      </c>
      <c r="R16" s="59">
        <f t="shared" si="0"/>
        <v>318.7896754971656</v>
      </c>
      <c r="S16" s="59">
        <f ca="1">AVERAGE(OFFSET($R$3,0,0,'Données projet'!$E$9+1,1))-AVERAGE(OFFSET($H$3,0,0,'Données projet'!$E$9+1,1))</f>
        <v>145.19188637714888</v>
      </c>
      <c r="T16" s="59">
        <f t="shared" si="34"/>
        <v>169.74069292032493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6.6</v>
      </c>
      <c r="AI16" s="13">
        <f>IF('Données projet'!$A$62&gt;35,AI15+AH16-AQ15,IF(A16&lt;'Données projet'!$A$62,$AF$205^A16,IF(A16='Données projet'!$A$62,'Données projet'!$B$62,AI15+AH16-AQ15)))</f>
        <v>23.89863273788427</v>
      </c>
      <c r="AJ16" s="13">
        <f>AI16*VLOOKUP('Données projet'!$B$10,Paramètres!$A$1:$I$89,3,0)*VLOOKUP('Données projet'!$B$10,Paramètres!$A$1:$I$89,5,0)</f>
        <v>20.8778455598157</v>
      </c>
      <c r="AK16" s="13">
        <f t="shared" si="35"/>
        <v>6.7550152262411558</v>
      </c>
      <c r="AL16" s="20">
        <f t="shared" si="4"/>
        <v>48.127232535715684</v>
      </c>
      <c r="AM16" s="59">
        <f t="shared" si="5"/>
        <v>320.68278809127122</v>
      </c>
      <c r="AN16" s="59">
        <f ca="1">AVERAGE(OFFSET($AM$3,0,0,'Données projet'!$E$10+1,1))-AVERAGE(OFFSET($H$3,0,0,'Données projet'!$E$10+1,1))</f>
        <v>254.24072778190163</v>
      </c>
      <c r="AO16" s="59">
        <f t="shared" si="36"/>
        <v>356.78706780980383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4.55</v>
      </c>
      <c r="BD16" s="12">
        <f>IF('Données projet'!$A$88&gt;35,BD15+BC16-BL15,IF(A16&lt;'Données projet'!$A$88,$BA$205^A16,IF(A16='Données projet'!$A$88,'Données projet'!$B$88,BD15+BC16-BL15)))</f>
        <v>18.766224393311244</v>
      </c>
      <c r="BE16" s="13">
        <f>BD16*VLOOKUP('Données projet'!$B$11,Paramètres!$A$1:$I$89,3,0)*VLOOKUP('Données projet'!$B$11,Paramètres!$A$1:$I$89,5,0)</f>
        <v>11.222202187200125</v>
      </c>
      <c r="BF16" s="13">
        <f t="shared" si="37"/>
        <v>3.903022584605345</v>
      </c>
      <c r="BG16" s="20">
        <f t="shared" si="7"/>
        <v>26.343099810894525</v>
      </c>
      <c r="BH16" s="59">
        <f t="shared" si="8"/>
        <v>298.89865536645004</v>
      </c>
      <c r="BI16" s="59">
        <f ca="1">AVERAGE(OFFSET($BH$3,0,0,'Données projet'!$E$11+1,1))-AVERAGE(OFFSET($H$3,0,0,'Données projet'!$E$11+1,1))</f>
        <v>246.59447135626942</v>
      </c>
      <c r="BJ16" s="59">
        <f t="shared" si="38"/>
        <v>262.00382544285367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5.3046366847587469</v>
      </c>
      <c r="CA16" s="13">
        <f t="shared" si="39"/>
        <v>2.0130649729098407</v>
      </c>
      <c r="CB16" s="20">
        <f t="shared" si="10"/>
        <v>12.74499705377279</v>
      </c>
      <c r="CC16" s="59">
        <f t="shared" si="11"/>
        <v>285.30055260932835</v>
      </c>
      <c r="CD16" s="59">
        <f ca="1">AVERAGE(OFFSET($CC$3,0,0,'Données projet'!$E$12+1,1))-AVERAGE(OFFSET($H$3,0,0,'Données projet'!$E$12+1,1))</f>
        <v>169.62156467157178</v>
      </c>
      <c r="CE16" s="59">
        <f t="shared" si="40"/>
        <v>85.631326020763254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4.75</v>
      </c>
      <c r="CT16" s="12">
        <f>IF('Données projet'!$A$140&gt;35,CT15+CS16-DB15,IF(A16&lt;'Données projet'!$A$140,$CQ$205^A16,IF(A16='Données projet'!$A$140,'Données projet'!$B$140,CT15+CS16-DB15)))</f>
        <v>19.298357323959845</v>
      </c>
      <c r="CU16" s="17">
        <f>CT16*VLOOKUP('Données projet'!$B$13,Paramètres!$A$1:$I$89,3,0)*VLOOKUP('Données projet'!$B$13,Paramètres!$A$1:$I$89,5,0)</f>
        <v>15.654827461196227</v>
      </c>
      <c r="CV16" s="13">
        <f t="shared" si="41"/>
        <v>5.2377322031087648</v>
      </c>
      <c r="CW16" s="20">
        <f t="shared" si="13"/>
        <v>36.387874748664522</v>
      </c>
      <c r="CX16" s="59">
        <f t="shared" si="14"/>
        <v>308.94343030422004</v>
      </c>
      <c r="CY16" s="59">
        <f ca="1">AVERAGE(OFFSET($CX$3,0,0,'Données projet'!$E$13+1,1))-AVERAGE(OFFSET($H$3,0,0,'Données projet'!$E$13+1,1))</f>
        <v>234.59657655504111</v>
      </c>
      <c r="CZ16" s="59">
        <f t="shared" si="42"/>
        <v>285.10598666479211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1.2</v>
      </c>
      <c r="DO16" s="12">
        <f>IF('Données projet'!$A$166&gt;35,DO15+DN16-DW15,IF(A16&lt;'Données projet'!$A$166,$DL$205^A16,IF(A16='Données projet'!$A$166,'Données projet'!$B$166,DO15+DN16-DW15)))</f>
        <v>5.8627726400958746</v>
      </c>
      <c r="DP16" s="17">
        <f>DO16*VLOOKUP('Données projet'!$B$14,Paramètres!$A$1:$I$89,3,0)*VLOOKUP('Données projet'!$B$14,Paramètres!$A$1:$I$89,5,0)</f>
        <v>5.6704736975007304</v>
      </c>
      <c r="DQ16" s="13">
        <f t="shared" si="43"/>
        <v>2.1352568017564701</v>
      </c>
      <c r="DR16" s="20">
        <f t="shared" si="16"/>
        <v>13.594980619539625</v>
      </c>
      <c r="DS16" s="59">
        <f t="shared" si="17"/>
        <v>286.15053617509517</v>
      </c>
      <c r="DT16" s="59">
        <f ca="1">AVERAGE(OFFSET($DS$3,0,0,'Données projet'!$E$14+1,1))-AVERAGE(OFFSET($H$3,0,0,'Données projet'!$E$14+1,1))</f>
        <v>186.90852124957956</v>
      </c>
      <c r="DU16" s="59">
        <f t="shared" si="44"/>
        <v>93.013797128776446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1.2</v>
      </c>
      <c r="EJ16" s="12">
        <f>IF('Données projet'!$A$192&gt;35,EJ15+EI16-ER15,IF(A16&lt;'Données projet'!$A$192,$EG$205^A16,IF(A16='Données projet'!$A$192,'Données projet'!$B$192,EJ15+EI16-ER15)))</f>
        <v>5.8627726400958746</v>
      </c>
      <c r="EK16" s="17">
        <f>EJ16*VLOOKUP('Données projet'!$B$15,Paramètres!$A$1:$I$89,3,0)*VLOOKUP('Données projet'!$B$15,Paramètres!$A$1:$I$89,5,0)</f>
        <v>6.3106884697991985</v>
      </c>
      <c r="EL16" s="13">
        <f t="shared" si="45"/>
        <v>2.346928580158357</v>
      </c>
      <c r="EM16" s="20">
        <f t="shared" si="19"/>
        <v>15.078683028676075</v>
      </c>
      <c r="EN16" s="59">
        <f t="shared" si="20"/>
        <v>287.63423858423164</v>
      </c>
      <c r="EO16" s="59">
        <f ca="1">AVERAGE(OFFSET($EN$3,0,0,'Données projet'!$E$15+1,1))-AVERAGE(OFFSET($H$3,0,0,'Données projet'!$E$15+1,1))</f>
        <v>217.10418688911096</v>
      </c>
      <c r="EP16" s="59">
        <f t="shared" si="46"/>
        <v>105.90631421515786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</v>
      </c>
      <c r="N17" s="13">
        <f>IF('Données projet'!$A$36&gt;35,N16+M17-V16,IF(A17&lt;'Données projet'!$A$36,$K$205^A17,IF(A17='Données projet'!$A$36,'Données projet'!$B$36,N16+M17-V16)))</f>
        <v>42</v>
      </c>
      <c r="O17" s="13">
        <f>N17*VLOOKUP('Données projet'!$B$9,Paramètres!$A$1:$I$89,3,0)*VLOOKUP('Données projet'!$B$9,Paramètres!$A$1:$I$89,5,0)</f>
        <v>25.116</v>
      </c>
      <c r="P17" s="13">
        <f t="shared" si="33"/>
        <v>7.9533172071367026</v>
      </c>
      <c r="Q17" s="20">
        <f t="shared" si="2"/>
        <v>57.595727469096431</v>
      </c>
      <c r="R17" s="59">
        <f t="shared" si="0"/>
        <v>331.37350524687417</v>
      </c>
      <c r="S17" s="59">
        <f ca="1">AVERAGE(OFFSET($R$3,0,0,'Données projet'!$E$9+1,1))-AVERAGE(OFFSET($H$3,0,0,'Données projet'!$E$9+1,1))</f>
        <v>145.19188637714888</v>
      </c>
      <c r="T17" s="59">
        <f t="shared" si="34"/>
        <v>169.74069292032493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6.6</v>
      </c>
      <c r="AI17" s="13">
        <f>IF('Données projet'!$A$62&gt;35,AI16+AH17-AQ16,IF(A17&lt;'Données projet'!$A$62,$AF$205^A17,IF(A17='Données projet'!$A$62,'Données projet'!$B$62,AI16+AH17-AQ16)))</f>
        <v>30.50715803683886</v>
      </c>
      <c r="AJ17" s="13">
        <f>AI17*VLOOKUP('Données projet'!$B$10,Paramètres!$A$1:$I$89,3,0)*VLOOKUP('Données projet'!$B$10,Paramètres!$A$1:$I$89,5,0)</f>
        <v>26.651053260982433</v>
      </c>
      <c r="AK17" s="13">
        <f t="shared" si="35"/>
        <v>8.3813367159737684</v>
      </c>
      <c r="AL17" s="20">
        <f t="shared" si="4"/>
        <v>61.014745876532061</v>
      </c>
      <c r="AM17" s="59">
        <f t="shared" si="5"/>
        <v>334.79252365430983</v>
      </c>
      <c r="AN17" s="59">
        <f ca="1">AVERAGE(OFFSET($AM$3,0,0,'Données projet'!$E$10+1,1))-AVERAGE(OFFSET($H$3,0,0,'Données projet'!$E$10+1,1))</f>
        <v>254.24072778190163</v>
      </c>
      <c r="AO17" s="59">
        <f t="shared" si="36"/>
        <v>356.78706780980383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4.55</v>
      </c>
      <c r="BD17" s="12">
        <f>IF('Données projet'!$A$88&gt;35,BD16+BC17-BL16,IF(A17&lt;'Données projet'!$A$88,$BA$205^A17,IF(A17='Données projet'!$A$88,'Données projet'!$B$88,BD16+BC17-BL16)))</f>
        <v>23.514133233434862</v>
      </c>
      <c r="BE17" s="13">
        <f>BD17*VLOOKUP('Données projet'!$B$11,Paramètres!$A$1:$I$89,3,0)*VLOOKUP('Données projet'!$B$11,Paramètres!$A$1:$I$89,5,0)</f>
        <v>14.061451673594048</v>
      </c>
      <c r="BF17" s="13">
        <f t="shared" si="37"/>
        <v>4.7637779844792423</v>
      </c>
      <c r="BG17" s="20">
        <f t="shared" si="7"/>
        <v>32.787274987810981</v>
      </c>
      <c r="BH17" s="59">
        <f t="shared" si="8"/>
        <v>306.56505276558875</v>
      </c>
      <c r="BI17" s="59">
        <f ca="1">AVERAGE(OFFSET($BH$3,0,0,'Données projet'!$E$11+1,1))-AVERAGE(OFFSET($H$3,0,0,'Données projet'!$E$11+1,1))</f>
        <v>246.59447135626942</v>
      </c>
      <c r="BJ17" s="59">
        <f t="shared" si="38"/>
        <v>262.00382544285367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6.077717288745446</v>
      </c>
      <c r="CA17" s="13">
        <f t="shared" si="39"/>
        <v>2.2702054705343011</v>
      </c>
      <c r="CB17" s="20">
        <f t="shared" si="10"/>
        <v>14.53929880574556</v>
      </c>
      <c r="CC17" s="59">
        <f t="shared" si="11"/>
        <v>288.31707658352332</v>
      </c>
      <c r="CD17" s="59">
        <f ca="1">AVERAGE(OFFSET($CC$3,0,0,'Données projet'!$E$12+1,1))-AVERAGE(OFFSET($H$3,0,0,'Données projet'!$E$12+1,1))</f>
        <v>169.62156467157178</v>
      </c>
      <c r="CE17" s="59">
        <f t="shared" si="40"/>
        <v>85.631326020763254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4.75</v>
      </c>
      <c r="CT17" s="12">
        <f>IF('Données projet'!$A$140&gt;35,CT16+CS17-DB16,IF(A17&lt;'Données projet'!$A$140,$CQ$205^A17,IF(A17='Données projet'!$A$140,'Données projet'!$B$140,CT16+CS17-DB16)))</f>
        <v>24.232963250726986</v>
      </c>
      <c r="CU17" s="17">
        <f>CT17*VLOOKUP('Données projet'!$B$13,Paramètres!$A$1:$I$89,3,0)*VLOOKUP('Données projet'!$B$13,Paramètres!$A$1:$I$89,5,0)</f>
        <v>19.657779788989732</v>
      </c>
      <c r="CV17" s="13">
        <f t="shared" si="41"/>
        <v>6.4049997739685294</v>
      </c>
      <c r="CW17" s="20">
        <f t="shared" si="13"/>
        <v>45.392674405485643</v>
      </c>
      <c r="CX17" s="59">
        <f t="shared" si="14"/>
        <v>319.17045218326342</v>
      </c>
      <c r="CY17" s="59">
        <f ca="1">AVERAGE(OFFSET($CX$3,0,0,'Données projet'!$E$13+1,1))-AVERAGE(OFFSET($H$3,0,0,'Données projet'!$E$13+1,1))</f>
        <v>234.59657655504111</v>
      </c>
      <c r="CZ17" s="59">
        <f t="shared" si="42"/>
        <v>285.10598666479211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1.2</v>
      </c>
      <c r="DO17" s="12">
        <f>IF('Données projet'!$A$166&gt;35,DO16+DN17-DW16,IF(A17&lt;'Données projet'!$A$166,$DL$205^A17,IF(A17='Données projet'!$A$166,'Données projet'!$B$166,DO16+DN17-DW16)))</f>
        <v>6.7171941741218459</v>
      </c>
      <c r="DP17" s="17">
        <f>DO17*VLOOKUP('Données projet'!$B$14,Paramètres!$A$1:$I$89,3,0)*VLOOKUP('Données projet'!$B$14,Paramètres!$A$1:$I$89,5,0)</f>
        <v>6.4968702052106497</v>
      </c>
      <c r="DQ17" s="13">
        <f t="shared" si="43"/>
        <v>2.4080055723865681</v>
      </c>
      <c r="DR17" s="20">
        <f t="shared" si="16"/>
        <v>15.509325312648487</v>
      </c>
      <c r="DS17" s="59">
        <f t="shared" si="17"/>
        <v>289.28710309042629</v>
      </c>
      <c r="DT17" s="59">
        <f ca="1">AVERAGE(OFFSET($DS$3,0,0,'Données projet'!$E$14+1,1))-AVERAGE(OFFSET($H$3,0,0,'Données projet'!$E$14+1,1))</f>
        <v>186.90852124957956</v>
      </c>
      <c r="DU17" s="59">
        <f t="shared" si="44"/>
        <v>93.013797128776446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1.2</v>
      </c>
      <c r="EJ17" s="12">
        <f>IF('Données projet'!$A$192&gt;35,EJ16+EI17-ER16,IF(A17&lt;'Données projet'!$A$192,$EG$205^A17,IF(A17='Données projet'!$A$192,'Données projet'!$B$192,EJ16+EI17-ER16)))</f>
        <v>6.7171941741218459</v>
      </c>
      <c r="EK17" s="17">
        <f>EJ17*VLOOKUP('Données projet'!$B$15,Paramètres!$A$1:$I$89,3,0)*VLOOKUP('Données projet'!$B$15,Paramètres!$A$1:$I$89,5,0)</f>
        <v>7.2303878090247551</v>
      </c>
      <c r="EL17" s="13">
        <f t="shared" si="45"/>
        <v>2.6467154181950132</v>
      </c>
      <c r="EM17" s="20">
        <f t="shared" si="19"/>
        <v>17.202621454074428</v>
      </c>
      <c r="EN17" s="59">
        <f t="shared" si="20"/>
        <v>290.98039923185218</v>
      </c>
      <c r="EO17" s="59">
        <f ca="1">AVERAGE(OFFSET($EN$3,0,0,'Données projet'!$E$15+1,1))-AVERAGE(OFFSET($H$3,0,0,'Données projet'!$E$15+1,1))</f>
        <v>217.10418688911096</v>
      </c>
      <c r="EP17" s="59">
        <f t="shared" si="46"/>
        <v>105.90631421515786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</v>
      </c>
      <c r="N18" s="13">
        <f>IF('Données projet'!$A$36&gt;35,N17+M18-V17,IF(A18&lt;'Données projet'!$A$36,$K$205^A18,IF(A18='Données projet'!$A$36,'Données projet'!$B$36,N17+M18-V17)))</f>
        <v>50.5</v>
      </c>
      <c r="O18" s="13">
        <f>N18*VLOOKUP('Données projet'!$B$9,Paramètres!$A$1:$I$89,3,0)*VLOOKUP('Données projet'!$B$9,Paramètres!$A$1:$I$89,5,0)</f>
        <v>30.199000000000002</v>
      </c>
      <c r="P18" s="13">
        <f t="shared" si="33"/>
        <v>9.3599492233623032</v>
      </c>
      <c r="Q18" s="20">
        <f t="shared" si="2"/>
        <v>68.898503230689343</v>
      </c>
      <c r="R18" s="59">
        <f t="shared" si="0"/>
        <v>343.89850323068936</v>
      </c>
      <c r="S18" s="59">
        <f ca="1">AVERAGE(OFFSET($R$3,0,0,'Données projet'!$E$9+1,1))-AVERAGE(OFFSET($H$3,0,0,'Données projet'!$E$9+1,1))</f>
        <v>145.19188637714888</v>
      </c>
      <c r="T18" s="59">
        <f t="shared" si="34"/>
        <v>169.74069292032493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6.6</v>
      </c>
      <c r="AI18" s="13">
        <f>IF('Données projet'!$A$62&gt;35,AI17+AH18-AQ17,IF(A18&lt;'Données projet'!$A$62,$AF$205^A18,IF(A18='Données projet'!$A$62,'Données projet'!$B$62,AI17+AH18-AQ17)))</f>
        <v>38.943093594192561</v>
      </c>
      <c r="AJ18" s="13">
        <f>AI18*VLOOKUP('Données projet'!$B$10,Paramètres!$A$1:$I$89,3,0)*VLOOKUP('Données projet'!$B$10,Paramètres!$A$1:$I$89,5,0)</f>
        <v>34.02068656388662</v>
      </c>
      <c r="AK18" s="13">
        <f t="shared" si="35"/>
        <v>10.399207521197393</v>
      </c>
      <c r="AL18" s="20">
        <f t="shared" si="4"/>
        <v>77.364648864854644</v>
      </c>
      <c r="AM18" s="59">
        <f t="shared" si="5"/>
        <v>352.36464886485464</v>
      </c>
      <c r="AN18" s="59">
        <f ca="1">AVERAGE(OFFSET($AM$3,0,0,'Données projet'!$E$10+1,1))-AVERAGE(OFFSET($H$3,0,0,'Données projet'!$E$10+1,1))</f>
        <v>254.24072778190163</v>
      </c>
      <c r="AO18" s="59">
        <f t="shared" si="36"/>
        <v>356.78706780980383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4.55</v>
      </c>
      <c r="BD18" s="12">
        <f>IF('Données projet'!$A$88&gt;35,BD17+BC18-BL17,IF(A18&lt;'Données projet'!$A$88,$BA$205^A18,IF(A18='Données projet'!$A$88,'Données projet'!$B$88,BD17+BC18-BL17)))</f>
        <v>29.463276689625356</v>
      </c>
      <c r="BE18" s="13">
        <f>BD18*VLOOKUP('Données projet'!$B$11,Paramètres!$A$1:$I$89,3,0)*VLOOKUP('Données projet'!$B$11,Paramètres!$A$1:$I$89,5,0)</f>
        <v>17.619039460395964</v>
      </c>
      <c r="BF18" s="13">
        <f t="shared" si="37"/>
        <v>5.8143605868229411</v>
      </c>
      <c r="BG18" s="20">
        <f t="shared" si="7"/>
        <v>40.81317174890625</v>
      </c>
      <c r="BH18" s="59">
        <f t="shared" si="8"/>
        <v>315.81317174890626</v>
      </c>
      <c r="BI18" s="59">
        <f ca="1">AVERAGE(OFFSET($BH$3,0,0,'Données projet'!$E$11+1,1))-AVERAGE(OFFSET($H$3,0,0,'Données projet'!$E$11+1,1))</f>
        <v>246.59447135626942</v>
      </c>
      <c r="BJ18" s="59">
        <f t="shared" si="38"/>
        <v>262.00382544285367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6.9634641610889609</v>
      </c>
      <c r="CA18" s="13">
        <f t="shared" si="39"/>
        <v>2.5601920195323435</v>
      </c>
      <c r="CB18" s="20">
        <f t="shared" si="10"/>
        <v>16.587034514582104</v>
      </c>
      <c r="CC18" s="59">
        <f t="shared" si="11"/>
        <v>291.58703451458211</v>
      </c>
      <c r="CD18" s="59">
        <f ca="1">AVERAGE(OFFSET($CC$3,0,0,'Données projet'!$E$12+1,1))-AVERAGE(OFFSET($H$3,0,0,'Données projet'!$E$12+1,1))</f>
        <v>169.62156467157178</v>
      </c>
      <c r="CE18" s="59">
        <f t="shared" si="40"/>
        <v>85.631326020763254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4.75</v>
      </c>
      <c r="CT18" s="12">
        <f>IF('Données projet'!$A$140&gt;35,CT17+CS18-DB17,IF(A18&lt;'Données projet'!$A$140,$CQ$205^A18,IF(A18='Données projet'!$A$140,'Données projet'!$B$140,CT17+CS18-DB17)))</f>
        <v>30.429351993705815</v>
      </c>
      <c r="CU18" s="17">
        <f>CT18*VLOOKUP('Données projet'!$B$13,Paramètres!$A$1:$I$89,3,0)*VLOOKUP('Données projet'!$B$13,Paramètres!$A$1:$I$89,5,0)</f>
        <v>24.684290337294158</v>
      </c>
      <c r="CV18" s="13">
        <f t="shared" si="41"/>
        <v>7.8324016031571553</v>
      </c>
      <c r="CW18" s="20">
        <f t="shared" si="13"/>
        <v>56.633238462952697</v>
      </c>
      <c r="CX18" s="59">
        <f t="shared" si="14"/>
        <v>331.6332384629527</v>
      </c>
      <c r="CY18" s="59">
        <f ca="1">AVERAGE(OFFSET($CX$3,0,0,'Données projet'!$E$13+1,1))-AVERAGE(OFFSET($H$3,0,0,'Données projet'!$E$13+1,1))</f>
        <v>234.59657655504111</v>
      </c>
      <c r="CZ18" s="59">
        <f t="shared" si="42"/>
        <v>285.10598666479211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1.2</v>
      </c>
      <c r="DO18" s="12">
        <f>IF('Données projet'!$A$166&gt;35,DO17+DN18-DW17,IF(A18&lt;'Données projet'!$A$166,$DL$205^A18,IF(A18='Données projet'!$A$166,'Données projet'!$B$166,DO17+DN18-DW17)))</f>
        <v>7.6961363407260848</v>
      </c>
      <c r="DP18" s="17">
        <f>DO18*VLOOKUP('Données projet'!$B$14,Paramètres!$A$1:$I$89,3,0)*VLOOKUP('Données projet'!$B$14,Paramètres!$A$1:$I$89,5,0)</f>
        <v>7.4437030687502697</v>
      </c>
      <c r="DQ18" s="13">
        <f t="shared" si="43"/>
        <v>2.7155941298840056</v>
      </c>
      <c r="DR18" s="20">
        <f t="shared" si="16"/>
        <v>17.694109287621362</v>
      </c>
      <c r="DS18" s="59">
        <f t="shared" si="17"/>
        <v>292.69410928762136</v>
      </c>
      <c r="DT18" s="59">
        <f ca="1">AVERAGE(OFFSET($DS$3,0,0,'Données projet'!$E$14+1,1))-AVERAGE(OFFSET($H$3,0,0,'Données projet'!$E$14+1,1))</f>
        <v>186.90852124957956</v>
      </c>
      <c r="DU18" s="59">
        <f t="shared" si="44"/>
        <v>93.013797128776446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1.2</v>
      </c>
      <c r="EJ18" s="12">
        <f>IF('Données projet'!$A$192&gt;35,EJ17+EI18-ER17,IF(A18&lt;'Données projet'!$A$192,$EG$205^A18,IF(A18='Données projet'!$A$192,'Données projet'!$B$192,EJ17+EI18-ER17)))</f>
        <v>7.6961363407260848</v>
      </c>
      <c r="EK18" s="17">
        <f>EJ18*VLOOKUP('Données projet'!$B$15,Paramètres!$A$1:$I$89,3,0)*VLOOKUP('Données projet'!$B$15,Paramètres!$A$1:$I$89,5,0)</f>
        <v>8.284121157157557</v>
      </c>
      <c r="EL18" s="13">
        <f t="shared" si="45"/>
        <v>2.9847957727109624</v>
      </c>
      <c r="EM18" s="20">
        <f t="shared" si="19"/>
        <v>19.626696986187671</v>
      </c>
      <c r="EN18" s="59">
        <f t="shared" si="20"/>
        <v>294.62669698618765</v>
      </c>
      <c r="EO18" s="59">
        <f ca="1">AVERAGE(OFFSET($EN$3,0,0,'Données projet'!$E$15+1,1))-AVERAGE(OFFSET($H$3,0,0,'Données projet'!$E$15+1,1))</f>
        <v>217.10418688911096</v>
      </c>
      <c r="EP18" s="59">
        <f t="shared" si="46"/>
        <v>105.90631421515786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59</v>
      </c>
      <c r="L19" s="12">
        <f>VLOOKUP(A19,'Données projet'!$A$35:$I$55,9,0)</f>
        <v>8.5</v>
      </c>
      <c r="M19" s="12">
        <f t="array" ref="M19">INDEX(L:L,MIN(IF(ISNUMBER(L19:L215),ROW(L19:L215),"")))</f>
        <v>8.5</v>
      </c>
      <c r="N19" s="13">
        <f>IF('Données projet'!$A$36&gt;35,N18+M19-V18,IF(A19&lt;'Données projet'!$A$36,$K$205^A19,IF(A19='Données projet'!$A$36,'Données projet'!$B$36,N18+M19-V18)))</f>
        <v>59</v>
      </c>
      <c r="O19" s="13">
        <f>N19*VLOOKUP('Données projet'!$B$9,Paramètres!$A$1:$I$89,3,0)*VLOOKUP('Données projet'!$B$9,Paramètres!$A$1:$I$89,5,0)</f>
        <v>35.282000000000004</v>
      </c>
      <c r="P19" s="13">
        <f t="shared" si="33"/>
        <v>10.73915395799758</v>
      </c>
      <c r="Q19" s="20">
        <f t="shared" si="2"/>
        <v>80.153509810179131</v>
      </c>
      <c r="R19" s="59">
        <f t="shared" si="0"/>
        <v>356.37573203240134</v>
      </c>
      <c r="S19" s="59">
        <f ca="1">AVERAGE(OFFSET($R$3,0,0,'Données projet'!$E$9+1,1))-AVERAGE(OFFSET($H$3,0,0,'Données projet'!$E$9+1,1))</f>
        <v>145.19188637714888</v>
      </c>
      <c r="T19" s="59">
        <f t="shared" si="34"/>
        <v>169.74069292032493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8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0.22500000000000001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1.4222917384186289</v>
      </c>
      <c r="AB19" s="21">
        <f>EXP(-LN(2)/2)*AB18+(1-EXP(-LN(2)/2))/(LN(2)/2)*V19*Y19*VLOOKUP('Données projet'!$B$9,Paramètres!$A$1:$I$89,3,0)*0.475*44/12</f>
        <v>2.7082996556833066</v>
      </c>
      <c r="AC19" s="22">
        <f t="shared" si="3"/>
        <v>4.1305913941019359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6.6</v>
      </c>
      <c r="AI19" s="13">
        <f>IF('Données projet'!$A$62&gt;35,AI18+AH19-AQ18,IF(A19&lt;'Données projet'!$A$62,$AF$205^A19,IF(A19='Données projet'!$A$62,'Données projet'!$B$62,AI18+AH19-AQ18)))</f>
        <v>49.711760658095955</v>
      </c>
      <c r="AJ19" s="13">
        <f>AI19*VLOOKUP('Données projet'!$B$10,Paramètres!$A$1:$I$89,3,0)*VLOOKUP('Données projet'!$B$10,Paramètres!$A$1:$I$89,5,0)</f>
        <v>43.428194110912635</v>
      </c>
      <c r="AK19" s="13">
        <f t="shared" si="35"/>
        <v>12.902896129065022</v>
      </c>
      <c r="AL19" s="20">
        <f t="shared" si="4"/>
        <v>98.109982167961064</v>
      </c>
      <c r="AM19" s="59">
        <f t="shared" si="5"/>
        <v>374.33220439018328</v>
      </c>
      <c r="AN19" s="59">
        <f ca="1">AVERAGE(OFFSET($AM$3,0,0,'Données projet'!$E$10+1,1))-AVERAGE(OFFSET($H$3,0,0,'Données projet'!$E$10+1,1))</f>
        <v>254.24072778190163</v>
      </c>
      <c r="AO19" s="59">
        <f t="shared" si="36"/>
        <v>356.78706780980383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4.55</v>
      </c>
      <c r="BD19" s="12">
        <f>IF('Données projet'!$A$88&gt;35,BD18+BC19-BL18,IF(A19&lt;'Données projet'!$A$88,$BA$205^A19,IF(A19='Données projet'!$A$88,'Données projet'!$B$88,BD18+BC19-BL18)))</f>
        <v>36.917570580704506</v>
      </c>
      <c r="BE19" s="13">
        <f>BD19*VLOOKUP('Données projet'!$B$11,Paramètres!$A$1:$I$89,3,0)*VLOOKUP('Données projet'!$B$11,Paramètres!$A$1:$I$89,5,0)</f>
        <v>22.076707207261297</v>
      </c>
      <c r="BF19" s="13">
        <f t="shared" si="37"/>
        <v>7.0966340462853541</v>
      </c>
      <c r="BG19" s="20">
        <f t="shared" si="7"/>
        <v>50.810236016593741</v>
      </c>
      <c r="BH19" s="59">
        <f t="shared" si="8"/>
        <v>327.03245823881599</v>
      </c>
      <c r="BI19" s="59">
        <f ca="1">AVERAGE(OFFSET($BH$3,0,0,'Données projet'!$E$11+1,1))-AVERAGE(OFFSET($H$3,0,0,'Données projet'!$E$11+1,1))</f>
        <v>246.59447135626942</v>
      </c>
      <c r="BJ19" s="59">
        <f t="shared" si="38"/>
        <v>262.00382544285367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7.9782969195626388</v>
      </c>
      <c r="CA19" s="13">
        <f t="shared" si="39"/>
        <v>2.887220237089136</v>
      </c>
      <c r="CB19" s="20">
        <f t="shared" si="10"/>
        <v>18.924109047835174</v>
      </c>
      <c r="CC19" s="59">
        <f t="shared" si="11"/>
        <v>295.14633127005743</v>
      </c>
      <c r="CD19" s="59">
        <f ca="1">AVERAGE(OFFSET($CC$3,0,0,'Données projet'!$E$12+1,1))-AVERAGE(OFFSET($H$3,0,0,'Données projet'!$E$12+1,1))</f>
        <v>169.62156467157178</v>
      </c>
      <c r="CE19" s="59">
        <f t="shared" si="40"/>
        <v>85.631326020763254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4.75</v>
      </c>
      <c r="CT19" s="12">
        <f>IF('Données projet'!$A$140&gt;35,CT18+CS19-DB18,IF(A19&lt;'Données projet'!$A$140,$CQ$205^A19,IF(A19='Données projet'!$A$140,'Données projet'!$B$140,CT18+CS19-DB18)))</f>
        <v>38.21016246244956</v>
      </c>
      <c r="CU19" s="17">
        <f>CT19*VLOOKUP('Données projet'!$B$13,Paramètres!$A$1:$I$89,3,0)*VLOOKUP('Données projet'!$B$13,Paramètres!$A$1:$I$89,5,0)</f>
        <v>30.996083789539089</v>
      </c>
      <c r="CV19" s="13">
        <f t="shared" si="41"/>
        <v>9.5779105445820392</v>
      </c>
      <c r="CW19" s="20">
        <f t="shared" si="13"/>
        <v>70.666373465260961</v>
      </c>
      <c r="CX19" s="59">
        <f t="shared" si="14"/>
        <v>346.88859568748319</v>
      </c>
      <c r="CY19" s="59">
        <f ca="1">AVERAGE(OFFSET($CX$3,0,0,'Données projet'!$E$13+1,1))-AVERAGE(OFFSET($H$3,0,0,'Données projet'!$E$13+1,1))</f>
        <v>234.59657655504111</v>
      </c>
      <c r="CZ19" s="59">
        <f t="shared" si="42"/>
        <v>285.10598666479211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1.2</v>
      </c>
      <c r="DO19" s="12">
        <f>IF('Données projet'!$A$166&gt;35,DO18+DN19-DW18,IF(A19&lt;'Données projet'!$A$166,$DL$205^A19,IF(A19='Données projet'!$A$166,'Données projet'!$B$166,DO18+DN19-DW18)))</f>
        <v>8.8177463744060987</v>
      </c>
      <c r="DP19" s="17">
        <f>DO19*VLOOKUP('Données projet'!$B$14,Paramètres!$A$1:$I$89,3,0)*VLOOKUP('Données projet'!$B$14,Paramètres!$A$1:$I$89,5,0)</f>
        <v>8.528524293325578</v>
      </c>
      <c r="DQ19" s="13">
        <f t="shared" si="43"/>
        <v>3.0624727628647754</v>
      </c>
      <c r="DR19" s="20">
        <f t="shared" si="16"/>
        <v>20.187653206198199</v>
      </c>
      <c r="DS19" s="59">
        <f t="shared" si="17"/>
        <v>296.40987542842043</v>
      </c>
      <c r="DT19" s="59">
        <f ca="1">AVERAGE(OFFSET($DS$3,0,0,'Données projet'!$E$14+1,1))-AVERAGE(OFFSET($H$3,0,0,'Données projet'!$E$14+1,1))</f>
        <v>186.90852124957956</v>
      </c>
      <c r="DU19" s="59">
        <f t="shared" si="44"/>
        <v>93.013797128776446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1.2</v>
      </c>
      <c r="EJ19" s="12">
        <f>IF('Données projet'!$A$192&gt;35,EJ18+EI19-ER18,IF(A19&lt;'Données projet'!$A$192,$EG$205^A19,IF(A19='Données projet'!$A$192,'Données projet'!$B$192,EJ18+EI19-ER18)))</f>
        <v>8.8177463744060987</v>
      </c>
      <c r="EK19" s="17">
        <f>EJ19*VLOOKUP('Données projet'!$B$15,Paramètres!$A$1:$I$89,3,0)*VLOOKUP('Données projet'!$B$15,Paramètres!$A$1:$I$89,5,0)</f>
        <v>9.4914221974107242</v>
      </c>
      <c r="EL19" s="13">
        <f t="shared" si="45"/>
        <v>3.3660610972935361</v>
      </c>
      <c r="EM19" s="20">
        <f t="shared" si="19"/>
        <v>22.393450071609919</v>
      </c>
      <c r="EN19" s="59">
        <f t="shared" si="20"/>
        <v>298.61567229383218</v>
      </c>
      <c r="EO19" s="59">
        <f ca="1">AVERAGE(OFFSET($EN$3,0,0,'Données projet'!$E$15+1,1))-AVERAGE(OFFSET($H$3,0,0,'Données projet'!$E$15+1,1))</f>
        <v>217.10418688911096</v>
      </c>
      <c r="EP19" s="59">
        <f t="shared" si="46"/>
        <v>105.90631421515786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</v>
      </c>
      <c r="N20" s="13">
        <f>IF('Données projet'!$A$36&gt;35,N19+M20-V19,IF(A20&lt;'Données projet'!$A$36,$K$205^A20,IF(A20='Données projet'!$A$36,'Données projet'!$B$36,N19+M20-V19)))</f>
        <v>61</v>
      </c>
      <c r="O20" s="13">
        <f>N20*VLOOKUP('Données projet'!$B$9,Paramètres!$A$1:$I$89,3,0)*VLOOKUP('Données projet'!$B$9,Paramètres!$A$1:$I$89,5,0)</f>
        <v>36.478000000000002</v>
      </c>
      <c r="P20" s="13">
        <f t="shared" si="33"/>
        <v>11.06019217991456</v>
      </c>
      <c r="Q20" s="20">
        <f t="shared" si="2"/>
        <v>82.795684713351179</v>
      </c>
      <c r="R20" s="59">
        <f t="shared" si="0"/>
        <v>360.24012915779565</v>
      </c>
      <c r="S20" s="59">
        <f ca="1">AVERAGE(OFFSET($R$3,0,0,'Données projet'!$E$9+1,1))-AVERAGE(OFFSET($H$3,0,0,'Données projet'!$E$9+1,1))</f>
        <v>145.19188637714888</v>
      </c>
      <c r="T20" s="59">
        <f t="shared" si="34"/>
        <v>169.74069292032493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1.3833990960364997</v>
      </c>
      <c r="AB20" s="21">
        <f>EXP(-LN(2)/2)*AB19+(1-EXP(-LN(2)/2))/(LN(2)/2)*V20*Y20*VLOOKUP('Données projet'!$B$9,Paramètres!$A$1:$I$89,3,0)*0.475*44/12</f>
        <v>1.9150570520188579</v>
      </c>
      <c r="AC20" s="22">
        <f t="shared" si="3"/>
        <v>3.2984561480553576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6.6</v>
      </c>
      <c r="AI20" s="13">
        <f>IF('Données projet'!$A$62&gt;35,AI19+AH20-AQ19,IF(A20&lt;'Données projet'!$A$62,$AF$205^A20,IF(A20='Données projet'!$A$62,'Données projet'!$B$62,AI19+AH20-AQ19)))</f>
        <v>63.458213501978861</v>
      </c>
      <c r="AJ20" s="13">
        <f>AI20*VLOOKUP('Données projet'!$B$10,Paramètres!$A$1:$I$89,3,0)*VLOOKUP('Données projet'!$B$10,Paramètres!$A$1:$I$89,5,0)</f>
        <v>55.437095315328747</v>
      </c>
      <c r="AK20" s="13">
        <f t="shared" si="35"/>
        <v>16.009366884744278</v>
      </c>
      <c r="AL20" s="20">
        <f t="shared" si="4"/>
        <v>124.4359216651272</v>
      </c>
      <c r="AM20" s="59">
        <f t="shared" si="5"/>
        <v>401.88036610957164</v>
      </c>
      <c r="AN20" s="59">
        <f ca="1">AVERAGE(OFFSET($AM$3,0,0,'Données projet'!$E$10+1,1))-AVERAGE(OFFSET($H$3,0,0,'Données projet'!$E$10+1,1))</f>
        <v>254.24072778190163</v>
      </c>
      <c r="AO20" s="59">
        <f t="shared" si="36"/>
        <v>356.78706780980383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4.55</v>
      </c>
      <c r="BD20" s="12">
        <f>IF('Données projet'!$A$88&gt;35,BD19+BC20-BL19,IF(A20&lt;'Données projet'!$A$88,$BA$205^A20,IF(A20='Données projet'!$A$88,'Données projet'!$B$88,BD19+BC20-BL19)))</f>
        <v>46.257822303288052</v>
      </c>
      <c r="BE20" s="13">
        <f>BD20*VLOOKUP('Données projet'!$B$11,Paramètres!$A$1:$I$89,3,0)*VLOOKUP('Données projet'!$B$11,Paramètres!$A$1:$I$89,5,0)</f>
        <v>27.66217773736626</v>
      </c>
      <c r="BF20" s="13">
        <f t="shared" si="37"/>
        <v>8.6616944434151719</v>
      </c>
      <c r="BG20" s="20">
        <f t="shared" si="7"/>
        <v>63.264077381527663</v>
      </c>
      <c r="BH20" s="59">
        <f t="shared" si="8"/>
        <v>340.70852182597213</v>
      </c>
      <c r="BI20" s="59">
        <f ca="1">AVERAGE(OFFSET($BH$3,0,0,'Données projet'!$E$11+1,1))-AVERAGE(OFFSET($H$3,0,0,'Données projet'!$E$11+1,1))</f>
        <v>246.59447135626942</v>
      </c>
      <c r="BJ20" s="59">
        <f t="shared" si="38"/>
        <v>262.00382544285367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9.1410281239601368</v>
      </c>
      <c r="CA20" s="13">
        <f t="shared" si="39"/>
        <v>3.2560216709759704</v>
      </c>
      <c r="CB20" s="20">
        <f t="shared" si="10"/>
        <v>21.591528392847053</v>
      </c>
      <c r="CC20" s="59">
        <f t="shared" si="11"/>
        <v>299.03597283729152</v>
      </c>
      <c r="CD20" s="59">
        <f ca="1">AVERAGE(OFFSET($CC$3,0,0,'Données projet'!$E$12+1,1))-AVERAGE(OFFSET($H$3,0,0,'Données projet'!$E$12+1,1))</f>
        <v>169.62156467157178</v>
      </c>
      <c r="CE20" s="59">
        <f t="shared" si="40"/>
        <v>85.631326020763254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4.75</v>
      </c>
      <c r="CT20" s="12">
        <f>IF('Données projet'!$A$140&gt;35,CT19+CS20-DB19,IF(A20&lt;'Données projet'!$A$140,$CQ$205^A20,IF(A20='Données projet'!$A$140,'Données projet'!$B$140,CT19+CS20-DB19)))</f>
        <v>47.980532602494719</v>
      </c>
      <c r="CU20" s="17">
        <f>CT20*VLOOKUP('Données projet'!$B$13,Paramètres!$A$1:$I$89,3,0)*VLOOKUP('Données projet'!$B$13,Paramètres!$A$1:$I$89,5,0)</f>
        <v>38.92180804714372</v>
      </c>
      <c r="CV20" s="13">
        <f t="shared" si="41"/>
        <v>11.712419133747929</v>
      </c>
      <c r="CW20" s="20">
        <f t="shared" si="13"/>
        <v>88.187945673386295</v>
      </c>
      <c r="CX20" s="59">
        <f t="shared" si="14"/>
        <v>365.63239011783077</v>
      </c>
      <c r="CY20" s="59">
        <f ca="1">AVERAGE(OFFSET($CX$3,0,0,'Données projet'!$E$13+1,1))-AVERAGE(OFFSET($H$3,0,0,'Données projet'!$E$13+1,1))</f>
        <v>234.59657655504111</v>
      </c>
      <c r="CZ20" s="59">
        <f t="shared" si="42"/>
        <v>285.10598666479211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1.2</v>
      </c>
      <c r="DO20" s="12">
        <f>IF('Données projet'!$A$166&gt;35,DO19+DN20-DW19,IF(A20&lt;'Données projet'!$A$166,$DL$205^A20,IF(A20='Données projet'!$A$166,'Données projet'!$B$166,DO19+DN20-DW19)))</f>
        <v>10.102816228956828</v>
      </c>
      <c r="DP20" s="17">
        <f>DO20*VLOOKUP('Données projet'!$B$14,Paramètres!$A$1:$I$89,3,0)*VLOOKUP('Données projet'!$B$14,Paramètres!$A$1:$I$89,5,0)</f>
        <v>9.7714438566470445</v>
      </c>
      <c r="DQ20" s="13">
        <f t="shared" si="43"/>
        <v>3.4536602211941068</v>
      </c>
      <c r="DR20" s="20">
        <f t="shared" si="16"/>
        <v>23.033722935573341</v>
      </c>
      <c r="DS20" s="59">
        <f t="shared" si="17"/>
        <v>300.47816738001779</v>
      </c>
      <c r="DT20" s="59">
        <f ca="1">AVERAGE(OFFSET($DS$3,0,0,'Données projet'!$E$14+1,1))-AVERAGE(OFFSET($H$3,0,0,'Données projet'!$E$14+1,1))</f>
        <v>186.90852124957956</v>
      </c>
      <c r="DU20" s="59">
        <f t="shared" si="44"/>
        <v>93.013797128776446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1.2</v>
      </c>
      <c r="EJ20" s="12">
        <f>IF('Données projet'!$A$192&gt;35,EJ19+EI20-ER19,IF(A20&lt;'Données projet'!$A$192,$EG$205^A20,IF(A20='Données projet'!$A$192,'Données projet'!$B$192,EJ19+EI20-ER19)))</f>
        <v>10.102816228956828</v>
      </c>
      <c r="EK20" s="17">
        <f>EJ20*VLOOKUP('Données projet'!$B$15,Paramètres!$A$1:$I$89,3,0)*VLOOKUP('Données projet'!$B$15,Paramètres!$A$1:$I$89,5,0)</f>
        <v>10.874671388849128</v>
      </c>
      <c r="EL20" s="13">
        <f t="shared" si="45"/>
        <v>3.7960276593470508</v>
      </c>
      <c r="EM20" s="20">
        <f t="shared" si="19"/>
        <v>25.551467508941673</v>
      </c>
      <c r="EN20" s="59">
        <f t="shared" si="20"/>
        <v>302.99591195338616</v>
      </c>
      <c r="EO20" s="59">
        <f ca="1">AVERAGE(OFFSET($EN$3,0,0,'Données projet'!$E$15+1,1))-AVERAGE(OFFSET($H$3,0,0,'Données projet'!$E$15+1,1))</f>
        <v>217.10418688911096</v>
      </c>
      <c r="EP20" s="59">
        <f t="shared" si="46"/>
        <v>105.90631421515786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</v>
      </c>
      <c r="N21" s="13">
        <f>IF('Données projet'!$A$36&gt;35,N20+M21-V20,IF(A21&lt;'Données projet'!$A$36,$K$205^A21,IF(A21='Données projet'!$A$36,'Données projet'!$B$36,N20+M21-V20)))</f>
        <v>71</v>
      </c>
      <c r="O21" s="13">
        <f>N21*VLOOKUP('Données projet'!$B$9,Paramètres!$A$1:$I$89,3,0)*VLOOKUP('Données projet'!$B$9,Paramètres!$A$1:$I$89,5,0)</f>
        <v>42.458000000000006</v>
      </c>
      <c r="P21" s="13">
        <f t="shared" si="33"/>
        <v>12.647861696503936</v>
      </c>
      <c r="Q21" s="20">
        <f t="shared" si="2"/>
        <v>95.976042454744359</v>
      </c>
      <c r="R21" s="59">
        <f t="shared" si="0"/>
        <v>374.64270912141103</v>
      </c>
      <c r="S21" s="59">
        <f ca="1">AVERAGE(OFFSET($R$3,0,0,'Données projet'!$E$9+1,1))-AVERAGE(OFFSET($H$3,0,0,'Données projet'!$E$9+1,1))</f>
        <v>145.19188637714888</v>
      </c>
      <c r="T21" s="59">
        <f t="shared" si="34"/>
        <v>169.74069292032493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1.345569975005585</v>
      </c>
      <c r="AB21" s="21">
        <f>EXP(-LN(2)/2)*AB20+(1-EXP(-LN(2)/2))/(LN(2)/2)*V21*Y21*VLOOKUP('Données projet'!$B$9,Paramètres!$A$1:$I$89,3,0)*0.475*44/12</f>
        <v>1.3541498278416535</v>
      </c>
      <c r="AC21" s="22">
        <f t="shared" si="3"/>
        <v>2.6997198028472384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6.6</v>
      </c>
      <c r="AI21" s="13">
        <f>IF('Données projet'!$A$62&gt;35,AI20+AH21-AQ20,IF(A21&lt;'Données projet'!$A$62,$AF$205^A21,IF(A21='Données projet'!$A$62,'Données projet'!$B$62,AI20+AH21-AQ20)))</f>
        <v>81.005878841406769</v>
      </c>
      <c r="AJ21" s="13">
        <f>AI21*VLOOKUP('Données projet'!$B$10,Paramètres!$A$1:$I$89,3,0)*VLOOKUP('Données projet'!$B$10,Paramètres!$A$1:$I$89,5,0)</f>
        <v>70.766735755852963</v>
      </c>
      <c r="AK21" s="13">
        <f t="shared" si="35"/>
        <v>19.863744192515547</v>
      </c>
      <c r="AL21" s="20">
        <f t="shared" si="4"/>
        <v>157.84808591007513</v>
      </c>
      <c r="AM21" s="59">
        <f t="shared" si="5"/>
        <v>436.51475257674178</v>
      </c>
      <c r="AN21" s="59">
        <f ca="1">AVERAGE(OFFSET($AM$3,0,0,'Données projet'!$E$10+1,1))-AVERAGE(OFFSET($H$3,0,0,'Données projet'!$E$10+1,1))</f>
        <v>254.24072778190163</v>
      </c>
      <c r="AO21" s="59">
        <f t="shared" si="36"/>
        <v>356.78706780980383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4.55</v>
      </c>
      <c r="BD21" s="12">
        <f>IF('Données projet'!$A$88&gt;35,BD20+BC21-BL20,IF(A21&lt;'Données projet'!$A$88,$BA$205^A21,IF(A21='Données projet'!$A$88,'Données projet'!$B$88,BD20+BC21-BL20)))</f>
        <v>57.961184622505009</v>
      </c>
      <c r="BE21" s="13">
        <f>BD21*VLOOKUP('Données projet'!$B$11,Paramètres!$A$1:$I$89,3,0)*VLOOKUP('Données projet'!$B$11,Paramètres!$A$1:$I$89,5,0)</f>
        <v>34.660788404258</v>
      </c>
      <c r="BF21" s="13">
        <f t="shared" si="37"/>
        <v>10.571906363180744</v>
      </c>
      <c r="BG21" s="20">
        <f t="shared" si="7"/>
        <v>78.780276719955808</v>
      </c>
      <c r="BH21" s="59">
        <f t="shared" si="8"/>
        <v>357.44694338662248</v>
      </c>
      <c r="BI21" s="59">
        <f ca="1">AVERAGE(OFFSET($BH$3,0,0,'Données projet'!$E$11+1,1))-AVERAGE(OFFSET($H$3,0,0,'Données projet'!$E$11+1,1))</f>
        <v>246.59447135626942</v>
      </c>
      <c r="BJ21" s="59">
        <f t="shared" si="38"/>
        <v>262.00382544285367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10.473212015730644</v>
      </c>
      <c r="CA21" s="13">
        <f t="shared" si="39"/>
        <v>3.6719322570811741</v>
      </c>
      <c r="CB21" s="20">
        <f t="shared" si="10"/>
        <v>24.636126275147248</v>
      </c>
      <c r="CC21" s="59">
        <f t="shared" si="11"/>
        <v>303.30279294181395</v>
      </c>
      <c r="CD21" s="59">
        <f ca="1">AVERAGE(OFFSET($CC$3,0,0,'Données projet'!$E$12+1,1))-AVERAGE(OFFSET($H$3,0,0,'Données projet'!$E$12+1,1))</f>
        <v>169.62156467157178</v>
      </c>
      <c r="CE21" s="59">
        <f t="shared" si="40"/>
        <v>85.631326020763254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4.75</v>
      </c>
      <c r="CT21" s="12">
        <f>IF('Données projet'!$A$140&gt;35,CT20+CS21-DB20,IF(A21&lt;'Données projet'!$A$140,$CQ$205^A21,IF(A21='Données projet'!$A$140,'Données projet'!$B$140,CT20+CS21-DB20)))</f>
        <v>60.249194467085609</v>
      </c>
      <c r="CU21" s="17">
        <f>CT21*VLOOKUP('Données projet'!$B$13,Paramètres!$A$1:$I$89,3,0)*VLOOKUP('Données projet'!$B$13,Paramètres!$A$1:$I$89,5,0)</f>
        <v>48.874146551699845</v>
      </c>
      <c r="CV21" s="13">
        <f t="shared" si="41"/>
        <v>14.32261883487562</v>
      </c>
      <c r="CW21" s="20">
        <f t="shared" si="13"/>
        <v>110.06769971495227</v>
      </c>
      <c r="CX21" s="59">
        <f t="shared" si="14"/>
        <v>388.73436638161894</v>
      </c>
      <c r="CY21" s="59">
        <f ca="1">AVERAGE(OFFSET($CX$3,0,0,'Données projet'!$E$13+1,1))-AVERAGE(OFFSET($H$3,0,0,'Données projet'!$E$13+1,1))</f>
        <v>234.59657655504111</v>
      </c>
      <c r="CZ21" s="59">
        <f t="shared" si="42"/>
        <v>285.10598666479211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1.2</v>
      </c>
      <c r="DO21" s="12">
        <f>IF('Données projet'!$A$166&gt;35,DO20+DN21-DW20,IF(A21&lt;'Données projet'!$A$166,$DL$205^A21,IF(A21='Données projet'!$A$166,'Données projet'!$B$166,DO20+DN21-DW20)))</f>
        <v>11.575168010312384</v>
      </c>
      <c r="DP21" s="17">
        <f>DO21*VLOOKUP('Données projet'!$B$14,Paramètres!$A$1:$I$89,3,0)*VLOOKUP('Données projet'!$B$14,Paramètres!$A$1:$I$89,5,0)</f>
        <v>11.195502499574138</v>
      </c>
      <c r="DQ21" s="13">
        <f t="shared" si="43"/>
        <v>3.8948163288481799</v>
      </c>
      <c r="DR21" s="20">
        <f t="shared" si="16"/>
        <v>26.282305292835535</v>
      </c>
      <c r="DS21" s="59">
        <f t="shared" si="17"/>
        <v>304.94897195950222</v>
      </c>
      <c r="DT21" s="59">
        <f ca="1">AVERAGE(OFFSET($DS$3,0,0,'Données projet'!$E$14+1,1))-AVERAGE(OFFSET($H$3,0,0,'Données projet'!$E$14+1,1))</f>
        <v>186.90852124957956</v>
      </c>
      <c r="DU21" s="59">
        <f t="shared" si="44"/>
        <v>93.013797128776446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1.2</v>
      </c>
      <c r="EJ21" s="12">
        <f>IF('Données projet'!$A$192&gt;35,EJ20+EI21-ER20,IF(A21&lt;'Données projet'!$A$192,$EG$205^A21,IF(A21='Données projet'!$A$192,'Données projet'!$B$192,EJ20+EI21-ER20)))</f>
        <v>11.575168010312384</v>
      </c>
      <c r="EK21" s="17">
        <f>EJ21*VLOOKUP('Données projet'!$B$15,Paramètres!$A$1:$I$89,3,0)*VLOOKUP('Données projet'!$B$15,Paramètres!$A$1:$I$89,5,0)</f>
        <v>12.459510846300249</v>
      </c>
      <c r="EL21" s="13">
        <f t="shared" si="45"/>
        <v>4.2809163511957635</v>
      </c>
      <c r="EM21" s="20">
        <f t="shared" si="19"/>
        <v>29.156244035638881</v>
      </c>
      <c r="EN21" s="59">
        <f t="shared" si="20"/>
        <v>307.82291070230559</v>
      </c>
      <c r="EO21" s="59">
        <f ca="1">AVERAGE(OFFSET($EN$3,0,0,'Données projet'!$E$15+1,1))-AVERAGE(OFFSET($H$3,0,0,'Données projet'!$E$15+1,1))</f>
        <v>217.10418688911096</v>
      </c>
      <c r="EP21" s="59">
        <f t="shared" si="46"/>
        <v>105.90631421515786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</v>
      </c>
      <c r="N22" s="13">
        <f>IF('Données projet'!$A$36&gt;35,N21+M22-V21,IF(A22&lt;'Données projet'!$A$36,$K$205^A22,IF(A22='Données projet'!$A$36,'Données projet'!$B$36,N21+M22-V21)))</f>
        <v>81</v>
      </c>
      <c r="O22" s="13">
        <f>N22*VLOOKUP('Données projet'!$B$9,Paramètres!$A$1:$I$89,3,0)*VLOOKUP('Données projet'!$B$9,Paramètres!$A$1:$I$89,5,0)</f>
        <v>48.438000000000009</v>
      </c>
      <c r="P22" s="13">
        <f t="shared" si="33"/>
        <v>14.209624244846971</v>
      </c>
      <c r="Q22" s="20">
        <f t="shared" si="2"/>
        <v>109.11127889310849</v>
      </c>
      <c r="R22" s="59">
        <f t="shared" si="0"/>
        <v>389.00016778199733</v>
      </c>
      <c r="S22" s="59">
        <f ca="1">AVERAGE(OFFSET($R$3,0,0,'Données projet'!$E$9+1,1))-AVERAGE(OFFSET($H$3,0,0,'Données projet'!$E$9+1,1))</f>
        <v>145.19188637714888</v>
      </c>
      <c r="T22" s="59">
        <f t="shared" si="34"/>
        <v>169.74069292032493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1.3087752932786076</v>
      </c>
      <c r="AB22" s="21">
        <f>EXP(-LN(2)/2)*AB21+(1-EXP(-LN(2)/2))/(LN(2)/2)*V22*Y22*VLOOKUP('Données projet'!$B$9,Paramètres!$A$1:$I$89,3,0)*0.475*44/12</f>
        <v>0.95752852600942917</v>
      </c>
      <c r="AC22" s="22">
        <f t="shared" si="3"/>
        <v>2.2663038192880367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6.6</v>
      </c>
      <c r="AI22" s="13">
        <f>IF('Données projet'!$A$62&gt;35,AI21+AH22-AQ21,IF(A22&lt;'Données projet'!$A$62,$AF$205^A22,IF(A22='Données projet'!$A$62,'Données projet'!$B$62,AI21+AH22-AQ21)))</f>
        <v>103.40587994435182</v>
      </c>
      <c r="AJ22" s="13">
        <f>AI22*VLOOKUP('Données projet'!$B$10,Paramètres!$A$1:$I$89,3,0)*VLOOKUP('Données projet'!$B$10,Paramètres!$A$1:$I$89,5,0)</f>
        <v>90.335376719385764</v>
      </c>
      <c r="AK22" s="13">
        <f t="shared" si="35"/>
        <v>24.646092265003244</v>
      </c>
      <c r="AL22" s="20">
        <f t="shared" si="4"/>
        <v>200.25939181447754</v>
      </c>
      <c r="AM22" s="59">
        <f t="shared" si="5"/>
        <v>480.14828070336637</v>
      </c>
      <c r="AN22" s="59">
        <f ca="1">AVERAGE(OFFSET($AM$3,0,0,'Données projet'!$E$10+1,1))-AVERAGE(OFFSET($H$3,0,0,'Données projet'!$E$10+1,1))</f>
        <v>254.24072778190163</v>
      </c>
      <c r="AO22" s="59">
        <f t="shared" si="36"/>
        <v>356.78706780980383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4.55</v>
      </c>
      <c r="BD22" s="12">
        <f>IF('Données projet'!$A$88&gt;35,BD21+BC22-BL21,IF(A22&lt;'Données projet'!$A$88,$BA$205^A22,IF(A22='Données projet'!$A$88,'Données projet'!$B$88,BD21+BC22-BL21)))</f>
        <v>72.625531327818578</v>
      </c>
      <c r="BE22" s="13">
        <f>BD22*VLOOKUP('Données projet'!$B$11,Paramètres!$A$1:$I$89,3,0)*VLOOKUP('Données projet'!$B$11,Paramètres!$A$1:$I$89,5,0)</f>
        <v>43.430067734035511</v>
      </c>
      <c r="BF22" s="13">
        <f t="shared" si="37"/>
        <v>12.903388001273598</v>
      </c>
      <c r="BG22" s="20">
        <f t="shared" si="7"/>
        <v>98.114102072330027</v>
      </c>
      <c r="BH22" s="59">
        <f t="shared" si="8"/>
        <v>378.00299096121887</v>
      </c>
      <c r="BI22" s="59">
        <f ca="1">AVERAGE(OFFSET($BH$3,0,0,'Données projet'!$E$11+1,1))-AVERAGE(OFFSET($H$3,0,0,'Données projet'!$E$11+1,1))</f>
        <v>246.59447135626942</v>
      </c>
      <c r="BJ22" s="59">
        <f t="shared" si="38"/>
        <v>262.00382544285367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11.999544081801259</v>
      </c>
      <c r="CA22" s="13">
        <f t="shared" si="39"/>
        <v>4.1409695214196116</v>
      </c>
      <c r="CB22" s="20">
        <f t="shared" si="10"/>
        <v>28.111394525609683</v>
      </c>
      <c r="CC22" s="59">
        <f t="shared" si="11"/>
        <v>308.00028341449854</v>
      </c>
      <c r="CD22" s="59">
        <f ca="1">AVERAGE(OFFSET($CC$3,0,0,'Données projet'!$E$12+1,1))-AVERAGE(OFFSET($H$3,0,0,'Données projet'!$E$12+1,1))</f>
        <v>169.62156467157178</v>
      </c>
      <c r="CE22" s="59">
        <f t="shared" si="40"/>
        <v>85.631326020763254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4.75</v>
      </c>
      <c r="CT22" s="12">
        <f>IF('Données projet'!$A$140&gt;35,CT21+CS22-DB21,IF(A22&lt;'Données projet'!$A$140,$CQ$205^A22,IF(A22='Données projet'!$A$140,'Données projet'!$B$140,CT21+CS22-DB21)))</f>
        <v>75.65496331618381</v>
      </c>
      <c r="CU22" s="17">
        <f>CT22*VLOOKUP('Données projet'!$B$13,Paramètres!$A$1:$I$89,3,0)*VLOOKUP('Données projet'!$B$13,Paramètres!$A$1:$I$89,5,0)</f>
        <v>61.371306242088309</v>
      </c>
      <c r="CV22" s="13">
        <f t="shared" si="41"/>
        <v>17.514520949652077</v>
      </c>
      <c r="CW22" s="20">
        <f t="shared" si="13"/>
        <v>137.39281569228118</v>
      </c>
      <c r="CX22" s="59">
        <f t="shared" si="14"/>
        <v>417.28170458117006</v>
      </c>
      <c r="CY22" s="59">
        <f ca="1">AVERAGE(OFFSET($CX$3,0,0,'Données projet'!$E$13+1,1))-AVERAGE(OFFSET($H$3,0,0,'Données projet'!$E$13+1,1))</f>
        <v>234.59657655504111</v>
      </c>
      <c r="CZ22" s="59">
        <f t="shared" si="42"/>
        <v>285.10598666479211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1.2</v>
      </c>
      <c r="DO22" s="12">
        <f>IF('Données projet'!$A$166&gt;35,DO21+DN22-DW21,IF(A22&lt;'Données projet'!$A$166,$DL$205^A22,IF(A22='Données projet'!$A$166,'Données projet'!$B$166,DO21+DN22-DW21)))</f>
        <v>13.262095581124292</v>
      </c>
      <c r="DP22" s="17">
        <f>DO22*VLOOKUP('Données projet'!$B$14,Paramètres!$A$1:$I$89,3,0)*VLOOKUP('Données projet'!$B$14,Paramètres!$A$1:$I$89,5,0)</f>
        <v>12.827098846063416</v>
      </c>
      <c r="DQ22" s="13">
        <f t="shared" si="43"/>
        <v>4.3923238720390128</v>
      </c>
      <c r="DR22" s="20">
        <f t="shared" si="16"/>
        <v>29.990494567361733</v>
      </c>
      <c r="DS22" s="59">
        <f t="shared" si="17"/>
        <v>309.87938345625059</v>
      </c>
      <c r="DT22" s="59">
        <f ca="1">AVERAGE(OFFSET($DS$3,0,0,'Données projet'!$E$14+1,1))-AVERAGE(OFFSET($H$3,0,0,'Données projet'!$E$14+1,1))</f>
        <v>186.90852124957956</v>
      </c>
      <c r="DU22" s="59">
        <f t="shared" si="44"/>
        <v>93.013797128776446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1.2</v>
      </c>
      <c r="EJ22" s="12">
        <f>IF('Données projet'!$A$192&gt;35,EJ21+EI22-ER21,IF(A22&lt;'Données projet'!$A$192,$EG$205^A22,IF(A22='Données projet'!$A$192,'Données projet'!$B$192,EJ21+EI22-ER21)))</f>
        <v>13.262095581124292</v>
      </c>
      <c r="EK22" s="17">
        <f>EJ22*VLOOKUP('Données projet'!$B$15,Paramètres!$A$1:$I$89,3,0)*VLOOKUP('Données projet'!$B$15,Paramètres!$A$1:$I$89,5,0)</f>
        <v>14.275319683522188</v>
      </c>
      <c r="EL22" s="13">
        <f t="shared" si="45"/>
        <v>4.8277426959232219</v>
      </c>
      <c r="EM22" s="20">
        <f t="shared" si="19"/>
        <v>33.271166977534087</v>
      </c>
      <c r="EN22" s="59">
        <f t="shared" si="20"/>
        <v>313.16005586642297</v>
      </c>
      <c r="EO22" s="59">
        <f ca="1">AVERAGE(OFFSET($EN$3,0,0,'Données projet'!$E$15+1,1))-AVERAGE(OFFSET($H$3,0,0,'Données projet'!$E$15+1,1))</f>
        <v>217.10418688911096</v>
      </c>
      <c r="EP22" s="59">
        <f t="shared" si="46"/>
        <v>105.90631421515786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91</v>
      </c>
      <c r="L23" s="12">
        <f>VLOOKUP(A23,'Données projet'!$A$35:$I$55,9,0)</f>
        <v>10</v>
      </c>
      <c r="M23" s="12">
        <f t="array" ref="M23">INDEX(L:L,MIN(IF(ISNUMBER(L23:L219),ROW(L23:L219),"")))</f>
        <v>10</v>
      </c>
      <c r="N23" s="13">
        <f>IF('Données projet'!$A$36&gt;35,N22+M23-V22,IF(A23&lt;'Données projet'!$A$36,$K$205^A23,IF(A23='Données projet'!$A$36,'Données projet'!$B$36,N22+M23-V22)))</f>
        <v>91</v>
      </c>
      <c r="O23" s="13">
        <f>N23*VLOOKUP('Données projet'!$B$9,Paramètres!$A$1:$I$89,3,0)*VLOOKUP('Données projet'!$B$9,Paramètres!$A$1:$I$89,5,0)</f>
        <v>54.417999999999999</v>
      </c>
      <c r="P23" s="13">
        <f t="shared" si="33"/>
        <v>15.749044324804036</v>
      </c>
      <c r="Q23" s="20">
        <f t="shared" si="2"/>
        <v>122.20760219903367</v>
      </c>
      <c r="R23" s="59">
        <f t="shared" si="0"/>
        <v>403.3187133101448</v>
      </c>
      <c r="S23" s="59">
        <f ca="1">AVERAGE(OFFSET($R$3,0,0,'Données projet'!$E$9+1,1))-AVERAGE(OFFSET($H$3,0,0,'Données projet'!$E$9+1,1))</f>
        <v>145.19188637714888</v>
      </c>
      <c r="T23" s="59">
        <f t="shared" si="34"/>
        <v>169.74069292032493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14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0.22500000000000001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3.7619973062910037</v>
      </c>
      <c r="AB23" s="21">
        <f>EXP(-LN(2)/2)*AB22+(1-EXP(-LN(2)/2))/(LN(2)/2)*V23*Y23*VLOOKUP('Données projet'!$B$9,Paramètres!$A$1:$I$89,3,0)*0.475*44/12</f>
        <v>5.416599311366614</v>
      </c>
      <c r="AC23" s="22">
        <f t="shared" si="3"/>
        <v>9.1785966176576181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132</v>
      </c>
      <c r="AG23" s="12">
        <f>VLOOKUP(A23,'Données projet'!$A$61:$I$81,9,0)</f>
        <v>6.6</v>
      </c>
      <c r="AH23" s="12">
        <f t="array" ref="AH23">INDEX(AG:AG,MIN(IF(ISNUMBER(AG23:AG219),ROW(AG23:AG219),"")))</f>
        <v>6.6</v>
      </c>
      <c r="AI23" s="13">
        <f>IF('Données projet'!$A$62&gt;35,AI22+AH23-AQ22,IF(A23&lt;'Données projet'!$A$62,$AF$205^A23,IF(A23='Données projet'!$A$62,'Données projet'!$B$62,AI22+AH23-AQ22)))</f>
        <v>132</v>
      </c>
      <c r="AJ23" s="13">
        <f>AI23*VLOOKUP('Données projet'!$B$10,Paramètres!$A$1:$I$89,3,0)*VLOOKUP('Données projet'!$B$10,Paramètres!$A$1:$I$89,5,0)</f>
        <v>115.3152</v>
      </c>
      <c r="AK23" s="13">
        <f t="shared" si="35"/>
        <v>30.579827148797317</v>
      </c>
      <c r="AL23" s="20">
        <f t="shared" si="4"/>
        <v>254.10050561748861</v>
      </c>
      <c r="AM23" s="59">
        <f t="shared" si="5"/>
        <v>535.21161672859978</v>
      </c>
      <c r="AN23" s="59">
        <f ca="1">AVERAGE(OFFSET($AM$3,0,0,'Données projet'!$E$10+1,1))-AVERAGE(OFFSET($H$3,0,0,'Données projet'!$E$10+1,1))</f>
        <v>254.24072778190163</v>
      </c>
      <c r="AO23" s="59">
        <f t="shared" si="36"/>
        <v>356.78706780980383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50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5.1704083727537116</v>
      </c>
      <c r="AW23" s="21">
        <f>EXP(-LN(2)/2)*AW22+(1-EXP(-LN(2)/2))/(LN(2)/2)*AQ23*AT23*VLOOKUP('Données projet'!$B$10,Paramètres!$A$1:$I$89,3,0)*0.475*44/12</f>
        <v>10.303313907490841</v>
      </c>
      <c r="AX23" s="21">
        <f t="shared" si="6"/>
        <v>15.473722280244552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91</v>
      </c>
      <c r="BB23" s="12">
        <f>VLOOKUP(A23,'Données projet'!$A$87:$I$107,9,0)</f>
        <v>4.55</v>
      </c>
      <c r="BC23" s="12">
        <f t="array" ref="BC23">INDEX(BB:BB,MIN(IF(ISNUMBER(BB23:BB219),ROW(BB23:BB219),"")))</f>
        <v>4.55</v>
      </c>
      <c r="BD23" s="12">
        <f>IF('Données projet'!$A$88&gt;35,BD22+BC23-BL22,IF(A23&lt;'Données projet'!$A$88,$BA$205^A23,IF(A23='Données projet'!$A$88,'Données projet'!$B$88,BD22+BC23-BL22)))</f>
        <v>91</v>
      </c>
      <c r="BE23" s="13">
        <f>BD23*VLOOKUP('Données projet'!$B$11,Paramètres!$A$1:$I$89,3,0)*VLOOKUP('Données projet'!$B$11,Paramètres!$A$1:$I$89,5,0)</f>
        <v>54.417999999999999</v>
      </c>
      <c r="BF23" s="13">
        <f t="shared" si="37"/>
        <v>15.749044324804036</v>
      </c>
      <c r="BG23" s="20">
        <f t="shared" si="7"/>
        <v>122.20760219903367</v>
      </c>
      <c r="BH23" s="59">
        <f t="shared" si="8"/>
        <v>403.3187133101448</v>
      </c>
      <c r="BI23" s="59">
        <f ca="1">AVERAGE(OFFSET($BH$3,0,0,'Données projet'!$E$11+1,1))-AVERAGE(OFFSET($H$3,0,0,'Données projet'!$E$11+1,1))</f>
        <v>246.59447135626942</v>
      </c>
      <c r="BJ23" s="59">
        <f t="shared" si="38"/>
        <v>262.00382544285367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0.53335940190698583</v>
      </c>
      <c r="BR23" s="21">
        <f>EXP(-LN(2)/2)*BR22+(1-EXP(-LN(2)/2))/(LN(2)/2)*BL23*BO23*VLOOKUP('Données projet'!$B$11,Paramètres!$A$1:$I$89,3,0)*0.475*44/12</f>
        <v>1.0156123708812399</v>
      </c>
      <c r="BS23" s="22">
        <f t="shared" si="9"/>
        <v>1.5489717727882257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13.748318849539347</v>
      </c>
      <c r="CA23" s="13">
        <f t="shared" si="39"/>
        <v>4.6699196436038939</v>
      </c>
      <c r="CB23" s="20">
        <f t="shared" si="10"/>
        <v>32.078432042224485</v>
      </c>
      <c r="CC23" s="59">
        <f t="shared" si="11"/>
        <v>313.18954315333565</v>
      </c>
      <c r="CD23" s="59">
        <f ca="1">AVERAGE(OFFSET($CC$3,0,0,'Données projet'!$E$12+1,1))-AVERAGE(OFFSET($H$3,0,0,'Données projet'!$E$12+1,1))</f>
        <v>169.62156467157178</v>
      </c>
      <c r="CE23" s="59">
        <f t="shared" si="40"/>
        <v>85.631326020763254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95</v>
      </c>
      <c r="CR23" s="12">
        <f>VLOOKUP(A23,'Données projet'!$A$139:$I$159,9,0)</f>
        <v>4.75</v>
      </c>
      <c r="CS23" s="12">
        <f t="array" ref="CS23">INDEX(CR:CR,MIN(IF(ISNUMBER(CR23:CR219),ROW(CR23:CR219),"")))</f>
        <v>4.75</v>
      </c>
      <c r="CT23" s="12">
        <f>IF('Données projet'!$A$140&gt;35,CT22+CS23-DB22,IF(A23&lt;'Données projet'!$A$140,$CQ$205^A23,IF(A23='Données projet'!$A$140,'Données projet'!$B$140,CT22+CS23-DB22)))</f>
        <v>95</v>
      </c>
      <c r="CU23" s="17">
        <f>CT23*VLOOKUP('Données projet'!$B$13,Paramètres!$A$1:$I$89,3,0)*VLOOKUP('Données projet'!$B$13,Paramètres!$A$1:$I$89,5,0)</f>
        <v>77.064000000000007</v>
      </c>
      <c r="CV23" s="13">
        <f t="shared" si="41"/>
        <v>21.417762186678065</v>
      </c>
      <c r="CW23" s="20">
        <f t="shared" si="13"/>
        <v>171.52240247513097</v>
      </c>
      <c r="CX23" s="59">
        <f t="shared" si="14"/>
        <v>452.63351358624209</v>
      </c>
      <c r="CY23" s="59">
        <f ca="1">AVERAGE(OFFSET($CX$3,0,0,'Données projet'!$E$13+1,1))-AVERAGE(OFFSET($H$3,0,0,'Données projet'!$E$13+1,1))</f>
        <v>234.59657655504111</v>
      </c>
      <c r="CZ23" s="59">
        <f t="shared" si="42"/>
        <v>285.10598666479211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4.1289404005276058</v>
      </c>
      <c r="DH23" s="21">
        <f>EXP(-LN(2)/2)*DH22+(1-EXP(-LN(2)/2))/(LN(2)/2)*DB23*DE23*VLOOKUP('Données projet'!$B$13,Paramètres!$A$1:$I$89,3,0)*0.475*44/12</f>
        <v>8.2279321061248272</v>
      </c>
      <c r="DI23" s="22">
        <f t="shared" si="15"/>
        <v>12.356872506652433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1.2</v>
      </c>
      <c r="DO23" s="12">
        <f>IF('Données projet'!$A$166&gt;35,DO22+DN23-DW22,IF(A23&lt;'Données projet'!$A$166,$DL$205^A23,IF(A23='Données projet'!$A$166,'Données projet'!$B$166,DO22+DN23-DW22)))</f>
        <v>15.194870523363559</v>
      </c>
      <c r="DP23" s="17">
        <f>DO23*VLOOKUP('Données projet'!$B$14,Paramètres!$A$1:$I$89,3,0)*VLOOKUP('Données projet'!$B$14,Paramètres!$A$1:$I$89,5,0)</f>
        <v>14.696478770197235</v>
      </c>
      <c r="DQ23" s="13">
        <f t="shared" si="43"/>
        <v>4.9533809473858224</v>
      </c>
      <c r="DR23" s="20">
        <f t="shared" si="16"/>
        <v>34.223505674790481</v>
      </c>
      <c r="DS23" s="59">
        <f t="shared" si="17"/>
        <v>315.33461678590163</v>
      </c>
      <c r="DT23" s="59">
        <f ca="1">AVERAGE(OFFSET($DS$3,0,0,'Données projet'!$E$14+1,1))-AVERAGE(OFFSET($H$3,0,0,'Données projet'!$E$14+1,1))</f>
        <v>186.90852124957956</v>
      </c>
      <c r="DU23" s="59">
        <f t="shared" si="44"/>
        <v>93.013797128776446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1.2</v>
      </c>
      <c r="EJ23" s="12">
        <f>IF('Données projet'!$A$192&gt;35,EJ22+EI23-ER22,IF(A23&lt;'Données projet'!$A$192,$EG$205^A23,IF(A23='Données projet'!$A$192,'Données projet'!$B$192,EJ22+EI23-ER22)))</f>
        <v>15.194870523363559</v>
      </c>
      <c r="EK23" s="17">
        <f>EJ23*VLOOKUP('Données projet'!$B$15,Paramètres!$A$1:$I$89,3,0)*VLOOKUP('Données projet'!$B$15,Paramètres!$A$1:$I$89,5,0)</f>
        <v>16.355758631348532</v>
      </c>
      <c r="EL23" s="13">
        <f t="shared" si="45"/>
        <v>5.4444183501809773</v>
      </c>
      <c r="EM23" s="20">
        <f t="shared" si="19"/>
        <v>37.968641576163897</v>
      </c>
      <c r="EN23" s="59">
        <f t="shared" si="20"/>
        <v>319.07975268727506</v>
      </c>
      <c r="EO23" s="59">
        <f ca="1">AVERAGE(OFFSET($EN$3,0,0,'Données projet'!$E$15+1,1))-AVERAGE(OFFSET($H$3,0,0,'Données projet'!$E$15+1,1))</f>
        <v>217.10418688911096</v>
      </c>
      <c r="EP23" s="59">
        <f t="shared" si="46"/>
        <v>105.90631421515786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</v>
      </c>
      <c r="N24" s="13">
        <f>IF('Données projet'!$A$36&gt;35,N23+M24-V23,IF(A24&lt;'Données projet'!$A$36,$K$205^A24,IF(A24='Données projet'!$A$36,'Données projet'!$B$36,N23+M24-V23)))</f>
        <v>88</v>
      </c>
      <c r="O24" s="13">
        <f>N24*VLOOKUP('Données projet'!$B$9,Paramètres!$A$1:$I$89,3,0)*VLOOKUP('Données projet'!$B$9,Paramètres!$A$1:$I$89,5,0)</f>
        <v>52.624000000000009</v>
      </c>
      <c r="P24" s="13">
        <f t="shared" si="33"/>
        <v>15.289388641788772</v>
      </c>
      <c r="Q24" s="20">
        <f t="shared" si="2"/>
        <v>118.28248521778211</v>
      </c>
      <c r="R24" s="59">
        <f t="shared" si="0"/>
        <v>400.61581855111541</v>
      </c>
      <c r="S24" s="59">
        <f ca="1">AVERAGE(OFFSET($R$3,0,0,'Données projet'!$E$9+1,1))-AVERAGE(OFFSET($H$3,0,0,'Données projet'!$E$9+1,1))</f>
        <v>145.19188637714888</v>
      </c>
      <c r="T24" s="59">
        <f t="shared" si="34"/>
        <v>169.74069292032493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3.6591252921156361</v>
      </c>
      <c r="AB24" s="21">
        <f>EXP(-LN(2)/2)*AB23+(1-EXP(-LN(2)/2))/(LN(2)/2)*V24*Y24*VLOOKUP('Données projet'!$B$9,Paramètres!$A$1:$I$89,3,0)*0.475*44/12</f>
        <v>3.8301141040377167</v>
      </c>
      <c r="AC24" s="22">
        <f t="shared" si="3"/>
        <v>7.4892393961533532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11.8</v>
      </c>
      <c r="AI24" s="13">
        <f>IF('Données projet'!$A$62&gt;35,AI23+AH24-AQ23,IF(A24&lt;'Données projet'!$A$62,$AF$205^A24,IF(A24='Données projet'!$A$62,'Données projet'!$B$62,AI23+AH24-AQ23)))</f>
        <v>93.800000000000011</v>
      </c>
      <c r="AJ24" s="13">
        <f>AI24*VLOOKUP('Données projet'!$B$10,Paramètres!$A$1:$I$89,3,0)*VLOOKUP('Données projet'!$B$10,Paramètres!$A$1:$I$89,5,0)</f>
        <v>81.943680000000029</v>
      </c>
      <c r="AK24" s="13">
        <f t="shared" si="35"/>
        <v>22.611757990043472</v>
      </c>
      <c r="AL24" s="20">
        <f t="shared" si="4"/>
        <v>182.10072116599244</v>
      </c>
      <c r="AM24" s="59">
        <f t="shared" si="5"/>
        <v>464.43405449932573</v>
      </c>
      <c r="AN24" s="59">
        <f ca="1">AVERAGE(OFFSET($AM$3,0,0,'Données projet'!$E$10+1,1))-AVERAGE(OFFSET($H$3,0,0,'Données projet'!$E$10+1,1))</f>
        <v>254.24072778190163</v>
      </c>
      <c r="AO24" s="59">
        <f t="shared" si="36"/>
        <v>356.78706780980383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5.029023283900802</v>
      </c>
      <c r="AW24" s="21">
        <f>EXP(-LN(2)/2)*AW23+(1-EXP(-LN(2)/2))/(LN(2)/2)*AQ24*AT24*VLOOKUP('Données projet'!$B$10,Paramètres!$A$1:$I$89,3,0)*0.475*44/12</f>
        <v>7.2855431326804387</v>
      </c>
      <c r="AX24" s="21">
        <f t="shared" si="6"/>
        <v>12.31456641658124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</v>
      </c>
      <c r="BD24" s="12">
        <f>IF('Données projet'!$A$88&gt;35,BD23+BC24-BL23,IF(A24&lt;'Données projet'!$A$88,$BA$205^A24,IF(A24='Données projet'!$A$88,'Données projet'!$B$88,BD23+BC24-BL23)))</f>
        <v>101</v>
      </c>
      <c r="BE24" s="13">
        <f>BD24*VLOOKUP('Données projet'!$B$11,Paramètres!$A$1:$I$89,3,0)*VLOOKUP('Données projet'!$B$11,Paramètres!$A$1:$I$89,5,0)</f>
        <v>60.398000000000003</v>
      </c>
      <c r="BF24" s="13">
        <f t="shared" si="37"/>
        <v>17.26885714728807</v>
      </c>
      <c r="BG24" s="20">
        <f t="shared" si="7"/>
        <v>135.26977619819337</v>
      </c>
      <c r="BH24" s="59">
        <f t="shared" si="8"/>
        <v>417.60310953152668</v>
      </c>
      <c r="BI24" s="59">
        <f ca="1">AVERAGE(OFFSET($BH$3,0,0,'Données projet'!$E$11+1,1))-AVERAGE(OFFSET($H$3,0,0,'Données projet'!$E$11+1,1))</f>
        <v>246.59447135626942</v>
      </c>
      <c r="BJ24" s="59">
        <f t="shared" si="38"/>
        <v>262.00382544285367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0.51877466101368741</v>
      </c>
      <c r="BR24" s="21">
        <f>EXP(-LN(2)/2)*BR23+(1-EXP(-LN(2)/2))/(LN(2)/2)*BL24*BO24*VLOOKUP('Données projet'!$B$11,Paramètres!$A$1:$I$89,3,0)*0.475*44/12</f>
        <v>0.71814639450707174</v>
      </c>
      <c r="BS24" s="22">
        <f t="shared" si="9"/>
        <v>1.2369210555207593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15.751954399272945</v>
      </c>
      <c r="CA24" s="13">
        <f t="shared" si="39"/>
        <v>5.2664356414391653</v>
      </c>
      <c r="CB24" s="20">
        <f t="shared" si="10"/>
        <v>36.607029320906918</v>
      </c>
      <c r="CC24" s="59">
        <f t="shared" si="11"/>
        <v>318.94036265424023</v>
      </c>
      <c r="CD24" s="59">
        <f ca="1">AVERAGE(OFFSET($CC$3,0,0,'Données projet'!$E$12+1,1))-AVERAGE(OFFSET($H$3,0,0,'Données projet'!$E$12+1,1))</f>
        <v>169.62156467157178</v>
      </c>
      <c r="CE24" s="59">
        <f t="shared" si="40"/>
        <v>85.631326020763254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12.2</v>
      </c>
      <c r="CT24" s="12">
        <f>IF('Données projet'!$A$140&gt;35,CT23+CS24-DB23,IF(A24&lt;'Données projet'!$A$140,$CQ$205^A24,IF(A24='Données projet'!$A$140,'Données projet'!$B$140,CT23+CS24-DB23)))</f>
        <v>64.2</v>
      </c>
      <c r="CU24" s="17">
        <f>CT24*VLOOKUP('Données projet'!$B$13,Paramètres!$A$1:$I$89,3,0)*VLOOKUP('Données projet'!$B$13,Paramètres!$A$1:$I$89,5,0)</f>
        <v>52.079039999999999</v>
      </c>
      <c r="CV24" s="13">
        <f t="shared" si="41"/>
        <v>15.149401133573162</v>
      </c>
      <c r="CW24" s="20">
        <f t="shared" si="13"/>
        <v>117.08953497430657</v>
      </c>
      <c r="CX24" s="59">
        <f t="shared" si="14"/>
        <v>399.42286830763987</v>
      </c>
      <c r="CY24" s="59">
        <f ca="1">AVERAGE(OFFSET($CX$3,0,0,'Données projet'!$E$13+1,1))-AVERAGE(OFFSET($H$3,0,0,'Données projet'!$E$13+1,1))</f>
        <v>234.59657655504111</v>
      </c>
      <c r="CZ24" s="59">
        <f t="shared" si="42"/>
        <v>285.10598666479211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4.0160343081436398</v>
      </c>
      <c r="DH24" s="21">
        <f>EXP(-LN(2)/2)*DH23+(1-EXP(-LN(2)/2))/(LN(2)/2)*DB24*DE24*VLOOKUP('Données projet'!$B$13,Paramètres!$A$1:$I$89,3,0)*0.475*44/12</f>
        <v>5.8180265873833781</v>
      </c>
      <c r="DI24" s="22">
        <f t="shared" si="15"/>
        <v>9.834060895527017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1.2</v>
      </c>
      <c r="DO24" s="12">
        <f>IF('Données projet'!$A$166&gt;35,DO23+DN24-DW23,IF(A24&lt;'Données projet'!$A$166,$DL$205^A24,IF(A24='Données projet'!$A$166,'Données projet'!$B$166,DO23+DN24-DW23)))</f>
        <v>17.409321838276906</v>
      </c>
      <c r="DP24" s="17">
        <f>DO24*VLOOKUP('Données projet'!$B$14,Paramètres!$A$1:$I$89,3,0)*VLOOKUP('Données projet'!$B$14,Paramètres!$A$1:$I$89,5,0)</f>
        <v>16.838296081981426</v>
      </c>
      <c r="DQ24" s="13">
        <f t="shared" si="43"/>
        <v>5.5861051062554639</v>
      </c>
      <c r="DR24" s="20">
        <f t="shared" si="16"/>
        <v>39.055832069512576</v>
      </c>
      <c r="DS24" s="59">
        <f t="shared" si="17"/>
        <v>321.38916540284589</v>
      </c>
      <c r="DT24" s="59">
        <f ca="1">AVERAGE(OFFSET($DS$3,0,0,'Données projet'!$E$14+1,1))-AVERAGE(OFFSET($H$3,0,0,'Données projet'!$E$14+1,1))</f>
        <v>186.90852124957956</v>
      </c>
      <c r="DU24" s="59">
        <f t="shared" si="44"/>
        <v>93.013797128776446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1.2</v>
      </c>
      <c r="EJ24" s="12">
        <f>IF('Données projet'!$A$192&gt;35,EJ23+EI24-ER23,IF(A24&lt;'Données projet'!$A$192,$EG$205^A24,IF(A24='Données projet'!$A$192,'Données projet'!$B$192,EJ23+EI24-ER23)))</f>
        <v>17.409321838276906</v>
      </c>
      <c r="EK24" s="17">
        <f>EJ24*VLOOKUP('Données projet'!$B$15,Paramètres!$A$1:$I$89,3,0)*VLOOKUP('Données projet'!$B$15,Paramètres!$A$1:$I$89,5,0)</f>
        <v>18.739394026721261</v>
      </c>
      <c r="EL24" s="13">
        <f t="shared" si="45"/>
        <v>6.1398655725414359</v>
      </c>
      <c r="EM24" s="20">
        <f t="shared" si="19"/>
        <v>43.331377135382525</v>
      </c>
      <c r="EN24" s="59">
        <f t="shared" si="20"/>
        <v>325.66471046871584</v>
      </c>
      <c r="EO24" s="59">
        <f ca="1">AVERAGE(OFFSET($EN$3,0,0,'Données projet'!$E$15+1,1))-AVERAGE(OFFSET($H$3,0,0,'Données projet'!$E$15+1,1))</f>
        <v>217.10418688911096</v>
      </c>
      <c r="EP24" s="59">
        <f t="shared" si="46"/>
        <v>105.90631421515786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</v>
      </c>
      <c r="N25" s="13">
        <f>IF('Données projet'!$A$36&gt;35,N24+M25-V24,IF(A25&lt;'Données projet'!$A$36,$K$205^A25,IF(A25='Données projet'!$A$36,'Données projet'!$B$36,N24+M25-V24)))</f>
        <v>99</v>
      </c>
      <c r="O25" s="13">
        <f>N25*VLOOKUP('Données projet'!$B$9,Paramètres!$A$1:$I$89,3,0)*VLOOKUP('Données projet'!$B$9,Paramètres!$A$1:$I$89,5,0)</f>
        <v>59.201999999999998</v>
      </c>
      <c r="P25" s="13">
        <f t="shared" si="33"/>
        <v>16.966352622896878</v>
      </c>
      <c r="Q25" s="20">
        <f t="shared" si="2"/>
        <v>132.65988081821206</v>
      </c>
      <c r="R25" s="59">
        <f t="shared" si="0"/>
        <v>416.2154363737676</v>
      </c>
      <c r="S25" s="59">
        <f ca="1">AVERAGE(OFFSET($R$3,0,0,'Données projet'!$E$9+1,1))-AVERAGE(OFFSET($H$3,0,0,'Données projet'!$E$9+1,1))</f>
        <v>145.19188637714888</v>
      </c>
      <c r="T25" s="59">
        <f t="shared" si="34"/>
        <v>169.74069292032493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3.5590663185776981</v>
      </c>
      <c r="AB25" s="21">
        <f>EXP(-LN(2)/2)*AB24+(1-EXP(-LN(2)/2))/(LN(2)/2)*V25*Y25*VLOOKUP('Données projet'!$B$9,Paramètres!$A$1:$I$89,3,0)*0.475*44/12</f>
        <v>2.7082996556833074</v>
      </c>
      <c r="AC25" s="22">
        <f t="shared" si="3"/>
        <v>6.2673659742610059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11.8</v>
      </c>
      <c r="AI25" s="13">
        <f>IF('Données projet'!$A$62&gt;35,AI24+AH25-AQ24,IF(A25&lt;'Données projet'!$A$62,$AF$205^A25,IF(A25='Données projet'!$A$62,'Données projet'!$B$62,AI24+AH25-AQ24)))</f>
        <v>105.60000000000001</v>
      </c>
      <c r="AJ25" s="13">
        <f>AI25*VLOOKUP('Données projet'!$B$10,Paramètres!$A$1:$I$89,3,0)*VLOOKUP('Données projet'!$B$10,Paramètres!$A$1:$I$89,5,0)</f>
        <v>92.252160000000018</v>
      </c>
      <c r="AK25" s="13">
        <f t="shared" si="35"/>
        <v>25.107607958259987</v>
      </c>
      <c r="AL25" s="20">
        <f t="shared" si="4"/>
        <v>204.40159586063615</v>
      </c>
      <c r="AM25" s="59">
        <f t="shared" si="5"/>
        <v>487.95715141619166</v>
      </c>
      <c r="AN25" s="59">
        <f ca="1">AVERAGE(OFFSET($AM$3,0,0,'Données projet'!$E$10+1,1))-AVERAGE(OFFSET($H$3,0,0,'Données projet'!$E$10+1,1))</f>
        <v>254.24072778190163</v>
      </c>
      <c r="AO25" s="59">
        <f t="shared" si="36"/>
        <v>356.78706780980383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4.8915043777376939</v>
      </c>
      <c r="AW25" s="21">
        <f>EXP(-LN(2)/2)*AW24+(1-EXP(-LN(2)/2))/(LN(2)/2)*AQ25*AT25*VLOOKUP('Données projet'!$B$10,Paramètres!$A$1:$I$89,3,0)*0.475*44/12</f>
        <v>5.1516569537454213</v>
      </c>
      <c r="AX25" s="21">
        <f t="shared" si="6"/>
        <v>10.043161331483116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</v>
      </c>
      <c r="BD25" s="12">
        <f>IF('Données projet'!$A$88&gt;35,BD24+BC25-BL24,IF(A25&lt;'Données projet'!$A$88,$BA$205^A25,IF(A25='Données projet'!$A$88,'Données projet'!$B$88,BD24+BC25-BL24)))</f>
        <v>114</v>
      </c>
      <c r="BE25" s="13">
        <f>BD25*VLOOKUP('Données projet'!$B$11,Paramètres!$A$1:$I$89,3,0)*VLOOKUP('Données projet'!$B$11,Paramètres!$A$1:$I$89,5,0)</f>
        <v>68.172000000000011</v>
      </c>
      <c r="BF25" s="13">
        <f t="shared" si="37"/>
        <v>19.21880399855084</v>
      </c>
      <c r="BG25" s="20">
        <f t="shared" si="7"/>
        <v>152.20565029747607</v>
      </c>
      <c r="BH25" s="59">
        <f t="shared" si="8"/>
        <v>435.76120585303158</v>
      </c>
      <c r="BI25" s="59">
        <f ca="1">AVERAGE(OFFSET($BH$3,0,0,'Données projet'!$E$11+1,1))-AVERAGE(OFFSET($H$3,0,0,'Données projet'!$E$11+1,1))</f>
        <v>246.59447135626942</v>
      </c>
      <c r="BJ25" s="59">
        <f t="shared" si="38"/>
        <v>262.00382544285367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0.50458874062709436</v>
      </c>
      <c r="BR25" s="21">
        <f>EXP(-LN(2)/2)*BR24+(1-EXP(-LN(2)/2))/(LN(2)/2)*BL25*BO25*VLOOKUP('Données projet'!$B$11,Paramètres!$A$1:$I$89,3,0)*0.475*44/12</f>
        <v>0.50780618544062006</v>
      </c>
      <c r="BS25" s="22">
        <f t="shared" si="9"/>
        <v>1.0123949260677145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18.047593317570453</v>
      </c>
      <c r="CA25" s="13">
        <f t="shared" si="39"/>
        <v>5.9391480972072355</v>
      </c>
      <c r="CB25" s="20">
        <f t="shared" si="10"/>
        <v>41.776907964071142</v>
      </c>
      <c r="CC25" s="59">
        <f t="shared" si="11"/>
        <v>325.33246351962669</v>
      </c>
      <c r="CD25" s="59">
        <f ca="1">AVERAGE(OFFSET($CC$3,0,0,'Données projet'!$E$12+1,1))-AVERAGE(OFFSET($H$3,0,0,'Données projet'!$E$12+1,1))</f>
        <v>169.62156467157178</v>
      </c>
      <c r="CE25" s="59">
        <f t="shared" si="40"/>
        <v>85.631326020763254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12.2</v>
      </c>
      <c r="CT25" s="12">
        <f>IF('Données projet'!$A$140&gt;35,CT24+CS25-DB24,IF(A25&lt;'Données projet'!$A$140,$CQ$205^A25,IF(A25='Données projet'!$A$140,'Données projet'!$B$140,CT24+CS25-DB24)))</f>
        <v>76.400000000000006</v>
      </c>
      <c r="CU25" s="17">
        <f>CT25*VLOOKUP('Données projet'!$B$13,Paramètres!$A$1:$I$89,3,0)*VLOOKUP('Données projet'!$B$13,Paramètres!$A$1:$I$89,5,0)</f>
        <v>61.975680000000004</v>
      </c>
      <c r="CV25" s="13">
        <f t="shared" si="41"/>
        <v>17.666837160010601</v>
      </c>
      <c r="CW25" s="20">
        <f t="shared" si="13"/>
        <v>138.71071738701849</v>
      </c>
      <c r="CX25" s="59">
        <f t="shared" si="14"/>
        <v>422.26627294257401</v>
      </c>
      <c r="CY25" s="59">
        <f ca="1">AVERAGE(OFFSET($CX$3,0,0,'Données projet'!$E$13+1,1))-AVERAGE(OFFSET($H$3,0,0,'Données projet'!$E$13+1,1))</f>
        <v>234.59657655504111</v>
      </c>
      <c r="CZ25" s="59">
        <f t="shared" si="42"/>
        <v>285.10598666479211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3.9062156387933866</v>
      </c>
      <c r="DH25" s="21">
        <f>EXP(-LN(2)/2)*DH24+(1-EXP(-LN(2)/2))/(LN(2)/2)*DB25*DE25*VLOOKUP('Données projet'!$B$13,Paramètres!$A$1:$I$89,3,0)*0.475*44/12</f>
        <v>4.1139660530624145</v>
      </c>
      <c r="DI25" s="22">
        <f t="shared" si="15"/>
        <v>8.0201816918558002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1.2</v>
      </c>
      <c r="DO25" s="12">
        <f>IF('Données projet'!$A$166&gt;35,DO24+DN25-DW24,IF(A25&lt;'Données projet'!$A$166,$DL$205^A25,IF(A25='Données projet'!$A$166,'Données projet'!$B$166,DO24+DN25-DW24)))</f>
        <v>19.946500129940819</v>
      </c>
      <c r="DP25" s="17">
        <f>DO25*VLOOKUP('Données projet'!$B$14,Paramètres!$A$1:$I$89,3,0)*VLOOKUP('Données projet'!$B$14,Paramètres!$A$1:$I$89,5,0)</f>
        <v>19.292254925678762</v>
      </c>
      <c r="DQ25" s="13">
        <f t="shared" si="43"/>
        <v>6.2996508020651527</v>
      </c>
      <c r="DR25" s="20">
        <f t="shared" si="16"/>
        <v>44.572569142487318</v>
      </c>
      <c r="DS25" s="59">
        <f t="shared" si="17"/>
        <v>328.12812469804288</v>
      </c>
      <c r="DT25" s="59">
        <f ca="1">AVERAGE(OFFSET($DS$3,0,0,'Données projet'!$E$14+1,1))-AVERAGE(OFFSET($H$3,0,0,'Données projet'!$E$14+1,1))</f>
        <v>186.90852124957956</v>
      </c>
      <c r="DU25" s="59">
        <f t="shared" si="44"/>
        <v>93.013797128776446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1.2</v>
      </c>
      <c r="EJ25" s="12">
        <f>IF('Données projet'!$A$192&gt;35,EJ24+EI25-ER24,IF(A25&lt;'Données projet'!$A$192,$EG$205^A25,IF(A25='Données projet'!$A$192,'Données projet'!$B$192,EJ24+EI25-ER24)))</f>
        <v>19.946500129940819</v>
      </c>
      <c r="EK25" s="17">
        <f>EJ25*VLOOKUP('Données projet'!$B$15,Paramètres!$A$1:$I$89,3,0)*VLOOKUP('Données projet'!$B$15,Paramètres!$A$1:$I$89,5,0)</f>
        <v>21.470412739868298</v>
      </c>
      <c r="EL25" s="13">
        <f t="shared" si="45"/>
        <v>6.9241463135591816</v>
      </c>
      <c r="EM25" s="20">
        <f t="shared" si="19"/>
        <v>49.453857018052851</v>
      </c>
      <c r="EN25" s="59">
        <f t="shared" si="20"/>
        <v>333.00941257360842</v>
      </c>
      <c r="EO25" s="59">
        <f ca="1">AVERAGE(OFFSET($EN$3,0,0,'Données projet'!$E$15+1,1))-AVERAGE(OFFSET($H$3,0,0,'Données projet'!$E$15+1,1))</f>
        <v>217.10418688911096</v>
      </c>
      <c r="EP25" s="59">
        <f t="shared" si="46"/>
        <v>105.90631421515786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</v>
      </c>
      <c r="N26" s="13">
        <f>IF('Données projet'!$A$36&gt;35,N25+M26-V25,IF(A26&lt;'Données projet'!$A$36,$K$205^A26,IF(A26='Données projet'!$A$36,'Données projet'!$B$36,N25+M26-V25)))</f>
        <v>110</v>
      </c>
      <c r="O26" s="13">
        <f>N26*VLOOKUP('Données projet'!$B$9,Paramètres!$A$1:$I$89,3,0)*VLOOKUP('Données projet'!$B$9,Paramètres!$A$1:$I$89,5,0)</f>
        <v>65.78</v>
      </c>
      <c r="P26" s="13">
        <f t="shared" si="33"/>
        <v>18.621720661480644</v>
      </c>
      <c r="Q26" s="20">
        <f t="shared" si="2"/>
        <v>146.99966348541213</v>
      </c>
      <c r="R26" s="59">
        <f t="shared" si="0"/>
        <v>431.77744126318987</v>
      </c>
      <c r="S26" s="59">
        <f ca="1">AVERAGE(OFFSET($R$3,0,0,'Données projet'!$E$9+1,1))-AVERAGE(OFFSET($H$3,0,0,'Données projet'!$E$9+1,1))</f>
        <v>145.19188637714888</v>
      </c>
      <c r="T26" s="59">
        <f t="shared" si="34"/>
        <v>169.74069292032493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3.4617434629330277</v>
      </c>
      <c r="AB26" s="21">
        <f>EXP(-LN(2)/2)*AB25+(1-EXP(-LN(2)/2))/(LN(2)/2)*V26*Y26*VLOOKUP('Données projet'!$B$9,Paramètres!$A$1:$I$89,3,0)*0.475*44/12</f>
        <v>1.9150570520188586</v>
      </c>
      <c r="AC26" s="22">
        <f t="shared" si="3"/>
        <v>5.3768005149518867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11.8</v>
      </c>
      <c r="AI26" s="13">
        <f>IF('Données projet'!$A$62&gt;35,AI25+AH26-AQ25,IF(A26&lt;'Données projet'!$A$62,$AF$205^A26,IF(A26='Données projet'!$A$62,'Données projet'!$B$62,AI25+AH26-AQ25)))</f>
        <v>117.4</v>
      </c>
      <c r="AJ26" s="13">
        <f>AI26*VLOOKUP('Données projet'!$B$10,Paramètres!$A$1:$I$89,3,0)*VLOOKUP('Données projet'!$B$10,Paramètres!$A$1:$I$89,5,0)</f>
        <v>102.56064000000002</v>
      </c>
      <c r="AK26" s="13">
        <f t="shared" si="35"/>
        <v>27.571134131783779</v>
      </c>
      <c r="AL26" s="20">
        <f t="shared" si="4"/>
        <v>226.64617327952342</v>
      </c>
      <c r="AM26" s="59">
        <f t="shared" si="5"/>
        <v>511.42395105730122</v>
      </c>
      <c r="AN26" s="59">
        <f ca="1">AVERAGE(OFFSET($AM$3,0,0,'Données projet'!$E$10+1,1))-AVERAGE(OFFSET($H$3,0,0,'Données projet'!$E$10+1,1))</f>
        <v>254.24072778190163</v>
      </c>
      <c r="AO26" s="59">
        <f t="shared" si="36"/>
        <v>356.78706780980383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4.7577459332954213</v>
      </c>
      <c r="AW26" s="21">
        <f>EXP(-LN(2)/2)*AW25+(1-EXP(-LN(2)/2))/(LN(2)/2)*AQ26*AT26*VLOOKUP('Données projet'!$B$10,Paramètres!$A$1:$I$89,3,0)*0.475*44/12</f>
        <v>3.6427715663402198</v>
      </c>
      <c r="AX26" s="21">
        <f t="shared" si="6"/>
        <v>8.4005174996356402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</v>
      </c>
      <c r="BD26" s="12">
        <f>IF('Données projet'!$A$88&gt;35,BD25+BC26-BL25,IF(A26&lt;'Données projet'!$A$88,$BA$205^A26,IF(A26='Données projet'!$A$88,'Données projet'!$B$88,BD25+BC26-BL25)))</f>
        <v>127</v>
      </c>
      <c r="BE26" s="13">
        <f>BD26*VLOOKUP('Données projet'!$B$11,Paramètres!$A$1:$I$89,3,0)*VLOOKUP('Données projet'!$B$11,Paramètres!$A$1:$I$89,5,0)</f>
        <v>75.945999999999998</v>
      </c>
      <c r="BF26" s="13">
        <f t="shared" si="37"/>
        <v>21.142979995226831</v>
      </c>
      <c r="BG26" s="20">
        <f t="shared" si="7"/>
        <v>169.09664015835338</v>
      </c>
      <c r="BH26" s="59">
        <f t="shared" si="8"/>
        <v>453.87441793613118</v>
      </c>
      <c r="BI26" s="59">
        <f ca="1">AVERAGE(OFFSET($BH$3,0,0,'Données projet'!$E$11+1,1))-AVERAGE(OFFSET($H$3,0,0,'Données projet'!$E$11+1,1))</f>
        <v>246.59447135626942</v>
      </c>
      <c r="BJ26" s="59">
        <f t="shared" si="38"/>
        <v>262.00382544285367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0.49079073497947784</v>
      </c>
      <c r="BR26" s="21">
        <f>EXP(-LN(2)/2)*BR25+(1-EXP(-LN(2)/2))/(LN(2)/2)*BL26*BO26*VLOOKUP('Données projet'!$B$11,Paramètres!$A$1:$I$89,3,0)*0.475*44/12</f>
        <v>0.35907319725353593</v>
      </c>
      <c r="BS26" s="22">
        <f t="shared" si="9"/>
        <v>0.84986393223301371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20.677791231508873</v>
      </c>
      <c r="CA26" s="13">
        <f t="shared" si="39"/>
        <v>6.6977900276630162</v>
      </c>
      <c r="CB26" s="20">
        <f t="shared" si="10"/>
        <v>47.679137359724372</v>
      </c>
      <c r="CC26" s="59">
        <f t="shared" si="11"/>
        <v>332.45691513750216</v>
      </c>
      <c r="CD26" s="59">
        <f ca="1">AVERAGE(OFFSET($CC$3,0,0,'Données projet'!$E$12+1,1))-AVERAGE(OFFSET($H$3,0,0,'Données projet'!$E$12+1,1))</f>
        <v>169.62156467157178</v>
      </c>
      <c r="CE26" s="59">
        <f t="shared" si="40"/>
        <v>85.631326020763254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12.2</v>
      </c>
      <c r="CT26" s="12">
        <f>IF('Données projet'!$A$140&gt;35,CT25+CS26-DB25,IF(A26&lt;'Données projet'!$A$140,$CQ$205^A26,IF(A26='Données projet'!$A$140,'Données projet'!$B$140,CT25+CS26-DB25)))</f>
        <v>88.600000000000009</v>
      </c>
      <c r="CU26" s="17">
        <f>CT26*VLOOKUP('Données projet'!$B$13,Paramètres!$A$1:$I$89,3,0)*VLOOKUP('Données projet'!$B$13,Paramètres!$A$1:$I$89,5,0)</f>
        <v>71.872320000000002</v>
      </c>
      <c r="CV26" s="13">
        <f t="shared" si="41"/>
        <v>20.137703912312322</v>
      </c>
      <c r="CW26" s="20">
        <f t="shared" si="13"/>
        <v>160.25079164727728</v>
      </c>
      <c r="CX26" s="59">
        <f t="shared" si="14"/>
        <v>445.02856942505503</v>
      </c>
      <c r="CY26" s="59">
        <f ca="1">AVERAGE(OFFSET($CX$3,0,0,'Données projet'!$E$13+1,1))-AVERAGE(OFFSET($H$3,0,0,'Données projet'!$E$13+1,1))</f>
        <v>234.59657655504111</v>
      </c>
      <c r="CZ26" s="59">
        <f t="shared" si="42"/>
        <v>285.10598666479211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3.7993999667316287</v>
      </c>
      <c r="DH26" s="21">
        <f>EXP(-LN(2)/2)*DH25+(1-EXP(-LN(2)/2))/(LN(2)/2)*DB26*DE26*VLOOKUP('Données projet'!$B$13,Paramètres!$A$1:$I$89,3,0)*0.475*44/12</f>
        <v>2.9090132936916895</v>
      </c>
      <c r="DI26" s="22">
        <f t="shared" si="15"/>
        <v>6.7084132604233186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1.2</v>
      </c>
      <c r="DO26" s="12">
        <f>IF('Données projet'!$A$166&gt;35,DO25+DN26-DW25,IF(A26&lt;'Données projet'!$A$166,$DL$205^A26,IF(A26='Données projet'!$A$166,'Données projet'!$B$166,DO25+DN26-DW25)))</f>
        <v>22.853438584779923</v>
      </c>
      <c r="DP26" s="17">
        <f>DO26*VLOOKUP('Données projet'!$B$14,Paramètres!$A$1:$I$89,3,0)*VLOOKUP('Données projet'!$B$14,Paramètres!$A$1:$I$89,5,0)</f>
        <v>22.103845799199142</v>
      </c>
      <c r="DQ26" s="13">
        <f t="shared" si="43"/>
        <v>7.1043418398123555</v>
      </c>
      <c r="DR26" s="20">
        <f t="shared" si="16"/>
        <v>50.870926804611692</v>
      </c>
      <c r="DS26" s="59">
        <f t="shared" si="17"/>
        <v>335.64870458238948</v>
      </c>
      <c r="DT26" s="59">
        <f ca="1">AVERAGE(OFFSET($DS$3,0,0,'Données projet'!$E$14+1,1))-AVERAGE(OFFSET($H$3,0,0,'Données projet'!$E$14+1,1))</f>
        <v>186.90852124957956</v>
      </c>
      <c r="DU26" s="59">
        <f t="shared" si="44"/>
        <v>93.013797128776446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1.2</v>
      </c>
      <c r="EJ26" s="12">
        <f>IF('Données projet'!$A$192&gt;35,EJ25+EI26-ER25,IF(A26&lt;'Données projet'!$A$192,$EG$205^A26,IF(A26='Données projet'!$A$192,'Données projet'!$B$192,EJ25+EI26-ER25)))</f>
        <v>22.853438584779923</v>
      </c>
      <c r="EK26" s="17">
        <f>EJ26*VLOOKUP('Données projet'!$B$15,Paramètres!$A$1:$I$89,3,0)*VLOOKUP('Données projet'!$B$15,Paramètres!$A$1:$I$89,5,0)</f>
        <v>24.599441292657108</v>
      </c>
      <c r="EL26" s="13">
        <f t="shared" si="45"/>
        <v>7.808607795256683</v>
      </c>
      <c r="EM26" s="20">
        <f t="shared" si="19"/>
        <v>56.444018828116505</v>
      </c>
      <c r="EN26" s="59">
        <f t="shared" si="20"/>
        <v>341.22179660589427</v>
      </c>
      <c r="EO26" s="59">
        <f ca="1">AVERAGE(OFFSET($EN$3,0,0,'Données projet'!$E$15+1,1))-AVERAGE(OFFSET($H$3,0,0,'Données projet'!$E$15+1,1))</f>
        <v>217.10418688911096</v>
      </c>
      <c r="EP26" s="59">
        <f t="shared" si="46"/>
        <v>105.90631421515786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121</v>
      </c>
      <c r="L27" s="12">
        <f>VLOOKUP(A27,'Données projet'!$A$35:$I$55,9,0)</f>
        <v>11</v>
      </c>
      <c r="M27" s="12">
        <f t="array" ref="M27">INDEX(L:L,MIN(IF(ISNUMBER(L27:L223),ROW(L27:L223),"")))</f>
        <v>11</v>
      </c>
      <c r="N27" s="13">
        <f>IF('Données projet'!$A$36&gt;35,N26+M27-V26,IF(A27&lt;'Données projet'!$A$36,$K$205^A27,IF(A27='Données projet'!$A$36,'Données projet'!$B$36,N26+M27-V26)))</f>
        <v>121</v>
      </c>
      <c r="O27" s="13">
        <f>N27*VLOOKUP('Données projet'!$B$9,Paramètres!$A$1:$I$89,3,0)*VLOOKUP('Données projet'!$B$9,Paramètres!$A$1:$I$89,5,0)</f>
        <v>72.358000000000004</v>
      </c>
      <c r="P27" s="13">
        <f t="shared" si="33"/>
        <v>20.257898193815318</v>
      </c>
      <c r="Q27" s="20">
        <f t="shared" si="2"/>
        <v>161.30602268756169</v>
      </c>
      <c r="R27" s="59">
        <f t="shared" si="0"/>
        <v>447.30602268756172</v>
      </c>
      <c r="S27" s="59">
        <f ca="1">AVERAGE(OFFSET($R$3,0,0,'Données projet'!$E$9+1,1))-AVERAGE(OFFSET($H$3,0,0,'Données projet'!$E$9+1,1))</f>
        <v>145.19188637714888</v>
      </c>
      <c r="T27" s="59">
        <f t="shared" si="34"/>
        <v>169.74069292032493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20</v>
      </c>
      <c r="W27" s="16">
        <f>IF(ISNA(VLOOKUP(A27,'Données projet'!$A$35:$I$55,5,0)),0%,VLOOKUP(A27,'Données projet'!$A$35:$I$55,5,0)*VLOOKUP('Données projet'!$B$9,Paramètres!$A$1:$I$89,7,0))</f>
        <v>4.5000000000000005E-2</v>
      </c>
      <c r="X27" s="16">
        <f>IF(ISNA(VLOOKUP(A27,'Données projet'!$A$35:$I$55,6,0)),0%,VLOOKUP(A27,'Données projet'!$A$35:$I$55,6,0)*VLOOKUP('Données projet'!$B$9,Paramètres!$A$1:$I$89,7,0))</f>
        <v>0.20250000000000001</v>
      </c>
      <c r="Y27" s="16">
        <f>IF(ISNA(VLOOKUP(A27,'Données projet'!$A$35:$I$55,7,0)),0%,VLOOKUP(A27,'Données projet'!$A$35:$I$55,7,0))</f>
        <v>0.45</v>
      </c>
      <c r="Z27" s="21">
        <f>EXP(-LN(2)/35)*Z26+(1-EXP(-LN(2)/35))/(LN(2)/35)*V27*W27*VLOOKUP('Données projet'!$B$9,Paramètres!$A$1:$I$89,3,0)*0.475*44/12</f>
        <v>0.71395698991756051</v>
      </c>
      <c r="AA27" s="21">
        <f>EXP(-LN(2)/25)*AA26+(1-EXP(-LN(2)/25))/(LN(2)/25)*Calculateur!V27*Calculateur!X27*VLOOKUP('Données projet'!$B$9,Paramètres!$A$1:$I$89,3,0)*0.475*44/12</f>
        <v>6.5672383173358622</v>
      </c>
      <c r="AB27" s="21">
        <f>EXP(-LN(2)/2)*AB26+(1-EXP(-LN(2)/2))/(LN(2)/2)*V27*Y27*VLOOKUP('Données projet'!$B$9,Paramètres!$A$1:$I$89,3,0)*0.475*44/12</f>
        <v>7.4478240531290929</v>
      </c>
      <c r="AC27" s="22">
        <f t="shared" si="3"/>
        <v>14.729019360382516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11.8</v>
      </c>
      <c r="AI27" s="13">
        <f>IF('Données projet'!$A$62&gt;35,AI26+AH27-AQ26,IF(A27&lt;'Données projet'!$A$62,$AF$205^A27,IF(A27='Données projet'!$A$62,'Données projet'!$B$62,AI26+AH27-AQ26)))</f>
        <v>129.20000000000002</v>
      </c>
      <c r="AJ27" s="13">
        <f>AI27*VLOOKUP('Données projet'!$B$10,Paramètres!$A$1:$I$89,3,0)*VLOOKUP('Données projet'!$B$10,Paramètres!$A$1:$I$89,5,0)</f>
        <v>112.86912000000004</v>
      </c>
      <c r="AK27" s="13">
        <f t="shared" si="35"/>
        <v>30.00595528244644</v>
      </c>
      <c r="AL27" s="20">
        <f t="shared" si="4"/>
        <v>248.84075611692765</v>
      </c>
      <c r="AM27" s="59">
        <f t="shared" si="5"/>
        <v>534.84075611692765</v>
      </c>
      <c r="AN27" s="59">
        <f ca="1">AVERAGE(OFFSET($AM$3,0,0,'Données projet'!$E$10+1,1))-AVERAGE(OFFSET($H$3,0,0,'Données projet'!$E$10+1,1))</f>
        <v>254.24072778190163</v>
      </c>
      <c r="AO27" s="59">
        <f t="shared" si="36"/>
        <v>356.78706780980383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4.6276451205504729</v>
      </c>
      <c r="AW27" s="21">
        <f>EXP(-LN(2)/2)*AW26+(1-EXP(-LN(2)/2))/(LN(2)/2)*AQ27*AT27*VLOOKUP('Données projet'!$B$10,Paramètres!$A$1:$I$89,3,0)*0.475*44/12</f>
        <v>2.5758284768727111</v>
      </c>
      <c r="AX27" s="21">
        <f t="shared" si="6"/>
        <v>7.2034735974231836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</v>
      </c>
      <c r="BD27" s="12">
        <f>IF('Données projet'!$A$88&gt;35,BD26+BC27-BL26,IF(A27&lt;'Données projet'!$A$88,$BA$205^A27,IF(A27='Données projet'!$A$88,'Données projet'!$B$88,BD26+BC27-BL26)))</f>
        <v>140</v>
      </c>
      <c r="BE27" s="13">
        <f>BD27*VLOOKUP('Données projet'!$B$11,Paramètres!$A$1:$I$89,3,0)*VLOOKUP('Données projet'!$B$11,Paramètres!$A$1:$I$89,5,0)</f>
        <v>83.720000000000013</v>
      </c>
      <c r="BF27" s="13">
        <f t="shared" si="37"/>
        <v>23.044323503842598</v>
      </c>
      <c r="BG27" s="20">
        <f t="shared" si="7"/>
        <v>185.9478634358592</v>
      </c>
      <c r="BH27" s="59">
        <f t="shared" si="8"/>
        <v>471.94786343585918</v>
      </c>
      <c r="BI27" s="59">
        <f ca="1">AVERAGE(OFFSET($BH$3,0,0,'Données projet'!$E$11+1,1))-AVERAGE(OFFSET($H$3,0,0,'Données projet'!$E$11+1,1))</f>
        <v>246.59447135626942</v>
      </c>
      <c r="BJ27" s="59">
        <f t="shared" si="38"/>
        <v>262.00382544285367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0.47737003652190096</v>
      </c>
      <c r="BR27" s="21">
        <f>EXP(-LN(2)/2)*BR26+(1-EXP(-LN(2)/2))/(LN(2)/2)*BL27*BO27*VLOOKUP('Données projet'!$B$11,Paramètres!$A$1:$I$89,3,0)*0.475*44/12</f>
        <v>0.25390309272031009</v>
      </c>
      <c r="BS27" s="22">
        <f t="shared" si="9"/>
        <v>0.731273129242211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23.691305687700655</v>
      </c>
      <c r="CA27" s="13">
        <f t="shared" si="39"/>
        <v>7.5533377044018843</v>
      </c>
      <c r="CB27" s="20">
        <f t="shared" si="10"/>
        <v>54.417753907911923</v>
      </c>
      <c r="CC27" s="59">
        <f t="shared" si="11"/>
        <v>340.4177539079119</v>
      </c>
      <c r="CD27" s="59">
        <f ca="1">AVERAGE(OFFSET($CC$3,0,0,'Données projet'!$E$12+1,1))-AVERAGE(OFFSET($H$3,0,0,'Données projet'!$E$12+1,1))</f>
        <v>169.62156467157178</v>
      </c>
      <c r="CE27" s="59">
        <f t="shared" si="40"/>
        <v>85.631326020763254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12.2</v>
      </c>
      <c r="CT27" s="12">
        <f>IF('Données projet'!$A$140&gt;35,CT26+CS27-DB26,IF(A27&lt;'Données projet'!$A$140,$CQ$205^A27,IF(A27='Données projet'!$A$140,'Données projet'!$B$140,CT26+CS27-DB26)))</f>
        <v>100.80000000000001</v>
      </c>
      <c r="CU27" s="17">
        <f>CT27*VLOOKUP('Données projet'!$B$13,Paramètres!$A$1:$I$89,3,0)*VLOOKUP('Données projet'!$B$13,Paramètres!$A$1:$I$89,5,0)</f>
        <v>81.768960000000021</v>
      </c>
      <c r="CV27" s="13">
        <f t="shared" si="41"/>
        <v>22.569151954451023</v>
      </c>
      <c r="CW27" s="20">
        <f t="shared" si="13"/>
        <v>181.72221165400222</v>
      </c>
      <c r="CX27" s="59">
        <f t="shared" si="14"/>
        <v>467.72221165400219</v>
      </c>
      <c r="CY27" s="59">
        <f ca="1">AVERAGE(OFFSET($CX$3,0,0,'Données projet'!$E$13+1,1))-AVERAGE(OFFSET($H$3,0,0,'Données projet'!$E$13+1,1))</f>
        <v>234.59657655504111</v>
      </c>
      <c r="CZ27" s="59">
        <f t="shared" si="42"/>
        <v>285.10598666479211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3.6955051748395915</v>
      </c>
      <c r="DH27" s="21">
        <f>EXP(-LN(2)/2)*DH26+(1-EXP(-LN(2)/2))/(LN(2)/2)*DB27*DE27*VLOOKUP('Données projet'!$B$13,Paramètres!$A$1:$I$89,3,0)*0.475*44/12</f>
        <v>2.0569830265312077</v>
      </c>
      <c r="DI27" s="22">
        <f t="shared" si="15"/>
        <v>5.7524882013707987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1.2</v>
      </c>
      <c r="DO27" s="12">
        <f>IF('Données projet'!$A$166&gt;35,DO26+DN27-DW26,IF(A27&lt;'Données projet'!$A$166,$DL$205^A27,IF(A27='Données projet'!$A$166,'Données projet'!$B$166,DO26+DN27-DW26)))</f>
        <v>26.184024853780567</v>
      </c>
      <c r="DP27" s="17">
        <f>DO27*VLOOKUP('Données projet'!$B$14,Paramètres!$A$1:$I$89,3,0)*VLOOKUP('Données projet'!$B$14,Paramètres!$A$1:$I$89,5,0)</f>
        <v>25.325188838576565</v>
      </c>
      <c r="DQ27" s="13">
        <f t="shared" si="43"/>
        <v>8.0118207441534324</v>
      </c>
      <c r="DR27" s="20">
        <f t="shared" si="16"/>
        <v>58.061958356588072</v>
      </c>
      <c r="DS27" s="59">
        <f t="shared" si="17"/>
        <v>344.06195835658809</v>
      </c>
      <c r="DT27" s="59">
        <f ca="1">AVERAGE(OFFSET($DS$3,0,0,'Données projet'!$E$14+1,1))-AVERAGE(OFFSET($H$3,0,0,'Données projet'!$E$14+1,1))</f>
        <v>186.90852124957956</v>
      </c>
      <c r="DU27" s="59">
        <f t="shared" si="44"/>
        <v>93.013797128776446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1.2</v>
      </c>
      <c r="EJ27" s="12">
        <f>IF('Données projet'!$A$192&gt;35,EJ26+EI27-ER26,IF(A27&lt;'Données projet'!$A$192,$EG$205^A27,IF(A27='Données projet'!$A$192,'Données projet'!$B$192,EJ26+EI27-ER26)))</f>
        <v>26.184024853780567</v>
      </c>
      <c r="EK27" s="17">
        <f>EJ27*VLOOKUP('Données projet'!$B$15,Paramètres!$A$1:$I$89,3,0)*VLOOKUP('Données projet'!$B$15,Paramètres!$A$1:$I$89,5,0)</f>
        <v>28.184484352609399</v>
      </c>
      <c r="EL27" s="13">
        <f t="shared" si="45"/>
        <v>8.8060466863244411</v>
      </c>
      <c r="EM27" s="20">
        <f t="shared" si="19"/>
        <v>64.425174892809764</v>
      </c>
      <c r="EN27" s="59">
        <f t="shared" si="20"/>
        <v>350.42517489280976</v>
      </c>
      <c r="EO27" s="59">
        <f ca="1">AVERAGE(OFFSET($EN$3,0,0,'Données projet'!$E$15+1,1))-AVERAGE(OFFSET($H$3,0,0,'Données projet'!$E$15+1,1))</f>
        <v>217.10418688911096</v>
      </c>
      <c r="EP27" s="59">
        <f t="shared" si="46"/>
        <v>105.90631421515786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11.25</v>
      </c>
      <c r="N28" s="13">
        <f>IF('Données projet'!$A$36&gt;35,N27+M28-V27,IF(A28&lt;'Données projet'!$A$36,$K$205^A28,IF(A28='Données projet'!$A$36,'Données projet'!$B$36,N27+M28-V27)))</f>
        <v>112.25</v>
      </c>
      <c r="O28" s="13">
        <f>N28*VLOOKUP('Données projet'!$B$9,Paramètres!$A$1:$I$89,3,0)*VLOOKUP('Données projet'!$B$9,Paramètres!$A$1:$I$89,5,0)</f>
        <v>67.125500000000002</v>
      </c>
      <c r="P28" s="13">
        <f t="shared" si="33"/>
        <v>18.957885224346715</v>
      </c>
      <c r="Q28" s="20">
        <f t="shared" si="2"/>
        <v>149.92856259907052</v>
      </c>
      <c r="R28" s="59">
        <f t="shared" si="0"/>
        <v>437.15078482129275</v>
      </c>
      <c r="S28" s="59">
        <f ca="1">AVERAGE(OFFSET($R$3,0,0,'Données projet'!$E$9+1,1))-AVERAGE(OFFSET($H$3,0,0,'Données projet'!$E$9+1,1))</f>
        <v>145.19188637714888</v>
      </c>
      <c r="T28" s="59">
        <f t="shared" si="34"/>
        <v>169.74069292032493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0.69995672881604187</v>
      </c>
      <c r="AA28" s="21">
        <f>EXP(-LN(2)/25)*AA27+(1-EXP(-LN(2)/25))/(LN(2)/25)*Calculateur!V28*Calculateur!X28*VLOOKUP('Données projet'!$B$9,Paramètres!$A$1:$I$89,3,0)*0.475*44/12</f>
        <v>6.3876568401922595</v>
      </c>
      <c r="AB28" s="21">
        <f>EXP(-LN(2)/2)*AB27+(1-EXP(-LN(2)/2))/(LN(2)/2)*V28*Y28*VLOOKUP('Données projet'!$B$9,Paramètres!$A$1:$I$89,3,0)*0.475*44/12</f>
        <v>5.2664068930518591</v>
      </c>
      <c r="AC28" s="22">
        <f t="shared" si="3"/>
        <v>12.354020462060159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11.8</v>
      </c>
      <c r="AI28" s="13">
        <f>IF('Données projet'!$A$62&gt;35,AI27+AH28-AQ27,IF(A28&lt;'Données projet'!$A$62,$AF$205^A28,IF(A28='Données projet'!$A$62,'Données projet'!$B$62,AI27+AH28-AQ27)))</f>
        <v>141.00000000000003</v>
      </c>
      <c r="AJ28" s="13">
        <f>AI28*VLOOKUP('Données projet'!$B$10,Paramètres!$A$1:$I$89,3,0)*VLOOKUP('Données projet'!$B$10,Paramètres!$A$1:$I$89,5,0)</f>
        <v>123.17760000000004</v>
      </c>
      <c r="AK28" s="13">
        <f t="shared" si="35"/>
        <v>32.414991240570451</v>
      </c>
      <c r="AL28" s="20">
        <f t="shared" si="4"/>
        <v>270.99042974399362</v>
      </c>
      <c r="AM28" s="59">
        <f t="shared" si="5"/>
        <v>558.21265196621584</v>
      </c>
      <c r="AN28" s="59">
        <f ca="1">AVERAGE(OFFSET($AM$3,0,0,'Données projet'!$E$10+1,1))-AVERAGE(OFFSET($H$3,0,0,'Données projet'!$E$10+1,1))</f>
        <v>254.24072778190163</v>
      </c>
      <c r="AO28" s="59">
        <f t="shared" si="36"/>
        <v>356.78706780980383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4.50110192137174</v>
      </c>
      <c r="AW28" s="21">
        <f>EXP(-LN(2)/2)*AW27+(1-EXP(-LN(2)/2))/(LN(2)/2)*AQ28*AT28*VLOOKUP('Données projet'!$B$10,Paramètres!$A$1:$I$89,3,0)*0.475*44/12</f>
        <v>1.8213857831701104</v>
      </c>
      <c r="AX28" s="21">
        <f t="shared" si="6"/>
        <v>6.3224877045418504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13</v>
      </c>
      <c r="BD28" s="12">
        <f>IF('Données projet'!$A$88&gt;35,BD27+BC28-BL27,IF(A28&lt;'Données projet'!$A$88,$BA$205^A28,IF(A28='Données projet'!$A$88,'Données projet'!$B$88,BD27+BC28-BL27)))</f>
        <v>153</v>
      </c>
      <c r="BE28" s="13">
        <f>BD28*VLOOKUP('Données projet'!$B$11,Paramètres!$A$1:$I$89,3,0)*VLOOKUP('Données projet'!$B$11,Paramètres!$A$1:$I$89,5,0)</f>
        <v>91.494000000000014</v>
      </c>
      <c r="BF28" s="13">
        <f t="shared" si="37"/>
        <v>24.925195840896542</v>
      </c>
      <c r="BG28" s="20">
        <f t="shared" si="7"/>
        <v>202.76343275622813</v>
      </c>
      <c r="BH28" s="59">
        <f t="shared" si="8"/>
        <v>489.98565497845038</v>
      </c>
      <c r="BI28" s="59">
        <f ca="1">AVERAGE(OFFSET($BH$3,0,0,'Données projet'!$E$11+1,1))-AVERAGE(OFFSET($H$3,0,0,'Données projet'!$E$11+1,1))</f>
        <v>246.59447135626942</v>
      </c>
      <c r="BJ28" s="59">
        <f t="shared" si="38"/>
        <v>262.00382544285367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0.4643163277694104</v>
      </c>
      <c r="BR28" s="21">
        <f>EXP(-LN(2)/2)*BR27+(1-EXP(-LN(2)/2))/(LN(2)/2)*BL28*BO28*VLOOKUP('Données projet'!$B$11,Paramètres!$A$1:$I$89,3,0)*0.475*44/12</f>
        <v>0.17953659862676799</v>
      </c>
      <c r="BS28" s="22">
        <f t="shared" si="9"/>
        <v>0.64385292639617842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27.143999999999998</v>
      </c>
      <c r="CA28" s="13">
        <f t="shared" si="39"/>
        <v>8.5181694620316346</v>
      </c>
      <c r="CB28" s="20">
        <f t="shared" si="10"/>
        <v>62.111611813038422</v>
      </c>
      <c r="CC28" s="59">
        <f t="shared" si="11"/>
        <v>349.33383403526068</v>
      </c>
      <c r="CD28" s="59">
        <f ca="1">AVERAGE(OFFSET($CC$3,0,0,'Données projet'!$E$12+1,1))-AVERAGE(OFFSET($H$3,0,0,'Données projet'!$E$12+1,1))</f>
        <v>169.62156467157178</v>
      </c>
      <c r="CE28" s="59">
        <f t="shared" si="40"/>
        <v>85.631326020763254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12.2</v>
      </c>
      <c r="CT28" s="12">
        <f>IF('Données projet'!$A$140&gt;35,CT27+CS28-DB27,IF(A28&lt;'Données projet'!$A$140,$CQ$205^A28,IF(A28='Données projet'!$A$140,'Données projet'!$B$140,CT27+CS28-DB27)))</f>
        <v>113.00000000000001</v>
      </c>
      <c r="CU28" s="17">
        <f>CT28*VLOOKUP('Données projet'!$B$13,Paramètres!$A$1:$I$89,3,0)*VLOOKUP('Données projet'!$B$13,Paramètres!$A$1:$I$89,5,0)</f>
        <v>91.665600000000026</v>
      </c>
      <c r="CV28" s="13">
        <f t="shared" si="41"/>
        <v>24.966497888207439</v>
      </c>
      <c r="CW28" s="20">
        <f t="shared" si="13"/>
        <v>203.1342371552947</v>
      </c>
      <c r="CX28" s="59">
        <f t="shared" si="14"/>
        <v>490.3564593775169</v>
      </c>
      <c r="CY28" s="59">
        <f ca="1">AVERAGE(OFFSET($CX$3,0,0,'Données projet'!$E$13+1,1))-AVERAGE(OFFSET($H$3,0,0,'Données projet'!$E$13+1,1))</f>
        <v>234.59657655504111</v>
      </c>
      <c r="CZ28" s="59">
        <f t="shared" si="42"/>
        <v>285.10598666479211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3.5944513914954319</v>
      </c>
      <c r="DH28" s="21">
        <f>EXP(-LN(2)/2)*DH27+(1-EXP(-LN(2)/2))/(LN(2)/2)*DB28*DE28*VLOOKUP('Données projet'!$B$13,Paramètres!$A$1:$I$89,3,0)*0.475*44/12</f>
        <v>1.454506646845845</v>
      </c>
      <c r="DI28" s="22">
        <f t="shared" si="15"/>
        <v>5.0489580383412767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30</v>
      </c>
      <c r="DM28" s="12">
        <f>VLOOKUP(A28,'Données projet'!$A$165:$I$185,9,0)</f>
        <v>1.2</v>
      </c>
      <c r="DN28" s="12">
        <f t="array" ref="DN28">INDEX(DM:DM,MIN(IF(ISNUMBER(DM28:DM224),ROW(DM28:DM224),"")))</f>
        <v>1.2</v>
      </c>
      <c r="DO28" s="12">
        <f>IF('Données projet'!$A$166&gt;35,DO27+DN28-DW27,IF(A28&lt;'Données projet'!$A$166,$DL$205^A28,IF(A28='Données projet'!$A$166,'Données projet'!$B$166,DO27+DN28-DW27)))</f>
        <v>30</v>
      </c>
      <c r="DP28" s="17">
        <f>DO28*VLOOKUP('Données projet'!$B$14,Paramètres!$A$1:$I$89,3,0)*VLOOKUP('Données projet'!$B$14,Paramètres!$A$1:$I$89,5,0)</f>
        <v>29.016000000000002</v>
      </c>
      <c r="DQ28" s="13">
        <f t="shared" si="43"/>
        <v>9.0352172071357728</v>
      </c>
      <c r="DR28" s="20">
        <f t="shared" si="16"/>
        <v>66.272536635761469</v>
      </c>
      <c r="DS28" s="59">
        <f t="shared" si="17"/>
        <v>353.4947588579837</v>
      </c>
      <c r="DT28" s="59">
        <f ca="1">AVERAGE(OFFSET($DS$3,0,0,'Données projet'!$E$14+1,1))-AVERAGE(OFFSET($H$3,0,0,'Données projet'!$E$14+1,1))</f>
        <v>186.90852124957956</v>
      </c>
      <c r="DU28" s="59">
        <f t="shared" si="44"/>
        <v>93.013797128776446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30</v>
      </c>
      <c r="EH28" s="12">
        <f>VLOOKUP(A28,'Données projet'!$A$191:$I$211,9,0)</f>
        <v>1.2</v>
      </c>
      <c r="EI28" s="12">
        <f t="array" ref="EI28">INDEX(EH:EH,MIN(IF(ISNUMBER(EH28:EH224),ROW(EH28:EH224),"")))</f>
        <v>1.2</v>
      </c>
      <c r="EJ28" s="12">
        <f>IF('Données projet'!$A$192&gt;35,EJ27+EI28-ER27,IF(A28&lt;'Données projet'!$A$192,$EG$205^A28,IF(A28='Données projet'!$A$192,'Données projet'!$B$192,EJ27+EI28-ER27)))</f>
        <v>30</v>
      </c>
      <c r="EK28" s="17">
        <f>EJ28*VLOOKUP('Données projet'!$B$15,Paramètres!$A$1:$I$89,3,0)*VLOOKUP('Données projet'!$B$15,Paramètres!$A$1:$I$89,5,0)</f>
        <v>32.292000000000002</v>
      </c>
      <c r="EL28" s="13">
        <f t="shared" si="45"/>
        <v>9.9308942483743401</v>
      </c>
      <c r="EM28" s="20">
        <f t="shared" si="19"/>
        <v>73.538207482585321</v>
      </c>
      <c r="EN28" s="59">
        <f t="shared" si="20"/>
        <v>360.76042970480756</v>
      </c>
      <c r="EO28" s="59">
        <f ca="1">AVERAGE(OFFSET($EN$3,0,0,'Données projet'!$E$15+1,1))-AVERAGE(OFFSET($H$3,0,0,'Données projet'!$E$15+1,1))</f>
        <v>217.10418688911096</v>
      </c>
      <c r="EP28" s="59">
        <f t="shared" si="46"/>
        <v>105.90631421515786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11.25</v>
      </c>
      <c r="N29" s="13">
        <f>IF('Données projet'!$A$36&gt;35,N28+M29-V28,IF(A29&lt;'Données projet'!$A$36,$K$205^A29,IF(A29='Données projet'!$A$36,'Données projet'!$B$36,N28+M29-V28)))</f>
        <v>123.5</v>
      </c>
      <c r="O29" s="13">
        <f>N29*VLOOKUP('Données projet'!$B$9,Paramètres!$A$1:$I$89,3,0)*VLOOKUP('Données projet'!$B$9,Paramètres!$A$1:$I$89,5,0)</f>
        <v>73.853000000000009</v>
      </c>
      <c r="P29" s="13">
        <f t="shared" si="33"/>
        <v>20.627289068131414</v>
      </c>
      <c r="Q29" s="20">
        <f t="shared" si="2"/>
        <v>164.55317012699555</v>
      </c>
      <c r="R29" s="59">
        <f t="shared" si="0"/>
        <v>452.99761457144001</v>
      </c>
      <c r="S29" s="59">
        <f ca="1">AVERAGE(OFFSET($R$3,0,0,'Données projet'!$E$9+1,1))-AVERAGE(OFFSET($H$3,0,0,'Données projet'!$E$9+1,1))</f>
        <v>145.19188637714888</v>
      </c>
      <c r="T29" s="59">
        <f t="shared" si="34"/>
        <v>169.74069292032493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0.68623100429540784</v>
      </c>
      <c r="AA29" s="21">
        <f>EXP(-LN(2)/25)*AA28+(1-EXP(-LN(2)/25))/(LN(2)/25)*Calculateur!V29*Calculateur!X29*VLOOKUP('Données projet'!$B$9,Paramètres!$A$1:$I$89,3,0)*0.475*44/12</f>
        <v>6.2129860279849281</v>
      </c>
      <c r="AB29" s="21">
        <f>EXP(-LN(2)/2)*AB28+(1-EXP(-LN(2)/2))/(LN(2)/2)*V29*Y29*VLOOKUP('Données projet'!$B$9,Paramètres!$A$1:$I$89,3,0)*0.475*44/12</f>
        <v>3.7239120265645469</v>
      </c>
      <c r="AC29" s="22">
        <f t="shared" si="3"/>
        <v>10.623129058844883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11.8</v>
      </c>
      <c r="AI29" s="13">
        <f>IF('Données projet'!$A$62&gt;35,AI28+AH29-AQ28,IF(A29&lt;'Données projet'!$A$62,$AF$205^A29,IF(A29='Données projet'!$A$62,'Données projet'!$B$62,AI28+AH29-AQ28)))</f>
        <v>152.80000000000004</v>
      </c>
      <c r="AJ29" s="13">
        <f>AI29*VLOOKUP('Données projet'!$B$10,Paramètres!$A$1:$I$89,3,0)*VLOOKUP('Données projet'!$B$10,Paramètres!$A$1:$I$89,5,0)</f>
        <v>133.48608000000004</v>
      </c>
      <c r="AK29" s="13">
        <f t="shared" si="35"/>
        <v>34.800645252320514</v>
      </c>
      <c r="AL29" s="20">
        <f t="shared" si="4"/>
        <v>293.09937981445825</v>
      </c>
      <c r="AM29" s="59">
        <f t="shared" si="5"/>
        <v>581.54382425890276</v>
      </c>
      <c r="AN29" s="59">
        <f ca="1">AVERAGE(OFFSET($AM$3,0,0,'Données projet'!$E$10+1,1))-AVERAGE(OFFSET($H$3,0,0,'Données projet'!$E$10+1,1))</f>
        <v>254.24072778190163</v>
      </c>
      <c r="AO29" s="59">
        <f t="shared" si="36"/>
        <v>356.78706780980383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4.3780190526291669</v>
      </c>
      <c r="AW29" s="21">
        <f>EXP(-LN(2)/2)*AW28+(1-EXP(-LN(2)/2))/(LN(2)/2)*AQ29*AT29*VLOOKUP('Données projet'!$B$10,Paramètres!$A$1:$I$89,3,0)*0.475*44/12</f>
        <v>1.2879142384363558</v>
      </c>
      <c r="AX29" s="21">
        <f t="shared" si="6"/>
        <v>5.6659332910655227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</v>
      </c>
      <c r="BD29" s="12">
        <f>IF('Données projet'!$A$88&gt;35,BD28+BC29-BL28,IF(A29&lt;'Données projet'!$A$88,$BA$205^A29,IF(A29='Données projet'!$A$88,'Données projet'!$B$88,BD28+BC29-BL28)))</f>
        <v>166</v>
      </c>
      <c r="BE29" s="13">
        <f>BD29*VLOOKUP('Données projet'!$B$11,Paramètres!$A$1:$I$89,3,0)*VLOOKUP('Données projet'!$B$11,Paramètres!$A$1:$I$89,5,0)</f>
        <v>99.268000000000001</v>
      </c>
      <c r="BF29" s="13">
        <f t="shared" si="37"/>
        <v>26.78753414535981</v>
      </c>
      <c r="BG29" s="20">
        <f t="shared" si="7"/>
        <v>219.54672196983498</v>
      </c>
      <c r="BH29" s="59">
        <f t="shared" si="8"/>
        <v>507.99116641427941</v>
      </c>
      <c r="BI29" s="59">
        <f ca="1">AVERAGE(OFFSET($BH$3,0,0,'Données projet'!$E$11+1,1))-AVERAGE(OFFSET($H$3,0,0,'Données projet'!$E$11+1,1))</f>
        <v>246.59447135626942</v>
      </c>
      <c r="BJ29" s="59">
        <f t="shared" si="38"/>
        <v>262.00382544285367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0.45161957336922143</v>
      </c>
      <c r="BR29" s="21">
        <f>EXP(-LN(2)/2)*BR28+(1-EXP(-LN(2)/2))/(LN(2)/2)*BL29*BO29*VLOOKUP('Données projet'!$B$11,Paramètres!$A$1:$I$89,3,0)*0.475*44/12</f>
        <v>0.12695154636015504</v>
      </c>
      <c r="BS29" s="22">
        <f t="shared" si="9"/>
        <v>0.57857111972937647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31.487039999999997</v>
      </c>
      <c r="CA29" s="13">
        <f t="shared" si="39"/>
        <v>9.7118363356135369</v>
      </c>
      <c r="CB29" s="20">
        <f t="shared" si="10"/>
        <v>71.754709617860229</v>
      </c>
      <c r="CC29" s="59">
        <f t="shared" si="11"/>
        <v>360.19915406230467</v>
      </c>
      <c r="CD29" s="59">
        <f ca="1">AVERAGE(OFFSET($CC$3,0,0,'Données projet'!$E$12+1,1))-AVERAGE(OFFSET($H$3,0,0,'Données projet'!$E$12+1,1))</f>
        <v>169.62156467157178</v>
      </c>
      <c r="CE29" s="59">
        <f t="shared" si="40"/>
        <v>85.631326020763254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12.2</v>
      </c>
      <c r="CT29" s="12">
        <f>IF('Données projet'!$A$140&gt;35,CT28+CS29-DB28,IF(A29&lt;'Données projet'!$A$140,$CQ$205^A29,IF(A29='Données projet'!$A$140,'Données projet'!$B$140,CT28+CS29-DB28)))</f>
        <v>125.20000000000002</v>
      </c>
      <c r="CU29" s="17">
        <f>CT29*VLOOKUP('Données projet'!$B$13,Paramètres!$A$1:$I$89,3,0)*VLOOKUP('Données projet'!$B$13,Paramètres!$A$1:$I$89,5,0)</f>
        <v>101.56224000000003</v>
      </c>
      <c r="CV29" s="13">
        <f t="shared" si="41"/>
        <v>27.333843239980084</v>
      </c>
      <c r="CW29" s="20">
        <f t="shared" si="13"/>
        <v>224.49401164296532</v>
      </c>
      <c r="CX29" s="59">
        <f t="shared" si="14"/>
        <v>512.9384560874098</v>
      </c>
      <c r="CY29" s="59">
        <f ca="1">AVERAGE(OFFSET($CX$3,0,0,'Données projet'!$E$13+1,1))-AVERAGE(OFFSET($H$3,0,0,'Données projet'!$E$13+1,1))</f>
        <v>234.59657655504111</v>
      </c>
      <c r="CZ29" s="59">
        <f t="shared" si="42"/>
        <v>285.10598666479211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3.4961609291710061</v>
      </c>
      <c r="DH29" s="21">
        <f>EXP(-LN(2)/2)*DH28+(1-EXP(-LN(2)/2))/(LN(2)/2)*DB29*DE29*VLOOKUP('Données projet'!$B$13,Paramètres!$A$1:$I$89,3,0)*0.475*44/12</f>
        <v>1.0284915132656038</v>
      </c>
      <c r="DI29" s="22">
        <f t="shared" si="15"/>
        <v>4.5246524424366097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4.8</v>
      </c>
      <c r="DO29" s="12">
        <f>IF('Données projet'!$A$166&gt;35,DO28+DN29-DW28,IF(A29&lt;'Données projet'!$A$166,$DL$205^A29,IF(A29='Données projet'!$A$166,'Données projet'!$B$166,DO28+DN29-DW28)))</f>
        <v>34.799999999999997</v>
      </c>
      <c r="DP29" s="17">
        <f>DO29*VLOOKUP('Données projet'!$B$14,Paramètres!$A$1:$I$89,3,0)*VLOOKUP('Données projet'!$B$14,Paramètres!$A$1:$I$89,5,0)</f>
        <v>33.658559999999994</v>
      </c>
      <c r="DQ29" s="13">
        <f t="shared" si="43"/>
        <v>10.301338939492439</v>
      </c>
      <c r="DR29" s="20">
        <f t="shared" si="16"/>
        <v>76.563490652949312</v>
      </c>
      <c r="DS29" s="59">
        <f t="shared" si="17"/>
        <v>365.00793509739378</v>
      </c>
      <c r="DT29" s="59">
        <f ca="1">AVERAGE(OFFSET($DS$3,0,0,'Données projet'!$E$14+1,1))-AVERAGE(OFFSET($H$3,0,0,'Données projet'!$E$14+1,1))</f>
        <v>186.90852124957956</v>
      </c>
      <c r="DU29" s="59">
        <f t="shared" si="44"/>
        <v>93.013797128776446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4.8</v>
      </c>
      <c r="EJ29" s="12">
        <f>IF('Données projet'!$A$192&gt;35,EJ28+EI29-ER28,IF(A29&lt;'Données projet'!$A$192,$EG$205^A29,IF(A29='Données projet'!$A$192,'Données projet'!$B$192,EJ28+EI29-ER28)))</f>
        <v>34.799999999999997</v>
      </c>
      <c r="EK29" s="17">
        <f>EJ29*VLOOKUP('Données projet'!$B$15,Paramètres!$A$1:$I$89,3,0)*VLOOKUP('Données projet'!$B$15,Paramètres!$A$1:$I$89,5,0)</f>
        <v>37.45872</v>
      </c>
      <c r="EL29" s="13">
        <f t="shared" si="45"/>
        <v>11.322528864493165</v>
      </c>
      <c r="EM29" s="20">
        <f t="shared" si="19"/>
        <v>84.960675105658922</v>
      </c>
      <c r="EN29" s="59">
        <f t="shared" si="20"/>
        <v>373.40511955010339</v>
      </c>
      <c r="EO29" s="59">
        <f ca="1">AVERAGE(OFFSET($EN$3,0,0,'Données projet'!$E$15+1,1))-AVERAGE(OFFSET($H$3,0,0,'Données projet'!$E$15+1,1))</f>
        <v>217.10418688911096</v>
      </c>
      <c r="EP29" s="59">
        <f t="shared" si="46"/>
        <v>105.90631421515786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11.25</v>
      </c>
      <c r="N30" s="13">
        <f>IF('Données projet'!$A$36&gt;35,N29+M30-V29,IF(A30&lt;'Données projet'!$A$36,$K$205^A30,IF(A30='Données projet'!$A$36,'Données projet'!$B$36,N29+M30-V29)))</f>
        <v>134.75</v>
      </c>
      <c r="O30" s="13">
        <f>N30*VLOOKUP('Données projet'!$B$9,Paramètres!$A$1:$I$89,3,0)*VLOOKUP('Données projet'!$B$9,Paramètres!$A$1:$I$89,5,0)</f>
        <v>80.580500000000001</v>
      </c>
      <c r="P30" s="13">
        <f t="shared" si="33"/>
        <v>22.279059616532283</v>
      </c>
      <c r="Q30" s="20">
        <f t="shared" si="2"/>
        <v>179.14706633212708</v>
      </c>
      <c r="R30" s="59">
        <f t="shared" si="0"/>
        <v>468.81373299879374</v>
      </c>
      <c r="S30" s="59">
        <f ca="1">AVERAGE(OFFSET($R$3,0,0,'Données projet'!$E$9+1,1))-AVERAGE(OFFSET($H$3,0,0,'Données projet'!$E$9+1,1))</f>
        <v>145.19188637714888</v>
      </c>
      <c r="T30" s="59">
        <f t="shared" si="34"/>
        <v>169.74069292032493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0.67277443286075822</v>
      </c>
      <c r="AA30" s="21">
        <f>EXP(-LN(2)/25)*AA29+(1-EXP(-LN(2)/25))/(LN(2)/25)*Calculateur!V30*Calculateur!X30*VLOOKUP('Données projet'!$B$9,Paramètres!$A$1:$I$89,3,0)*0.475*44/12</f>
        <v>6.0430915983229445</v>
      </c>
      <c r="AB30" s="21">
        <f>EXP(-LN(2)/2)*AB29+(1-EXP(-LN(2)/2))/(LN(2)/2)*V30*Y30*VLOOKUP('Données projet'!$B$9,Paramètres!$A$1:$I$89,3,0)*0.475*44/12</f>
        <v>2.63320344652593</v>
      </c>
      <c r="AC30" s="22">
        <f t="shared" si="3"/>
        <v>9.3490694777096337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11.8</v>
      </c>
      <c r="AI30" s="13">
        <f>IF('Données projet'!$A$62&gt;35,AI29+AH30-AQ29,IF(A30&lt;'Données projet'!$A$62,$AF$205^A30,IF(A30='Données projet'!$A$62,'Données projet'!$B$62,AI29+AH30-AQ29)))</f>
        <v>164.60000000000005</v>
      </c>
      <c r="AJ30" s="13">
        <f>AI30*VLOOKUP('Données projet'!$B$10,Paramètres!$A$1:$I$89,3,0)*VLOOKUP('Données projet'!$B$10,Paramètres!$A$1:$I$89,5,0)</f>
        <v>143.79456000000005</v>
      </c>
      <c r="AK30" s="13">
        <f t="shared" si="35"/>
        <v>37.164928293001893</v>
      </c>
      <c r="AL30" s="20">
        <f t="shared" si="4"/>
        <v>315.17110877697831</v>
      </c>
      <c r="AM30" s="59">
        <f t="shared" si="5"/>
        <v>604.837775443645</v>
      </c>
      <c r="AN30" s="59">
        <f ca="1">AVERAGE(OFFSET($AM$3,0,0,'Données projet'!$E$10+1,1))-AVERAGE(OFFSET($H$3,0,0,'Données projet'!$E$10+1,1))</f>
        <v>254.24072778190163</v>
      </c>
      <c r="AO30" s="59">
        <f t="shared" si="36"/>
        <v>356.78706780980383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4.2583018914050061</v>
      </c>
      <c r="AW30" s="21">
        <f>EXP(-LN(2)/2)*AW29+(1-EXP(-LN(2)/2))/(LN(2)/2)*AQ30*AT30*VLOOKUP('Données projet'!$B$10,Paramètres!$A$1:$I$89,3,0)*0.475*44/12</f>
        <v>0.91069289158505529</v>
      </c>
      <c r="AX30" s="21">
        <f t="shared" si="6"/>
        <v>5.1689947829900618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</v>
      </c>
      <c r="BD30" s="12">
        <f>IF('Données projet'!$A$88&gt;35,BD29+BC30-BL29,IF(A30&lt;'Données projet'!$A$88,$BA$205^A30,IF(A30='Données projet'!$A$88,'Données projet'!$B$88,BD29+BC30-BL29)))</f>
        <v>179</v>
      </c>
      <c r="BE30" s="13">
        <f>BD30*VLOOKUP('Données projet'!$B$11,Paramètres!$A$1:$I$89,3,0)*VLOOKUP('Données projet'!$B$11,Paramètres!$A$1:$I$89,5,0)</f>
        <v>107.042</v>
      </c>
      <c r="BF30" s="13">
        <f t="shared" si="37"/>
        <v>28.632954900548082</v>
      </c>
      <c r="BG30" s="20">
        <f t="shared" si="7"/>
        <v>236.30054645178791</v>
      </c>
      <c r="BH30" s="59">
        <f t="shared" si="8"/>
        <v>525.96721311845454</v>
      </c>
      <c r="BI30" s="59">
        <f ca="1">AVERAGE(OFFSET($BH$3,0,0,'Données projet'!$E$11+1,1))-AVERAGE(OFFSET($H$3,0,0,'Données projet'!$E$11+1,1))</f>
        <v>246.59447135626942</v>
      </c>
      <c r="BJ30" s="59">
        <f t="shared" si="38"/>
        <v>262.00382544285367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0.43927001238579888</v>
      </c>
      <c r="BR30" s="21">
        <f>EXP(-LN(2)/2)*BR29+(1-EXP(-LN(2)/2))/(LN(2)/2)*BL30*BO30*VLOOKUP('Données projet'!$B$11,Paramètres!$A$1:$I$89,3,0)*0.475*44/12</f>
        <v>8.9768299313383995E-2</v>
      </c>
      <c r="BS30" s="22">
        <f t="shared" si="9"/>
        <v>0.52903831169918292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35.830079999999995</v>
      </c>
      <c r="CA30" s="13">
        <f t="shared" si="39"/>
        <v>10.886427918882697</v>
      </c>
      <c r="CB30" s="20">
        <f t="shared" si="10"/>
        <v>81.364584625387351</v>
      </c>
      <c r="CC30" s="59">
        <f t="shared" si="11"/>
        <v>371.03125129205404</v>
      </c>
      <c r="CD30" s="59">
        <f ca="1">AVERAGE(OFFSET($CC$3,0,0,'Données projet'!$E$12+1,1))-AVERAGE(OFFSET($H$3,0,0,'Données projet'!$E$12+1,1))</f>
        <v>169.62156467157178</v>
      </c>
      <c r="CE30" s="59">
        <f t="shared" si="40"/>
        <v>85.631326020763254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12.2</v>
      </c>
      <c r="CT30" s="12">
        <f>IF('Données projet'!$A$140&gt;35,CT29+CS30-DB29,IF(A30&lt;'Données projet'!$A$140,$CQ$205^A30,IF(A30='Données projet'!$A$140,'Données projet'!$B$140,CT29+CS30-DB29)))</f>
        <v>137.4</v>
      </c>
      <c r="CU30" s="17">
        <f>CT30*VLOOKUP('Données projet'!$B$13,Paramètres!$A$1:$I$89,3,0)*VLOOKUP('Données projet'!$B$13,Paramètres!$A$1:$I$89,5,0)</f>
        <v>111.45888000000002</v>
      </c>
      <c r="CV30" s="13">
        <f t="shared" si="41"/>
        <v>29.674444066375862</v>
      </c>
      <c r="CW30" s="20">
        <f t="shared" si="13"/>
        <v>245.80720608227134</v>
      </c>
      <c r="CX30" s="59">
        <f t="shared" si="14"/>
        <v>535.47387274893799</v>
      </c>
      <c r="CY30" s="59">
        <f ca="1">AVERAGE(OFFSET($CX$3,0,0,'Données projet'!$E$13+1,1))-AVERAGE(OFFSET($H$3,0,0,'Données projet'!$E$13+1,1))</f>
        <v>234.59657655504111</v>
      </c>
      <c r="CZ30" s="59">
        <f t="shared" si="42"/>
        <v>285.10598666479211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3.4005582247077122</v>
      </c>
      <c r="DH30" s="21">
        <f>EXP(-LN(2)/2)*DH29+(1-EXP(-LN(2)/2))/(LN(2)/2)*DB30*DE30*VLOOKUP('Données projet'!$B$13,Paramètres!$A$1:$I$89,3,0)*0.475*44/12</f>
        <v>0.72725332342292248</v>
      </c>
      <c r="DI30" s="22">
        <f t="shared" si="15"/>
        <v>4.1278115481306346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4.8</v>
      </c>
      <c r="DO30" s="12">
        <f>IF('Données projet'!$A$166&gt;35,DO29+DN30-DW29,IF(A30&lt;'Données projet'!$A$166,$DL$205^A30,IF(A30='Données projet'!$A$166,'Données projet'!$B$166,DO29+DN30-DW29)))</f>
        <v>39.599999999999994</v>
      </c>
      <c r="DP30" s="17">
        <f>DO30*VLOOKUP('Données projet'!$B$14,Paramètres!$A$1:$I$89,3,0)*VLOOKUP('Données projet'!$B$14,Paramètres!$A$1:$I$89,5,0)</f>
        <v>38.301119999999997</v>
      </c>
      <c r="DQ30" s="13">
        <f t="shared" si="43"/>
        <v>11.547227522927502</v>
      </c>
      <c r="DR30" s="20">
        <f t="shared" si="16"/>
        <v>86.819205269098731</v>
      </c>
      <c r="DS30" s="59">
        <f t="shared" si="17"/>
        <v>376.48587193576543</v>
      </c>
      <c r="DT30" s="59">
        <f ca="1">AVERAGE(OFFSET($DS$3,0,0,'Données projet'!$E$14+1,1))-AVERAGE(OFFSET($H$3,0,0,'Données projet'!$E$14+1,1))</f>
        <v>186.90852124957956</v>
      </c>
      <c r="DU30" s="59">
        <f t="shared" si="44"/>
        <v>93.013797128776446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4.8</v>
      </c>
      <c r="EJ30" s="12">
        <f>IF('Données projet'!$A$192&gt;35,EJ29+EI30-ER29,IF(A30&lt;'Données projet'!$A$192,$EG$205^A30,IF(A30='Données projet'!$A$192,'Données projet'!$B$192,EJ29+EI30-ER29)))</f>
        <v>39.599999999999994</v>
      </c>
      <c r="EK30" s="17">
        <f>EJ30*VLOOKUP('Données projet'!$B$15,Paramètres!$A$1:$I$89,3,0)*VLOOKUP('Données projet'!$B$15,Paramètres!$A$1:$I$89,5,0)</f>
        <v>42.62543999999999</v>
      </c>
      <c r="EL30" s="13">
        <f t="shared" si="45"/>
        <v>12.691924583898647</v>
      </c>
      <c r="EM30" s="20">
        <f t="shared" si="19"/>
        <v>96.34440998362345</v>
      </c>
      <c r="EN30" s="59">
        <f t="shared" si="20"/>
        <v>386.01107665029014</v>
      </c>
      <c r="EO30" s="59">
        <f ca="1">AVERAGE(OFFSET($EN$3,0,0,'Données projet'!$E$15+1,1))-AVERAGE(OFFSET($H$3,0,0,'Données projet'!$E$15+1,1))</f>
        <v>217.10418688911096</v>
      </c>
      <c r="EP30" s="59">
        <f t="shared" si="46"/>
        <v>105.90631421515786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146</v>
      </c>
      <c r="L31" s="12">
        <f>VLOOKUP(A31,'Données projet'!$A$35:$I$55,9,0)</f>
        <v>11.25</v>
      </c>
      <c r="M31" s="12">
        <f t="array" ref="M31">INDEX(L:L,MIN(IF(ISNUMBER(L31:L227),ROW(L31:L227),"")))</f>
        <v>11.25</v>
      </c>
      <c r="N31" s="13">
        <f>IF('Données projet'!$A$36&gt;35,N30+M31-V30,IF(A31&lt;'Données projet'!$A$36,$K$205^A31,IF(A31='Données projet'!$A$36,'Données projet'!$B$36,N30+M31-V30)))</f>
        <v>146</v>
      </c>
      <c r="O31" s="13">
        <f>N31*VLOOKUP('Données projet'!$B$9,Paramètres!$A$1:$I$89,3,0)*VLOOKUP('Données projet'!$B$9,Paramètres!$A$1:$I$89,5,0)</f>
        <v>87.307999999999993</v>
      </c>
      <c r="P31" s="13">
        <f t="shared" si="33"/>
        <v>23.914836409796052</v>
      </c>
      <c r="Q31" s="20">
        <f t="shared" si="2"/>
        <v>193.71310674706146</v>
      </c>
      <c r="R31" s="59">
        <f t="shared" si="0"/>
        <v>484.60199563595029</v>
      </c>
      <c r="S31" s="59">
        <f ca="1">AVERAGE(OFFSET($R$3,0,0,'Données projet'!$E$9+1,1))-AVERAGE(OFFSET($H$3,0,0,'Données projet'!$E$9+1,1))</f>
        <v>145.19188637714888</v>
      </c>
      <c r="T31" s="59">
        <f t="shared" si="34"/>
        <v>169.74069292032493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23</v>
      </c>
      <c r="W31" s="16">
        <f>IF(ISNA(VLOOKUP(A31,'Données projet'!$A$35:$I$55,5,0)),0%,VLOOKUP(A31,'Données projet'!$A$35:$I$55,5,0)*VLOOKUP('Données projet'!$B$9,Paramètres!$A$1:$I$89,7,0))</f>
        <v>9.0000000000000011E-2</v>
      </c>
      <c r="X31" s="16">
        <f>IF(ISNA(VLOOKUP(A31,'Données projet'!$A$35:$I$55,6,0)),0%,VLOOKUP(A31,'Données projet'!$A$35:$I$55,6,0)*VLOOKUP('Données projet'!$B$9,Paramètres!$A$1:$I$89,7,0))</f>
        <v>0.18000000000000002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2.3016828133946334</v>
      </c>
      <c r="AA31" s="21">
        <f>EXP(-LN(2)/25)*AA30+(1-EXP(-LN(2)/25))/(LN(2)/25)*Calculateur!V31*Calculateur!X31*VLOOKUP('Données projet'!$B$9,Paramètres!$A$1:$I$89,3,0)*0.475*44/12</f>
        <v>9.1491139391372762</v>
      </c>
      <c r="AB31" s="21">
        <f>EXP(-LN(2)/2)*AB30+(1-EXP(-LN(2)/2))/(LN(2)/2)*V31*Y31*VLOOKUP('Données projet'!$B$9,Paramètres!$A$1:$I$89,3,0)*0.475*44/12</f>
        <v>8.0910452213538786</v>
      </c>
      <c r="AC31" s="22">
        <f t="shared" si="3"/>
        <v>19.541841973885788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11.8</v>
      </c>
      <c r="AI31" s="13">
        <f>IF('Données projet'!$A$62&gt;35,AI30+AH31-AQ30,IF(A31&lt;'Données projet'!$A$62,$AF$205^A31,IF(A31='Données projet'!$A$62,'Données projet'!$B$62,AI30+AH31-AQ30)))</f>
        <v>176.40000000000006</v>
      </c>
      <c r="AJ31" s="13">
        <f>AI31*VLOOKUP('Données projet'!$B$10,Paramètres!$A$1:$I$89,3,0)*VLOOKUP('Données projet'!$B$10,Paramètres!$A$1:$I$89,5,0)</f>
        <v>154.10304000000008</v>
      </c>
      <c r="AK31" s="13">
        <f t="shared" si="35"/>
        <v>39.509546668758176</v>
      </c>
      <c r="AL31" s="20">
        <f t="shared" si="4"/>
        <v>337.20858844808726</v>
      </c>
      <c r="AM31" s="59">
        <f t="shared" si="5"/>
        <v>628.09747733697611</v>
      </c>
      <c r="AN31" s="59">
        <f ca="1">AVERAGE(OFFSET($AM$3,0,0,'Données projet'!$E$10+1,1))-AVERAGE(OFFSET($H$3,0,0,'Données projet'!$E$10+1,1))</f>
        <v>254.24072778190163</v>
      </c>
      <c r="AO31" s="59">
        <f t="shared" si="36"/>
        <v>356.78706780980383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4.1418584022501719</v>
      </c>
      <c r="AW31" s="21">
        <f>EXP(-LN(2)/2)*AW30+(1-EXP(-LN(2)/2))/(LN(2)/2)*AQ31*AT31*VLOOKUP('Données projet'!$B$10,Paramètres!$A$1:$I$89,3,0)*0.475*44/12</f>
        <v>0.643957119218178</v>
      </c>
      <c r="AX31" s="21">
        <f t="shared" si="6"/>
        <v>4.7858155214683498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</v>
      </c>
      <c r="BD31" s="12">
        <f>IF('Données projet'!$A$88&gt;35,BD30+BC31-BL30,IF(A31&lt;'Données projet'!$A$88,$BA$205^A31,IF(A31='Données projet'!$A$88,'Données projet'!$B$88,BD30+BC31-BL30)))</f>
        <v>192</v>
      </c>
      <c r="BE31" s="13">
        <f>BD31*VLOOKUP('Données projet'!$B$11,Paramètres!$A$1:$I$89,3,0)*VLOOKUP('Données projet'!$B$11,Paramètres!$A$1:$I$89,5,0)</f>
        <v>114.81600000000002</v>
      </c>
      <c r="BF31" s="13">
        <f t="shared" si="37"/>
        <v>30.462826482209831</v>
      </c>
      <c r="BG31" s="20">
        <f t="shared" si="7"/>
        <v>253.02728945651543</v>
      </c>
      <c r="BH31" s="59">
        <f t="shared" si="8"/>
        <v>543.91617834540432</v>
      </c>
      <c r="BI31" s="59">
        <f ca="1">AVERAGE(OFFSET($BH$3,0,0,'Données projet'!$E$11+1,1))-AVERAGE(OFFSET($H$3,0,0,'Données projet'!$E$11+1,1))</f>
        <v>246.59447135626942</v>
      </c>
      <c r="BJ31" s="59">
        <f t="shared" si="38"/>
        <v>262.00382544285367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0.42725815079690321</v>
      </c>
      <c r="BR31" s="21">
        <f>EXP(-LN(2)/2)*BR30+(1-EXP(-LN(2)/2))/(LN(2)/2)*BL31*BO31*VLOOKUP('Données projet'!$B$11,Paramètres!$A$1:$I$89,3,0)*0.475*44/12</f>
        <v>6.3475773180077522E-2</v>
      </c>
      <c r="BS31" s="22">
        <f t="shared" si="9"/>
        <v>0.49073392397698073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40.17311999999999</v>
      </c>
      <c r="CA31" s="13">
        <f t="shared" si="39"/>
        <v>12.044520842267836</v>
      </c>
      <c r="CB31" s="20">
        <f t="shared" si="10"/>
        <v>90.945724466949798</v>
      </c>
      <c r="CC31" s="59">
        <f t="shared" si="11"/>
        <v>381.83461335583866</v>
      </c>
      <c r="CD31" s="59">
        <f ca="1">AVERAGE(OFFSET($CC$3,0,0,'Données projet'!$E$12+1,1))-AVERAGE(OFFSET($H$3,0,0,'Données projet'!$E$12+1,1))</f>
        <v>169.62156467157178</v>
      </c>
      <c r="CE31" s="59">
        <f t="shared" si="40"/>
        <v>85.631326020763254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12.2</v>
      </c>
      <c r="CT31" s="12">
        <f>IF('Données projet'!$A$140&gt;35,CT30+CS31-DB30,IF(A31&lt;'Données projet'!$A$140,$CQ$205^A31,IF(A31='Données projet'!$A$140,'Données projet'!$B$140,CT30+CS31-DB30)))</f>
        <v>149.6</v>
      </c>
      <c r="CU31" s="17">
        <f>CT31*VLOOKUP('Données projet'!$B$13,Paramètres!$A$1:$I$89,3,0)*VLOOKUP('Données projet'!$B$13,Paramètres!$A$1:$I$89,5,0)</f>
        <v>121.35552000000001</v>
      </c>
      <c r="CV31" s="13">
        <f t="shared" si="41"/>
        <v>31.990945095046595</v>
      </c>
      <c r="CW31" s="20">
        <f t="shared" si="13"/>
        <v>267.07842670720612</v>
      </c>
      <c r="CX31" s="59">
        <f t="shared" si="14"/>
        <v>557.96731559609498</v>
      </c>
      <c r="CY31" s="59">
        <f ca="1">AVERAGE(OFFSET($CX$3,0,0,'Données projet'!$E$13+1,1))-AVERAGE(OFFSET($H$3,0,0,'Données projet'!$E$13+1,1))</f>
        <v>234.59657655504111</v>
      </c>
      <c r="CZ31" s="59">
        <f t="shared" si="42"/>
        <v>285.10598666479211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3.3075697812254949</v>
      </c>
      <c r="DH31" s="21">
        <f>EXP(-LN(2)/2)*DH30+(1-EXP(-LN(2)/2))/(LN(2)/2)*DB31*DE31*VLOOKUP('Données projet'!$B$13,Paramètres!$A$1:$I$89,3,0)*0.475*44/12</f>
        <v>0.51424575663280192</v>
      </c>
      <c r="DI31" s="22">
        <f t="shared" si="15"/>
        <v>3.821815537858297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4.8</v>
      </c>
      <c r="DO31" s="12">
        <f>IF('Données projet'!$A$166&gt;35,DO30+DN31-DW30,IF(A31&lt;'Données projet'!$A$166,$DL$205^A31,IF(A31='Données projet'!$A$166,'Données projet'!$B$166,DO30+DN31-DW30)))</f>
        <v>44.399999999999991</v>
      </c>
      <c r="DP31" s="17">
        <f>DO31*VLOOKUP('Données projet'!$B$14,Paramètres!$A$1:$I$89,3,0)*VLOOKUP('Données projet'!$B$14,Paramètres!$A$1:$I$89,5,0)</f>
        <v>42.943679999999993</v>
      </c>
      <c r="DQ31" s="13">
        <f t="shared" si="43"/>
        <v>12.775615987781539</v>
      </c>
      <c r="DR31" s="20">
        <f t="shared" si="16"/>
        <v>97.044440512052844</v>
      </c>
      <c r="DS31" s="59">
        <f t="shared" si="17"/>
        <v>387.93332940094172</v>
      </c>
      <c r="DT31" s="59">
        <f ca="1">AVERAGE(OFFSET($DS$3,0,0,'Données projet'!$E$14+1,1))-AVERAGE(OFFSET($H$3,0,0,'Données projet'!$E$14+1,1))</f>
        <v>186.90852124957956</v>
      </c>
      <c r="DU31" s="59">
        <f t="shared" si="44"/>
        <v>93.013797128776446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4.8</v>
      </c>
      <c r="EJ31" s="12">
        <f>IF('Données projet'!$A$192&gt;35,EJ30+EI31-ER30,IF(A31&lt;'Données projet'!$A$192,$EG$205^A31,IF(A31='Données projet'!$A$192,'Données projet'!$B$192,EJ30+EI31-ER30)))</f>
        <v>44.399999999999991</v>
      </c>
      <c r="EK31" s="17">
        <f>EJ31*VLOOKUP('Données projet'!$B$15,Paramètres!$A$1:$I$89,3,0)*VLOOKUP('Données projet'!$B$15,Paramètres!$A$1:$I$89,5,0)</f>
        <v>47.792159999999988</v>
      </c>
      <c r="EL31" s="13">
        <f t="shared" si="45"/>
        <v>14.042085367056567</v>
      </c>
      <c r="EM31" s="20">
        <f t="shared" si="19"/>
        <v>107.69464401429015</v>
      </c>
      <c r="EN31" s="59">
        <f t="shared" si="20"/>
        <v>398.58353290317899</v>
      </c>
      <c r="EO31" s="59">
        <f ca="1">AVERAGE(OFFSET($EN$3,0,0,'Données projet'!$E$15+1,1))-AVERAGE(OFFSET($H$3,0,0,'Données projet'!$E$15+1,1))</f>
        <v>217.10418688911096</v>
      </c>
      <c r="EP31" s="59">
        <f t="shared" si="46"/>
        <v>105.90631421515786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11.666666666666666</v>
      </c>
      <c r="N32" s="13">
        <f>IF('Données projet'!$A$36&gt;35,N31+M32-V31,IF(A32&lt;'Données projet'!$A$36,$K$205^A32,IF(A32='Données projet'!$A$36,'Données projet'!$B$36,N31+M32-V31)))</f>
        <v>134.66666666666666</v>
      </c>
      <c r="O32" s="13">
        <f>N32*VLOOKUP('Données projet'!$B$9,Paramètres!$A$1:$I$89,3,0)*VLOOKUP('Données projet'!$B$9,Paramètres!$A$1:$I$89,5,0)</f>
        <v>80.530666666666662</v>
      </c>
      <c r="P32" s="13">
        <f t="shared" si="33"/>
        <v>22.266884919078866</v>
      </c>
      <c r="Q32" s="20">
        <f t="shared" si="2"/>
        <v>179.0390690118401</v>
      </c>
      <c r="R32" s="59">
        <f t="shared" si="0"/>
        <v>471.15018012295127</v>
      </c>
      <c r="S32" s="59">
        <f ca="1">AVERAGE(OFFSET($R$3,0,0,'Données projet'!$E$9+1,1))-AVERAGE(OFFSET($H$3,0,0,'Données projet'!$E$9+1,1))</f>
        <v>145.19188637714888</v>
      </c>
      <c r="T32" s="59">
        <f t="shared" si="34"/>
        <v>169.74069292032493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2.2565482173118583</v>
      </c>
      <c r="AA32" s="21">
        <f>EXP(-LN(2)/25)*AA31+(1-EXP(-LN(2)/25))/(LN(2)/25)*Calculateur!V32*Calculateur!X32*VLOOKUP('Données projet'!$B$9,Paramètres!$A$1:$I$89,3,0)*0.475*44/12</f>
        <v>8.8989309373405767</v>
      </c>
      <c r="AB32" s="21">
        <f>EXP(-LN(2)/2)*AB31+(1-EXP(-LN(2)/2))/(LN(2)/2)*V32*Y32*VLOOKUP('Données projet'!$B$9,Paramètres!$A$1:$I$89,3,0)*0.475*44/12</f>
        <v>5.7212329429063384</v>
      </c>
      <c r="AC32" s="22">
        <f t="shared" si="3"/>
        <v>16.876712097558773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11.8</v>
      </c>
      <c r="AI32" s="13">
        <f>IF('Données projet'!$A$62&gt;35,AI31+AH32-AQ31,IF(A32&lt;'Données projet'!$A$62,$AF$205^A32,IF(A32='Données projet'!$A$62,'Données projet'!$B$62,AI31+AH32-AQ31)))</f>
        <v>188.20000000000007</v>
      </c>
      <c r="AJ32" s="13">
        <f>AI32*VLOOKUP('Données projet'!$B$10,Paramètres!$A$1:$I$89,3,0)*VLOOKUP('Données projet'!$B$10,Paramètres!$A$1:$I$89,5,0)</f>
        <v>164.41152000000008</v>
      </c>
      <c r="AK32" s="13">
        <f t="shared" si="35"/>
        <v>41.835965488659568</v>
      </c>
      <c r="AL32" s="20">
        <f t="shared" si="4"/>
        <v>359.21437055941556</v>
      </c>
      <c r="AM32" s="59">
        <f t="shared" si="5"/>
        <v>651.32548167052664</v>
      </c>
      <c r="AN32" s="59">
        <f ca="1">AVERAGE(OFFSET($AM$3,0,0,'Données projet'!$E$10+1,1))-AVERAGE(OFFSET($H$3,0,0,'Données projet'!$E$10+1,1))</f>
        <v>254.24072778190163</v>
      </c>
      <c r="AO32" s="59">
        <f t="shared" si="36"/>
        <v>356.78706780980383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4.0285990664297735</v>
      </c>
      <c r="AW32" s="21">
        <f>EXP(-LN(2)/2)*AW31+(1-EXP(-LN(2)/2))/(LN(2)/2)*AQ32*AT32*VLOOKUP('Données projet'!$B$10,Paramètres!$A$1:$I$89,3,0)*0.475*44/12</f>
        <v>0.4553464457925277</v>
      </c>
      <c r="AX32" s="21">
        <f t="shared" si="6"/>
        <v>4.4839455122223013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</v>
      </c>
      <c r="BD32" s="12">
        <f>IF('Données projet'!$A$88&gt;35,BD31+BC32-BL31,IF(A32&lt;'Données projet'!$A$88,$BA$205^A32,IF(A32='Données projet'!$A$88,'Données projet'!$B$88,BD31+BC32-BL31)))</f>
        <v>205</v>
      </c>
      <c r="BE32" s="13">
        <f>BD32*VLOOKUP('Données projet'!$B$11,Paramètres!$A$1:$I$89,3,0)*VLOOKUP('Données projet'!$B$11,Paramètres!$A$1:$I$89,5,0)</f>
        <v>122.59</v>
      </c>
      <c r="BF32" s="13">
        <f t="shared" si="37"/>
        <v>32.278321478706822</v>
      </c>
      <c r="BG32" s="20">
        <f t="shared" si="7"/>
        <v>269.72899324208106</v>
      </c>
      <c r="BH32" s="59">
        <f t="shared" si="8"/>
        <v>561.84010435319215</v>
      </c>
      <c r="BI32" s="59">
        <f ca="1">AVERAGE(OFFSET($BH$3,0,0,'Données projet'!$E$11+1,1))-AVERAGE(OFFSET($H$3,0,0,'Données projet'!$E$11+1,1))</f>
        <v>246.59447135626942</v>
      </c>
      <c r="BJ32" s="59">
        <f t="shared" si="38"/>
        <v>262.00382544285367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0.41557475419483225</v>
      </c>
      <c r="BR32" s="21">
        <f>EXP(-LN(2)/2)*BR31+(1-EXP(-LN(2)/2))/(LN(2)/2)*BL32*BO32*VLOOKUP('Données projet'!$B$11,Paramètres!$A$1:$I$89,3,0)*0.475*44/12</f>
        <v>4.4884149656691998E-2</v>
      </c>
      <c r="BS32" s="22">
        <f t="shared" si="9"/>
        <v>0.46045890385152427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44.516159999999985</v>
      </c>
      <c r="CA32" s="13">
        <f t="shared" si="39"/>
        <v>13.188102074986608</v>
      </c>
      <c r="CB32" s="20">
        <f t="shared" si="10"/>
        <v>100.50158978060165</v>
      </c>
      <c r="CC32" s="59">
        <f t="shared" si="11"/>
        <v>392.61270089171279</v>
      </c>
      <c r="CD32" s="59">
        <f ca="1">AVERAGE(OFFSET($CC$3,0,0,'Données projet'!$E$12+1,1))-AVERAGE(OFFSET($H$3,0,0,'Données projet'!$E$12+1,1))</f>
        <v>169.62156467157178</v>
      </c>
      <c r="CE32" s="59">
        <f t="shared" si="40"/>
        <v>85.631326020763254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12.2</v>
      </c>
      <c r="CT32" s="12">
        <f>IF('Données projet'!$A$140&gt;35,CT31+CS32-DB31,IF(A32&lt;'Données projet'!$A$140,$CQ$205^A32,IF(A32='Données projet'!$A$140,'Données projet'!$B$140,CT31+CS32-DB31)))</f>
        <v>161.79999999999998</v>
      </c>
      <c r="CU32" s="17">
        <f>CT32*VLOOKUP('Données projet'!$B$13,Paramètres!$A$1:$I$89,3,0)*VLOOKUP('Données projet'!$B$13,Paramètres!$A$1:$I$89,5,0)</f>
        <v>131.25216</v>
      </c>
      <c r="CV32" s="13">
        <f t="shared" si="41"/>
        <v>34.285535125000187</v>
      </c>
      <c r="CW32" s="20">
        <f t="shared" si="13"/>
        <v>288.31148567604197</v>
      </c>
      <c r="CX32" s="59">
        <f t="shared" si="14"/>
        <v>580.42259678715311</v>
      </c>
      <c r="CY32" s="59">
        <f ca="1">AVERAGE(OFFSET($CX$3,0,0,'Données projet'!$E$13+1,1))-AVERAGE(OFFSET($H$3,0,0,'Données projet'!$E$13+1,1))</f>
        <v>234.59657655504111</v>
      </c>
      <c r="CZ32" s="59">
        <f t="shared" si="42"/>
        <v>285.10598666479211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3.2171241116203486</v>
      </c>
      <c r="DH32" s="21">
        <f>EXP(-LN(2)/2)*DH31+(1-EXP(-LN(2)/2))/(LN(2)/2)*DB32*DE32*VLOOKUP('Données projet'!$B$13,Paramètres!$A$1:$I$89,3,0)*0.475*44/12</f>
        <v>0.36362666171146124</v>
      </c>
      <c r="DI32" s="22">
        <f t="shared" si="15"/>
        <v>3.5807507733318098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4.8</v>
      </c>
      <c r="DO32" s="12">
        <f>IF('Données projet'!$A$166&gt;35,DO31+DN32-DW31,IF(A32&lt;'Données projet'!$A$166,$DL$205^A32,IF(A32='Données projet'!$A$166,'Données projet'!$B$166,DO31+DN32-DW31)))</f>
        <v>49.199999999999989</v>
      </c>
      <c r="DP32" s="17">
        <f>DO32*VLOOKUP('Données projet'!$B$14,Paramètres!$A$1:$I$89,3,0)*VLOOKUP('Données projet'!$B$14,Paramètres!$A$1:$I$89,5,0)</f>
        <v>47.586239999999989</v>
      </c>
      <c r="DQ32" s="13">
        <f t="shared" si="43"/>
        <v>13.98861191110446</v>
      </c>
      <c r="DR32" s="20">
        <f t="shared" si="16"/>
        <v>107.2428670785069</v>
      </c>
      <c r="DS32" s="59">
        <f t="shared" si="17"/>
        <v>399.35397818961803</v>
      </c>
      <c r="DT32" s="59">
        <f ca="1">AVERAGE(OFFSET($DS$3,0,0,'Données projet'!$E$14+1,1))-AVERAGE(OFFSET($H$3,0,0,'Données projet'!$E$14+1,1))</f>
        <v>186.90852124957956</v>
      </c>
      <c r="DU32" s="59">
        <f t="shared" si="44"/>
        <v>93.013797128776446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4.8</v>
      </c>
      <c r="EJ32" s="12">
        <f>IF('Données projet'!$A$192&gt;35,EJ31+EI32-ER31,IF(A32&lt;'Données projet'!$A$192,$EG$205^A32,IF(A32='Données projet'!$A$192,'Données projet'!$B$192,EJ31+EI32-ER31)))</f>
        <v>49.199999999999989</v>
      </c>
      <c r="EK32" s="17">
        <f>EJ32*VLOOKUP('Données projet'!$B$15,Paramètres!$A$1:$I$89,3,0)*VLOOKUP('Données projet'!$B$15,Paramètres!$A$1:$I$89,5,0)</f>
        <v>52.958879999999979</v>
      </c>
      <c r="EL32" s="13">
        <f t="shared" si="45"/>
        <v>15.375327718852537</v>
      </c>
      <c r="EM32" s="20">
        <f t="shared" si="19"/>
        <v>119.01541177700146</v>
      </c>
      <c r="EN32" s="59">
        <f t="shared" si="20"/>
        <v>411.12652288811262</v>
      </c>
      <c r="EO32" s="59">
        <f ca="1">AVERAGE(OFFSET($EN$3,0,0,'Données projet'!$E$15+1,1))-AVERAGE(OFFSET($H$3,0,0,'Données projet'!$E$15+1,1))</f>
        <v>217.10418688911096</v>
      </c>
      <c r="EP32" s="59">
        <f t="shared" si="46"/>
        <v>105.90631421515786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11.666666666666666</v>
      </c>
      <c r="N33" s="13">
        <f>IF('Données projet'!$A$36&gt;35,N32+M33-V32,IF(A33&lt;'Données projet'!$A$36,$K$205^A33,IF(A33='Données projet'!$A$36,'Données projet'!$B$36,N32+M33-V32)))</f>
        <v>146.33333333333331</v>
      </c>
      <c r="O33" s="13">
        <f>N33*VLOOKUP('Données projet'!$B$9,Paramètres!$A$1:$I$89,3,0)*VLOOKUP('Données projet'!$B$9,Paramètres!$A$1:$I$89,5,0)</f>
        <v>87.507333333333335</v>
      </c>
      <c r="P33" s="13">
        <f t="shared" si="33"/>
        <v>23.963074638099123</v>
      </c>
      <c r="Q33" s="20">
        <f t="shared" si="2"/>
        <v>194.14429388357817</v>
      </c>
      <c r="R33" s="59">
        <f t="shared" si="0"/>
        <v>487.47762721691151</v>
      </c>
      <c r="S33" s="59">
        <f ca="1">AVERAGE(OFFSET($R$3,0,0,'Données projet'!$E$9+1,1))-AVERAGE(OFFSET($H$3,0,0,'Données projet'!$E$9+1,1))</f>
        <v>145.19188637714888</v>
      </c>
      <c r="T33" s="59">
        <f t="shared" si="34"/>
        <v>169.74069292032493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2.2122986831288811</v>
      </c>
      <c r="AA33" s="21">
        <f>EXP(-LN(2)/25)*AA32+(1-EXP(-LN(2)/25))/(LN(2)/25)*Calculateur!V33*Calculateur!X33*VLOOKUP('Données projet'!$B$9,Paramètres!$A$1:$I$89,3,0)*0.475*44/12</f>
        <v>8.6555892028845598</v>
      </c>
      <c r="AB33" s="21">
        <f>EXP(-LN(2)/2)*AB32+(1-EXP(-LN(2)/2))/(LN(2)/2)*V33*Y33*VLOOKUP('Données projet'!$B$9,Paramètres!$A$1:$I$89,3,0)*0.475*44/12</f>
        <v>4.0455226106769402</v>
      </c>
      <c r="AC33" s="22">
        <f t="shared" si="3"/>
        <v>14.913410496690382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200</v>
      </c>
      <c r="AG33" s="12">
        <f>VLOOKUP(A33,'Données projet'!$A$61:$I$81,9,0)</f>
        <v>11.8</v>
      </c>
      <c r="AH33" s="12">
        <f t="array" ref="AH33">INDEX(AG:AG,MIN(IF(ISNUMBER(AG33:AG229),ROW(AG33:AG229),"")))</f>
        <v>11.8</v>
      </c>
      <c r="AI33" s="13">
        <f>IF('Données projet'!$A$62&gt;35,AI32+AH33-AQ32,IF(A33&lt;'Données projet'!$A$62,$AF$205^A33,IF(A33='Données projet'!$A$62,'Données projet'!$B$62,AI32+AH33-AQ32)))</f>
        <v>200.00000000000009</v>
      </c>
      <c r="AJ33" s="13">
        <f>AI33*VLOOKUP('Données projet'!$B$10,Paramètres!$A$1:$I$89,3,0)*VLOOKUP('Données projet'!$B$10,Paramètres!$A$1:$I$89,5,0)</f>
        <v>174.72000000000008</v>
      </c>
      <c r="AK33" s="13">
        <f t="shared" si="35"/>
        <v>44.145455754865246</v>
      </c>
      <c r="AL33" s="20">
        <f t="shared" si="4"/>
        <v>381.1906687730571</v>
      </c>
      <c r="AM33" s="59">
        <f t="shared" si="5"/>
        <v>674.52400210639041</v>
      </c>
      <c r="AN33" s="59">
        <f ca="1">AVERAGE(OFFSET($AM$3,0,0,'Données projet'!$E$10+1,1))-AVERAGE(OFFSET($H$3,0,0,'Données projet'!$E$10+1,1))</f>
        <v>254.24072778190163</v>
      </c>
      <c r="AO33" s="59">
        <f t="shared" si="36"/>
        <v>356.78706780980383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74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3.0729812547678734</v>
      </c>
      <c r="AV33" s="21">
        <f>EXP(-LN(2)/25)*AV32+(1-EXP(-LN(2)/25))/(LN(2)/25)*Calculateur!AQ33*Calculateur!AS33*VLOOKUP('Données projet'!$B$10,Paramètres!$A$1:$I$89,3,0)*0.475*44/12</f>
        <v>17.692404718119324</v>
      </c>
      <c r="AW33" s="21">
        <f>EXP(-LN(2)/2)*AW32+(1-EXP(-LN(2)/2))/(LN(2)/2)*AQ33*AT33*VLOOKUP('Données projet'!$B$10,Paramètres!$A$1:$I$89,3,0)*0.475*44/12</f>
        <v>27.770006809164684</v>
      </c>
      <c r="AX33" s="21">
        <f t="shared" si="6"/>
        <v>48.535392782051886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218</v>
      </c>
      <c r="BB33" s="12">
        <f>VLOOKUP(A33,'Données projet'!$A$87:$I$107,9,0)</f>
        <v>13</v>
      </c>
      <c r="BC33" s="12">
        <f t="array" ref="BC33">INDEX(BB:BB,MIN(IF(ISNUMBER(BB33:BB229),ROW(BB33:BB229),"")))</f>
        <v>13</v>
      </c>
      <c r="BD33" s="12">
        <f>IF('Données projet'!$A$88&gt;35,BD32+BC33-BL32,IF(A33&lt;'Données projet'!$A$88,$BA$205^A33,IF(A33='Données projet'!$A$88,'Données projet'!$B$88,BD32+BC33-BL32)))</f>
        <v>218</v>
      </c>
      <c r="BE33" s="13">
        <f>BD33*VLOOKUP('Données projet'!$B$11,Paramètres!$A$1:$I$89,3,0)*VLOOKUP('Données projet'!$B$11,Paramètres!$A$1:$I$89,5,0)</f>
        <v>130.364</v>
      </c>
      <c r="BF33" s="13">
        <f t="shared" si="37"/>
        <v>34.080455352788661</v>
      </c>
      <c r="BG33" s="20">
        <f t="shared" si="7"/>
        <v>286.40742640610694</v>
      </c>
      <c r="BH33" s="59">
        <f t="shared" si="8"/>
        <v>579.74075973944025</v>
      </c>
      <c r="BI33" s="59">
        <f ca="1">AVERAGE(OFFSET($BH$3,0,0,'Données projet'!$E$11+1,1))-AVERAGE(OFFSET($H$3,0,0,'Données projet'!$E$11+1,1))</f>
        <v>246.59447135626942</v>
      </c>
      <c r="BJ33" s="59">
        <f t="shared" si="38"/>
        <v>262.00382544285367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0.22500000000000001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12.84926355185025</v>
      </c>
      <c r="BR33" s="21">
        <f>EXP(-LN(2)/2)*BR32+(1-EXP(-LN(2)/2))/(LN(2)/2)*BL33*BO33*VLOOKUP('Données projet'!$B$11,Paramètres!$A$1:$I$89,3,0)*0.475*44/12</f>
        <v>23.729359873818968</v>
      </c>
      <c r="BS33" s="22">
        <f t="shared" si="9"/>
        <v>36.578623425669221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48.859199999999987</v>
      </c>
      <c r="CA33" s="13">
        <f t="shared" si="39"/>
        <v>14.318748507569309</v>
      </c>
      <c r="CB33" s="20">
        <f t="shared" si="10"/>
        <v>110.03492698401652</v>
      </c>
      <c r="CC33" s="59">
        <f t="shared" si="11"/>
        <v>403.36826031734984</v>
      </c>
      <c r="CD33" s="59">
        <f ca="1">AVERAGE(OFFSET($CC$3,0,0,'Données projet'!$E$12+1,1))-AVERAGE(OFFSET($H$3,0,0,'Données projet'!$E$12+1,1))</f>
        <v>169.62156467157178</v>
      </c>
      <c r="CE33" s="59">
        <f t="shared" si="40"/>
        <v>85.631326020763254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174</v>
      </c>
      <c r="CR33" s="12">
        <f>VLOOKUP(A33,'Données projet'!$A$139:$I$159,9,0)</f>
        <v>12.2</v>
      </c>
      <c r="CS33" s="12">
        <f t="array" ref="CS33">INDEX(CR:CR,MIN(IF(ISNUMBER(CR33:CR229),ROW(CR33:CR229),"")))</f>
        <v>12.2</v>
      </c>
      <c r="CT33" s="12">
        <f>IF('Données projet'!$A$140&gt;35,CT32+CS33-DB32,IF(A33&lt;'Données projet'!$A$140,$CQ$205^A33,IF(A33='Données projet'!$A$140,'Données projet'!$B$140,CT32+CS33-DB32)))</f>
        <v>173.99999999999997</v>
      </c>
      <c r="CU33" s="17">
        <f>CT33*VLOOKUP('Données projet'!$B$13,Paramètres!$A$1:$I$89,3,0)*VLOOKUP('Données projet'!$B$13,Paramètres!$A$1:$I$89,5,0)</f>
        <v>141.14879999999999</v>
      </c>
      <c r="CV33" s="13">
        <f t="shared" si="41"/>
        <v>36.560054140504484</v>
      </c>
      <c r="CW33" s="20">
        <f t="shared" si="13"/>
        <v>309.50958762804532</v>
      </c>
      <c r="CX33" s="59">
        <f t="shared" si="14"/>
        <v>602.8429209613787</v>
      </c>
      <c r="CY33" s="59">
        <f ca="1">AVERAGE(OFFSET($CX$3,0,0,'Données projet'!$E$13+1,1))-AVERAGE(OFFSET($H$3,0,0,'Données projet'!$E$13+1,1))</f>
        <v>234.59657655504111</v>
      </c>
      <c r="CZ33" s="59">
        <f t="shared" si="42"/>
        <v>285.10598666479211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56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0.1075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8.5063763912707451</v>
      </c>
      <c r="DH33" s="21">
        <f>EXP(-LN(2)/2)*DH32+(1-EXP(-LN(2)/2))/(LN(2)/2)*DB33*DE33*VLOOKUP('Données projet'!$B$13,Paramètres!$A$1:$I$89,3,0)*0.475*44/12</f>
        <v>10.972569342106874</v>
      </c>
      <c r="DI33" s="22">
        <f t="shared" si="15"/>
        <v>19.478945733377621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54</v>
      </c>
      <c r="DM33" s="12">
        <f>VLOOKUP(A33,'Données projet'!$A$165:$I$185,9,0)</f>
        <v>4.8</v>
      </c>
      <c r="DN33" s="12">
        <f t="array" ref="DN33">INDEX(DM:DM,MIN(IF(ISNUMBER(DM33:DM229),ROW(DM33:DM229),"")))</f>
        <v>4.8</v>
      </c>
      <c r="DO33" s="12">
        <f>IF('Données projet'!$A$166&gt;35,DO32+DN33-DW32,IF(A33&lt;'Données projet'!$A$166,$DL$205^A33,IF(A33='Données projet'!$A$166,'Données projet'!$B$166,DO32+DN33-DW32)))</f>
        <v>53.999999999999986</v>
      </c>
      <c r="DP33" s="17">
        <f>DO33*VLOOKUP('Données projet'!$B$14,Paramètres!$A$1:$I$89,3,0)*VLOOKUP('Données projet'!$B$14,Paramètres!$A$1:$I$89,5,0)</f>
        <v>52.228799999999985</v>
      </c>
      <c r="DQ33" s="13">
        <f t="shared" si="43"/>
        <v>15.187887899730002</v>
      </c>
      <c r="DR33" s="20">
        <f t="shared" si="16"/>
        <v>117.41739809202973</v>
      </c>
      <c r="DS33" s="59">
        <f t="shared" si="17"/>
        <v>410.75073142536303</v>
      </c>
      <c r="DT33" s="59">
        <f ca="1">AVERAGE(OFFSET($DS$3,0,0,'Données projet'!$E$14+1,1))-AVERAGE(OFFSET($H$3,0,0,'Données projet'!$E$14+1,1))</f>
        <v>186.90852124957956</v>
      </c>
      <c r="DU33" s="59">
        <f t="shared" si="44"/>
        <v>93.013797128776446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54</v>
      </c>
      <c r="EH33" s="12">
        <f>VLOOKUP(A33,'Données projet'!$A$191:$I$211,9,0)</f>
        <v>4.8</v>
      </c>
      <c r="EI33" s="12">
        <f t="array" ref="EI33">INDEX(EH:EH,MIN(IF(ISNUMBER(EH33:EH229),ROW(EH33:EH229),"")))</f>
        <v>4.8</v>
      </c>
      <c r="EJ33" s="12">
        <f>IF('Données projet'!$A$192&gt;35,EJ32+EI33-ER32,IF(A33&lt;'Données projet'!$A$192,$EG$205^A33,IF(A33='Données projet'!$A$192,'Données projet'!$B$192,EJ32+EI33-ER32)))</f>
        <v>53.999999999999986</v>
      </c>
      <c r="EK33" s="17">
        <f>EJ33*VLOOKUP('Données projet'!$B$15,Paramètres!$A$1:$I$89,3,0)*VLOOKUP('Données projet'!$B$15,Paramètres!$A$1:$I$89,5,0)</f>
        <v>58.125599999999977</v>
      </c>
      <c r="EL33" s="13">
        <f t="shared" si="45"/>
        <v>16.693490054590161</v>
      </c>
      <c r="EM33" s="20">
        <f t="shared" si="19"/>
        <v>130.30991517841116</v>
      </c>
      <c r="EN33" s="59">
        <f t="shared" si="20"/>
        <v>423.64324851174445</v>
      </c>
      <c r="EO33" s="59">
        <f ca="1">AVERAGE(OFFSET($EN$3,0,0,'Données projet'!$E$15+1,1))-AVERAGE(OFFSET($H$3,0,0,'Données projet'!$E$15+1,1))</f>
        <v>217.10418688911096</v>
      </c>
      <c r="EP33" s="59">
        <f t="shared" si="46"/>
        <v>105.90631421515786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11.666666666666666</v>
      </c>
      <c r="N34" s="13">
        <f>IF('Données projet'!$A$36&gt;35,N33+M34-V33,IF(A34&lt;'Données projet'!$A$36,$K$205^A34,IF(A34='Données projet'!$A$36,'Données projet'!$B$36,N33+M34-V33)))</f>
        <v>157.99999999999997</v>
      </c>
      <c r="O34" s="13">
        <f>N34*VLOOKUP('Données projet'!$B$9,Paramètres!$A$1:$I$89,3,0)*VLOOKUP('Données projet'!$B$9,Paramètres!$A$1:$I$89,5,0)</f>
        <v>94.483999999999995</v>
      </c>
      <c r="P34" s="13">
        <f t="shared" si="33"/>
        <v>25.643578691511802</v>
      </c>
      <c r="Q34" s="20">
        <f t="shared" si="2"/>
        <v>209.22219955438302</v>
      </c>
      <c r="R34" s="59">
        <f t="shared" si="0"/>
        <v>502.55553288771637</v>
      </c>
      <c r="S34" s="59">
        <f ca="1">AVERAGE(OFFSET($R$3,0,0,'Données projet'!$E$9+1,1))-AVERAGE(OFFSET($H$3,0,0,'Données projet'!$E$9+1,1))</f>
        <v>145.19188637714888</v>
      </c>
      <c r="T34" s="59">
        <f t="shared" si="34"/>
        <v>169.74069292032493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2.1689168553216813</v>
      </c>
      <c r="AA34" s="21">
        <f>EXP(-LN(2)/25)*AA33+(1-EXP(-LN(2)/25))/(LN(2)/25)*Calculateur!V34*Calculateur!X34*VLOOKUP('Données projet'!$B$9,Paramètres!$A$1:$I$89,3,0)*0.475*44/12</f>
        <v>8.4189016609540275</v>
      </c>
      <c r="AB34" s="21">
        <f>EXP(-LN(2)/2)*AB33+(1-EXP(-LN(2)/2))/(LN(2)/2)*V34*Y34*VLOOKUP('Données projet'!$B$9,Paramètres!$A$1:$I$89,3,0)*0.475*44/12</f>
        <v>2.8606164714531697</v>
      </c>
      <c r="AC34" s="22">
        <f t="shared" si="3"/>
        <v>13.448434987728879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10.1</v>
      </c>
      <c r="AI34" s="13">
        <f>IF('Données projet'!$A$62&gt;35,AI33+AH34-AQ33,IF(A34&lt;'Données projet'!$A$62,$AF$205^A34,IF(A34='Données projet'!$A$62,'Données projet'!$B$62,AI33+AH34-AQ33)))</f>
        <v>136.10000000000008</v>
      </c>
      <c r="AJ34" s="13">
        <f>AI34*VLOOKUP('Données projet'!$B$10,Paramètres!$A$1:$I$89,3,0)*VLOOKUP('Données projet'!$B$10,Paramètres!$A$1:$I$89,5,0)</f>
        <v>118.89696000000008</v>
      </c>
      <c r="AK34" s="13">
        <f t="shared" si="35"/>
        <v>31.417595224301145</v>
      </c>
      <c r="AL34" s="20">
        <f t="shared" si="4"/>
        <v>261.79785034899129</v>
      </c>
      <c r="AM34" s="59">
        <f t="shared" si="5"/>
        <v>555.1311836823246</v>
      </c>
      <c r="AN34" s="59">
        <f ca="1">AVERAGE(OFFSET($AM$3,0,0,'Données projet'!$E$10+1,1))-AVERAGE(OFFSET($H$3,0,0,'Données projet'!$E$10+1,1))</f>
        <v>254.24072778190163</v>
      </c>
      <c r="AO34" s="59">
        <f t="shared" si="36"/>
        <v>356.78706780980383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3.012721966695366</v>
      </c>
      <c r="AV34" s="21">
        <f>EXP(-LN(2)/25)*AV33+(1-EXP(-LN(2)/25))/(LN(2)/25)*Calculateur!AQ34*Calculateur!AS34*VLOOKUP('Données projet'!$B$10,Paramètres!$A$1:$I$89,3,0)*0.475*44/12</f>
        <v>17.208604980699224</v>
      </c>
      <c r="AW34" s="21">
        <f>EXP(-LN(2)/2)*AW33+(1-EXP(-LN(2)/2))/(LN(2)/2)*AQ34*AT34*VLOOKUP('Données projet'!$B$10,Paramètres!$A$1:$I$89,3,0)*0.475*44/12</f>
        <v>19.636360128356948</v>
      </c>
      <c r="AX34" s="21">
        <f t="shared" si="6"/>
        <v>39.857687075751542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13.7</v>
      </c>
      <c r="BD34" s="12">
        <f>IF('Données projet'!$A$88&gt;35,BD33+BC34-BL33,IF(A34&lt;'Données projet'!$A$88,$BA$205^A34,IF(A34='Données projet'!$A$88,'Données projet'!$B$88,BD33+BC34-BL33)))</f>
        <v>161.69999999999999</v>
      </c>
      <c r="BE34" s="13">
        <f>BD34*VLOOKUP('Données projet'!$B$11,Paramètres!$A$1:$I$89,3,0)*VLOOKUP('Données projet'!$B$11,Paramètres!$A$1:$I$89,5,0)</f>
        <v>96.696600000000004</v>
      </c>
      <c r="BF34" s="13">
        <f t="shared" si="37"/>
        <v>26.173476069859898</v>
      </c>
      <c r="BG34" s="20">
        <f t="shared" si="7"/>
        <v>213.99871582167268</v>
      </c>
      <c r="BH34" s="59">
        <f t="shared" si="8"/>
        <v>507.33204915500596</v>
      </c>
      <c r="BI34" s="59">
        <f ca="1">AVERAGE(OFFSET($BH$3,0,0,'Données projet'!$E$11+1,1))-AVERAGE(OFFSET($H$3,0,0,'Données projet'!$E$11+1,1))</f>
        <v>246.59447135626942</v>
      </c>
      <c r="BJ34" s="59">
        <f t="shared" si="38"/>
        <v>262.00382544285367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12.497899764311502</v>
      </c>
      <c r="BR34" s="21">
        <f>EXP(-LN(2)/2)*BR33+(1-EXP(-LN(2)/2))/(LN(2)/2)*BL34*BO34*VLOOKUP('Données projet'!$B$11,Paramètres!$A$1:$I$89,3,0)*0.475*44/12</f>
        <v>16.779191279993352</v>
      </c>
      <c r="BS34" s="22">
        <f t="shared" si="9"/>
        <v>29.277091044304854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59.199999999999989</v>
      </c>
      <c r="BZ34" s="13">
        <f>BY34*VLOOKUP('Données projet'!$B$12,Paramètres!$A$1:$I$89,3,0)*VLOOKUP('Données projet'!$B$12,Paramètres!$A$1:$I$89,5,0)</f>
        <v>53.564159999999987</v>
      </c>
      <c r="CA34" s="13">
        <f t="shared" si="39"/>
        <v>15.530498469746302</v>
      </c>
      <c r="CB34" s="20">
        <f t="shared" si="10"/>
        <v>120.3398635014748</v>
      </c>
      <c r="CC34" s="59">
        <f t="shared" si="11"/>
        <v>413.6731968348081</v>
      </c>
      <c r="CD34" s="59">
        <f ca="1">AVERAGE(OFFSET($CC$3,0,0,'Données projet'!$E$12+1,1))-AVERAGE(OFFSET($H$3,0,0,'Données projet'!$E$12+1,1))</f>
        <v>169.62156467157178</v>
      </c>
      <c r="CE34" s="59">
        <f t="shared" si="40"/>
        <v>85.631326020763254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10.199999999999999</v>
      </c>
      <c r="CT34" s="12">
        <f>IF('Données projet'!$A$140&gt;35,CT33+CS34-DB33,IF(A34&lt;'Données projet'!$A$140,$CQ$205^A34,IF(A34='Données projet'!$A$140,'Données projet'!$B$140,CT33+CS34-DB33)))</f>
        <v>128.19999999999996</v>
      </c>
      <c r="CU34" s="17">
        <f>CT34*VLOOKUP('Données projet'!$B$13,Paramètres!$A$1:$I$89,3,0)*VLOOKUP('Données projet'!$B$13,Paramètres!$A$1:$I$89,5,0)</f>
        <v>103.99583999999999</v>
      </c>
      <c r="CV34" s="13">
        <f t="shared" si="41"/>
        <v>27.911769723878031</v>
      </c>
      <c r="CW34" s="20">
        <f t="shared" si="13"/>
        <v>229.73908693575422</v>
      </c>
      <c r="CX34" s="59">
        <f t="shared" si="14"/>
        <v>523.0724202690875</v>
      </c>
      <c r="CY34" s="59">
        <f ca="1">AVERAGE(OFFSET($CX$3,0,0,'Données projet'!$E$13+1,1))-AVERAGE(OFFSET($H$3,0,0,'Données projet'!$E$13+1,1))</f>
        <v>234.59657655504111</v>
      </c>
      <c r="CZ34" s="59">
        <f t="shared" si="42"/>
        <v>285.10598666479211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8.2737690815205536</v>
      </c>
      <c r="DH34" s="21">
        <f>EXP(-LN(2)/2)*DH33+(1-EXP(-LN(2)/2))/(LN(2)/2)*DB34*DE34*VLOOKUP('Données projet'!$B$13,Paramètres!$A$1:$I$89,3,0)*0.475*44/12</f>
        <v>7.7587781888433858</v>
      </c>
      <c r="DI34" s="22">
        <f t="shared" si="15"/>
        <v>16.032547270363938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5.2</v>
      </c>
      <c r="DO34" s="12">
        <f>IF('Données projet'!$A$166&gt;35,DO33+DN34-DW33,IF(A34&lt;'Données projet'!$A$166,$DL$205^A34,IF(A34='Données projet'!$A$166,'Données projet'!$B$166,DO33+DN34-DW33)))</f>
        <v>59.199999999999989</v>
      </c>
      <c r="DP34" s="17">
        <f>DO34*VLOOKUP('Données projet'!$B$14,Paramètres!$A$1:$I$89,3,0)*VLOOKUP('Données projet'!$B$14,Paramètres!$A$1:$I$89,5,0)</f>
        <v>57.258239999999994</v>
      </c>
      <c r="DQ34" s="13">
        <f t="shared" si="43"/>
        <v>16.473190353245219</v>
      </c>
      <c r="DR34" s="20">
        <f t="shared" si="16"/>
        <v>128.41557453190208</v>
      </c>
      <c r="DS34" s="59">
        <f t="shared" si="17"/>
        <v>421.74890786523542</v>
      </c>
      <c r="DT34" s="59">
        <f ca="1">AVERAGE(OFFSET($DS$3,0,0,'Données projet'!$E$14+1,1))-AVERAGE(OFFSET($H$3,0,0,'Données projet'!$E$14+1,1))</f>
        <v>186.90852124957956</v>
      </c>
      <c r="DU34" s="59">
        <f t="shared" si="44"/>
        <v>93.013797128776446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5.2</v>
      </c>
      <c r="EJ34" s="12">
        <f>IF('Données projet'!$A$192&gt;35,EJ33+EI34-ER33,IF(A34&lt;'Données projet'!$A$192,$EG$205^A34,IF(A34='Données projet'!$A$192,'Données projet'!$B$192,EJ33+EI34-ER33)))</f>
        <v>59.199999999999989</v>
      </c>
      <c r="EK34" s="17">
        <f>EJ34*VLOOKUP('Données projet'!$B$15,Paramètres!$A$1:$I$89,3,0)*VLOOKUP('Données projet'!$B$15,Paramètres!$A$1:$I$89,5,0)</f>
        <v>63.722879999999989</v>
      </c>
      <c r="EL34" s="13">
        <f t="shared" si="45"/>
        <v>18.106206810636149</v>
      </c>
      <c r="EM34" s="20">
        <f t="shared" si="19"/>
        <v>142.51899286185792</v>
      </c>
      <c r="EN34" s="59">
        <f t="shared" si="20"/>
        <v>435.85232619519127</v>
      </c>
      <c r="EO34" s="59">
        <f ca="1">AVERAGE(OFFSET($EN$3,0,0,'Données projet'!$E$15+1,1))-AVERAGE(OFFSET($H$3,0,0,'Données projet'!$E$15+1,1))</f>
        <v>217.10418688911096</v>
      </c>
      <c r="EP34" s="59">
        <f t="shared" si="46"/>
        <v>105.90631421515786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11.666666666666666</v>
      </c>
      <c r="N35" s="13">
        <f>IF('Données projet'!$A$36&gt;35,N34+M35-V34,IF(A35&lt;'Données projet'!$A$36,$K$205^A35,IF(A35='Données projet'!$A$36,'Données projet'!$B$36,N34+M35-V34)))</f>
        <v>169.66666666666663</v>
      </c>
      <c r="O35" s="13">
        <f>N35*VLOOKUP('Données projet'!$B$9,Paramètres!$A$1:$I$89,3,0)*VLOOKUP('Données projet'!$B$9,Paramètres!$A$1:$I$89,5,0)</f>
        <v>101.46066666666665</v>
      </c>
      <c r="P35" s="13">
        <f t="shared" si="33"/>
        <v>27.309687011536219</v>
      </c>
      <c r="Q35" s="20">
        <f t="shared" ref="Q35:Q66" si="53">(O35+P35)*0.475*44/12</f>
        <v>224.27503265620331</v>
      </c>
      <c r="R35" s="59">
        <f t="shared" si="0"/>
        <v>517.60836598953665</v>
      </c>
      <c r="S35" s="59">
        <f ca="1">AVERAGE(OFFSET($R$3,0,0,'Données projet'!$E$9+1,1))-AVERAGE(OFFSET($H$3,0,0,'Données projet'!$E$9+1,1))</f>
        <v>145.19188637714888</v>
      </c>
      <c r="T35" s="59">
        <f t="shared" si="34"/>
        <v>169.74069292032493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2.1263857186974784</v>
      </c>
      <c r="AA35" s="21">
        <f>EXP(-LN(2)/25)*AA34+(1-EXP(-LN(2)/25))/(LN(2)/25)*Calculateur!V35*Calculateur!X35*VLOOKUP('Données projet'!$B$9,Paramètres!$A$1:$I$89,3,0)*0.475*44/12</f>
        <v>8.1886863523044422</v>
      </c>
      <c r="AB35" s="21">
        <f>EXP(-LN(2)/2)*AB34+(1-EXP(-LN(2)/2))/(LN(2)/2)*V35*Y35*VLOOKUP('Données projet'!$B$9,Paramètres!$A$1:$I$89,3,0)*0.475*44/12</f>
        <v>2.0227613053384701</v>
      </c>
      <c r="AC35" s="22">
        <f t="shared" si="3"/>
        <v>12.337833376340392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10.1</v>
      </c>
      <c r="AI35" s="13">
        <f>IF('Données projet'!$A$62&gt;35,AI34+AH35-AQ34,IF(A35&lt;'Données projet'!$A$62,$AF$205^A35,IF(A35='Données projet'!$A$62,'Données projet'!$B$62,AI34+AH35-AQ34)))</f>
        <v>146.20000000000007</v>
      </c>
      <c r="AJ35" s="13">
        <f>AI35*VLOOKUP('Données projet'!$B$10,Paramètres!$A$1:$I$89,3,0)*VLOOKUP('Données projet'!$B$10,Paramètres!$A$1:$I$89,5,0)</f>
        <v>127.72032000000007</v>
      </c>
      <c r="AK35" s="13">
        <f t="shared" si="35"/>
        <v>33.469051060164432</v>
      </c>
      <c r="AL35" s="20">
        <f t="shared" si="4"/>
        <v>280.73815459645317</v>
      </c>
      <c r="AM35" s="59">
        <f t="shared" si="5"/>
        <v>574.07148792978649</v>
      </c>
      <c r="AN35" s="59">
        <f ca="1">AVERAGE(OFFSET($AM$3,0,0,'Données projet'!$E$10+1,1))-AVERAGE(OFFSET($H$3,0,0,'Données projet'!$E$10+1,1))</f>
        <v>254.24072778190163</v>
      </c>
      <c r="AO35" s="59">
        <f t="shared" si="36"/>
        <v>356.78706780980383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2.9536443265074235</v>
      </c>
      <c r="AV35" s="21">
        <f>EXP(-LN(2)/25)*AV34+(1-EXP(-LN(2)/25))/(LN(2)/25)*Calculateur!AQ35*Calculateur!AS35*VLOOKUP('Données projet'!$B$10,Paramètres!$A$1:$I$89,3,0)*0.475*44/12</f>
        <v>16.7380347725408</v>
      </c>
      <c r="AW35" s="21">
        <f>EXP(-LN(2)/2)*AW34+(1-EXP(-LN(2)/2))/(LN(2)/2)*AQ35*AT35*VLOOKUP('Données projet'!$B$10,Paramètres!$A$1:$I$89,3,0)*0.475*44/12</f>
        <v>13.885003404582344</v>
      </c>
      <c r="AX35" s="21">
        <f t="shared" si="6"/>
        <v>33.576682503630565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13.7</v>
      </c>
      <c r="BD35" s="12">
        <f>IF('Données projet'!$A$88&gt;35,BD34+BC35-BL34,IF(A35&lt;'Données projet'!$A$88,$BA$205^A35,IF(A35='Données projet'!$A$88,'Données projet'!$B$88,BD34+BC35-BL34)))</f>
        <v>175.39999999999998</v>
      </c>
      <c r="BE35" s="13">
        <f>BD35*VLOOKUP('Données projet'!$B$11,Paramètres!$A$1:$I$89,3,0)*VLOOKUP('Données projet'!$B$11,Paramètres!$A$1:$I$89,5,0)</f>
        <v>104.8892</v>
      </c>
      <c r="BF35" s="13">
        <f t="shared" si="37"/>
        <v>28.123526406473545</v>
      </c>
      <c r="BG35" s="20">
        <f t="shared" si="7"/>
        <v>231.66383182460808</v>
      </c>
      <c r="BH35" s="59">
        <f t="shared" si="8"/>
        <v>524.99716515794137</v>
      </c>
      <c r="BI35" s="59">
        <f ca="1">AVERAGE(OFFSET($BH$3,0,0,'Données projet'!$E$11+1,1))-AVERAGE(OFFSET($H$3,0,0,'Données projet'!$E$11+1,1))</f>
        <v>246.59447135626942</v>
      </c>
      <c r="BJ35" s="59">
        <f t="shared" si="38"/>
        <v>262.00382544285367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12.15614403802042</v>
      </c>
      <c r="BR35" s="21">
        <f>EXP(-LN(2)/2)*BR34+(1-EXP(-LN(2)/2))/(LN(2)/2)*BL35*BO35*VLOOKUP('Données projet'!$B$11,Paramètres!$A$1:$I$89,3,0)*0.475*44/12</f>
        <v>11.864679936909486</v>
      </c>
      <c r="BS35" s="22">
        <f t="shared" si="9"/>
        <v>24.020823974929904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64.399999999999991</v>
      </c>
      <c r="BZ35" s="13">
        <f>BY35*VLOOKUP('Données projet'!$B$12,Paramètres!$A$1:$I$89,3,0)*VLOOKUP('Données projet'!$B$12,Paramètres!$A$1:$I$89,5,0)</f>
        <v>58.269119999999987</v>
      </c>
      <c r="CA35" s="13">
        <f t="shared" si="39"/>
        <v>16.729905486873804</v>
      </c>
      <c r="CB35" s="20">
        <f t="shared" si="10"/>
        <v>130.62330272297186</v>
      </c>
      <c r="CC35" s="59">
        <f t="shared" si="11"/>
        <v>423.95663605630517</v>
      </c>
      <c r="CD35" s="59">
        <f ca="1">AVERAGE(OFFSET($CC$3,0,0,'Données projet'!$E$12+1,1))-AVERAGE(OFFSET($H$3,0,0,'Données projet'!$E$12+1,1))</f>
        <v>169.62156467157178</v>
      </c>
      <c r="CE35" s="59">
        <f t="shared" si="40"/>
        <v>85.631326020763254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10.199999999999999</v>
      </c>
      <c r="CT35" s="12">
        <f>IF('Données projet'!$A$140&gt;35,CT34+CS35-DB34,IF(A35&lt;'Données projet'!$A$140,$CQ$205^A35,IF(A35='Données projet'!$A$140,'Données projet'!$B$140,CT34+CS35-DB34)))</f>
        <v>138.39999999999995</v>
      </c>
      <c r="CU35" s="17">
        <f>CT35*VLOOKUP('Données projet'!$B$13,Paramètres!$A$1:$I$89,3,0)*VLOOKUP('Données projet'!$B$13,Paramètres!$A$1:$I$89,5,0)</f>
        <v>112.27007999999996</v>
      </c>
      <c r="CV35" s="13">
        <f t="shared" si="41"/>
        <v>29.86519561157689</v>
      </c>
      <c r="CW35" s="20">
        <f t="shared" si="13"/>
        <v>247.552271690163</v>
      </c>
      <c r="CX35" s="59">
        <f t="shared" si="14"/>
        <v>540.88560502349628</v>
      </c>
      <c r="CY35" s="59">
        <f ca="1">AVERAGE(OFFSET($CX$3,0,0,'Données projet'!$E$13+1,1))-AVERAGE(OFFSET($H$3,0,0,'Données projet'!$E$13+1,1))</f>
        <v>234.59657655504111</v>
      </c>
      <c r="CZ35" s="59">
        <f t="shared" si="42"/>
        <v>285.10598666479211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8.0475224308877689</v>
      </c>
      <c r="DH35" s="21">
        <f>EXP(-LN(2)/2)*DH34+(1-EXP(-LN(2)/2))/(LN(2)/2)*DB35*DE35*VLOOKUP('Données projet'!$B$13,Paramètres!$A$1:$I$89,3,0)*0.475*44/12</f>
        <v>5.4862846710534381</v>
      </c>
      <c r="DI35" s="22">
        <f t="shared" si="15"/>
        <v>13.533807101941207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5.2</v>
      </c>
      <c r="DO35" s="12">
        <f>IF('Données projet'!$A$166&gt;35,DO34+DN35-DW34,IF(A35&lt;'Données projet'!$A$166,$DL$205^A35,IF(A35='Données projet'!$A$166,'Données projet'!$B$166,DO34+DN35-DW34)))</f>
        <v>64.399999999999991</v>
      </c>
      <c r="DP35" s="17">
        <f>DO35*VLOOKUP('Données projet'!$B$14,Paramètres!$A$1:$I$89,3,0)*VLOOKUP('Données projet'!$B$14,Paramètres!$A$1:$I$89,5,0)</f>
        <v>62.287679999999995</v>
      </c>
      <c r="DQ35" s="13">
        <f t="shared" si="43"/>
        <v>17.745400652396182</v>
      </c>
      <c r="DR35" s="20">
        <f t="shared" si="16"/>
        <v>139.39094880292336</v>
      </c>
      <c r="DS35" s="59">
        <f t="shared" si="17"/>
        <v>432.72428213625665</v>
      </c>
      <c r="DT35" s="59">
        <f ca="1">AVERAGE(OFFSET($DS$3,0,0,'Données projet'!$E$14+1,1))-AVERAGE(OFFSET($H$3,0,0,'Données projet'!$E$14+1,1))</f>
        <v>186.90852124957956</v>
      </c>
      <c r="DU35" s="59">
        <f t="shared" si="44"/>
        <v>93.013797128776446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5.2</v>
      </c>
      <c r="EJ35" s="12">
        <f>IF('Données projet'!$A$192&gt;35,EJ34+EI35-ER34,IF(A35&lt;'Données projet'!$A$192,$EG$205^A35,IF(A35='Données projet'!$A$192,'Données projet'!$B$192,EJ34+EI35-ER34)))</f>
        <v>64.399999999999991</v>
      </c>
      <c r="EK35" s="17">
        <f>EJ35*VLOOKUP('Données projet'!$B$15,Paramètres!$A$1:$I$89,3,0)*VLOOKUP('Données projet'!$B$15,Paramètres!$A$1:$I$89,5,0)</f>
        <v>69.320159999999987</v>
      </c>
      <c r="EL35" s="13">
        <f t="shared" si="45"/>
        <v>19.504533563930202</v>
      </c>
      <c r="EM35" s="20">
        <f t="shared" si="19"/>
        <v>154.70300795717841</v>
      </c>
      <c r="EN35" s="59">
        <f t="shared" si="20"/>
        <v>448.0363412905117</v>
      </c>
      <c r="EO35" s="59">
        <f ca="1">AVERAGE(OFFSET($EN$3,0,0,'Données projet'!$E$15+1,1))-AVERAGE(OFFSET($H$3,0,0,'Données projet'!$E$15+1,1))</f>
        <v>217.10418688911096</v>
      </c>
      <c r="EP35" s="59">
        <f t="shared" si="46"/>
        <v>105.90631421515786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11.666666666666666</v>
      </c>
      <c r="N36" s="13">
        <f>IF('Données projet'!$A$36&gt;35,N35+M36-V35,IF(A36&lt;'Données projet'!$A$36,$K$205^A36,IF(A36='Données projet'!$A$36,'Données projet'!$B$36,N35+M36-V35)))</f>
        <v>181.33333333333329</v>
      </c>
      <c r="O36" s="13">
        <f>N36*VLOOKUP('Données projet'!$B$9,Paramètres!$A$1:$I$89,3,0)*VLOOKUP('Données projet'!$B$9,Paramètres!$A$1:$I$89,5,0)</f>
        <v>108.43733333333331</v>
      </c>
      <c r="P36" s="13">
        <f t="shared" si="33"/>
        <v>28.962502090468035</v>
      </c>
      <c r="Q36" s="20">
        <f t="shared" si="53"/>
        <v>239.30471336312061</v>
      </c>
      <c r="R36" s="59">
        <f t="shared" si="0"/>
        <v>532.6380466964539</v>
      </c>
      <c r="S36" s="59">
        <f ca="1">AVERAGE(OFFSET($R$3,0,0,'Données projet'!$E$9+1,1))-AVERAGE(OFFSET($H$3,0,0,'Données projet'!$E$9+1,1))</f>
        <v>145.19188637714888</v>
      </c>
      <c r="T36" s="59">
        <f t="shared" si="34"/>
        <v>169.74069292032493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2.0846885917210445</v>
      </c>
      <c r="AA36" s="21">
        <f>EXP(-LN(2)/25)*AA35+(1-EXP(-LN(2)/25))/(LN(2)/25)*Calculateur!V36*Calculateur!X36*VLOOKUP('Données projet'!$B$9,Paramètres!$A$1:$I$89,3,0)*0.475*44/12</f>
        <v>7.9647662933763774</v>
      </c>
      <c r="AB36" s="21">
        <f>EXP(-LN(2)/2)*AB35+(1-EXP(-LN(2)/2))/(LN(2)/2)*V36*Y36*VLOOKUP('Données projet'!$B$9,Paramètres!$A$1:$I$89,3,0)*0.475*44/12</f>
        <v>1.4303082357265848</v>
      </c>
      <c r="AC36" s="22">
        <f t="shared" si="3"/>
        <v>11.479763120824007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10.1</v>
      </c>
      <c r="AI36" s="13">
        <f>IF('Données projet'!$A$62&gt;35,AI35+AH36-AQ35,IF(A36&lt;'Données projet'!$A$62,$AF$205^A36,IF(A36='Données projet'!$A$62,'Données projet'!$B$62,AI35+AH36-AQ35)))</f>
        <v>156.30000000000007</v>
      </c>
      <c r="AJ36" s="13">
        <f>AI36*VLOOKUP('Données projet'!$B$10,Paramètres!$A$1:$I$89,3,0)*VLOOKUP('Données projet'!$B$10,Paramètres!$A$1:$I$89,5,0)</f>
        <v>136.54368000000008</v>
      </c>
      <c r="AK36" s="13">
        <f t="shared" si="35"/>
        <v>35.504062844328153</v>
      </c>
      <c r="AL36" s="20">
        <f t="shared" si="4"/>
        <v>299.64981878720499</v>
      </c>
      <c r="AM36" s="59">
        <f t="shared" si="5"/>
        <v>592.98315212053831</v>
      </c>
      <c r="AN36" s="59">
        <f ca="1">AVERAGE(OFFSET($AM$3,0,0,'Données projet'!$E$10+1,1))-AVERAGE(OFFSET($H$3,0,0,'Données projet'!$E$10+1,1))</f>
        <v>254.24072778190163</v>
      </c>
      <c r="AO36" s="59">
        <f t="shared" si="36"/>
        <v>356.78706780980383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2.8957251628097644</v>
      </c>
      <c r="AV36" s="21">
        <f>EXP(-LN(2)/25)*AV35+(1-EXP(-LN(2)/25))/(LN(2)/25)*Calculateur!AQ36*Calculateur!AS36*VLOOKUP('Données projet'!$B$10,Paramètres!$A$1:$I$89,3,0)*0.475*44/12</f>
        <v>16.280332331470678</v>
      </c>
      <c r="AW36" s="21">
        <f>EXP(-LN(2)/2)*AW35+(1-EXP(-LN(2)/2))/(LN(2)/2)*AQ36*AT36*VLOOKUP('Données projet'!$B$10,Paramètres!$A$1:$I$89,3,0)*0.475*44/12</f>
        <v>9.8181800641784758</v>
      </c>
      <c r="AX36" s="21">
        <f t="shared" si="6"/>
        <v>28.99423755845892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13.7</v>
      </c>
      <c r="BD36" s="12">
        <f>IF('Données projet'!$A$88&gt;35,BD35+BC36-BL35,IF(A36&lt;'Données projet'!$A$88,$BA$205^A36,IF(A36='Données projet'!$A$88,'Données projet'!$B$88,BD35+BC36-BL35)))</f>
        <v>189.09999999999997</v>
      </c>
      <c r="BE36" s="13">
        <f>BD36*VLOOKUP('Données projet'!$B$11,Paramètres!$A$1:$I$89,3,0)*VLOOKUP('Données projet'!$B$11,Paramètres!$A$1:$I$89,5,0)</f>
        <v>113.08179999999999</v>
      </c>
      <c r="BF36" s="13">
        <f t="shared" si="37"/>
        <v>30.055908915657483</v>
      </c>
      <c r="BG36" s="20">
        <f t="shared" si="7"/>
        <v>249.29817636143676</v>
      </c>
      <c r="BH36" s="59">
        <f t="shared" si="8"/>
        <v>542.6315096947701</v>
      </c>
      <c r="BI36" s="59">
        <f ca="1">AVERAGE(OFFSET($BH$3,0,0,'Données projet'!$E$11+1,1))-AVERAGE(OFFSET($H$3,0,0,'Données projet'!$E$11+1,1))</f>
        <v>246.59447135626942</v>
      </c>
      <c r="BJ36" s="59">
        <f t="shared" si="38"/>
        <v>262.00382544285367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11.82373364003692</v>
      </c>
      <c r="BR36" s="21">
        <f>EXP(-LN(2)/2)*BR35+(1-EXP(-LN(2)/2))/(LN(2)/2)*BL36*BO36*VLOOKUP('Données projet'!$B$11,Paramètres!$A$1:$I$89,3,0)*0.475*44/12</f>
        <v>8.389595639996676</v>
      </c>
      <c r="BS36" s="22">
        <f t="shared" si="9"/>
        <v>20.213329280033598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69.599999999999994</v>
      </c>
      <c r="BZ36" s="13">
        <f>BY36*VLOOKUP('Données projet'!$B$12,Paramètres!$A$1:$I$89,3,0)*VLOOKUP('Données projet'!$B$12,Paramètres!$A$1:$I$89,5,0)</f>
        <v>62.974079999999994</v>
      </c>
      <c r="CA36" s="13">
        <f t="shared" si="39"/>
        <v>17.91807950185715</v>
      </c>
      <c r="CB36" s="20">
        <f t="shared" si="10"/>
        <v>140.88717779906787</v>
      </c>
      <c r="CC36" s="59">
        <f t="shared" si="11"/>
        <v>434.22051113240116</v>
      </c>
      <c r="CD36" s="59">
        <f ca="1">AVERAGE(OFFSET($CC$3,0,0,'Données projet'!$E$12+1,1))-AVERAGE(OFFSET($H$3,0,0,'Données projet'!$E$12+1,1))</f>
        <v>169.62156467157178</v>
      </c>
      <c r="CE36" s="59">
        <f t="shared" si="40"/>
        <v>85.631326020763254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10.199999999999999</v>
      </c>
      <c r="CT36" s="12">
        <f>IF('Données projet'!$A$140&gt;35,CT35+CS36-DB35,IF(A36&lt;'Données projet'!$A$140,$CQ$205^A36,IF(A36='Données projet'!$A$140,'Données projet'!$B$140,CT35+CS36-DB35)))</f>
        <v>148.59999999999994</v>
      </c>
      <c r="CU36" s="17">
        <f>CT36*VLOOKUP('Données projet'!$B$13,Paramètres!$A$1:$I$89,3,0)*VLOOKUP('Données projet'!$B$13,Paramètres!$A$1:$I$89,5,0)</f>
        <v>120.54431999999997</v>
      </c>
      <c r="CV36" s="13">
        <f t="shared" si="41"/>
        <v>31.80191953664422</v>
      </c>
      <c r="CW36" s="20">
        <f t="shared" si="13"/>
        <v>265.33636719298863</v>
      </c>
      <c r="CX36" s="59">
        <f t="shared" si="14"/>
        <v>558.669700526322</v>
      </c>
      <c r="CY36" s="59">
        <f ca="1">AVERAGE(OFFSET($CX$3,0,0,'Données projet'!$E$13+1,1))-AVERAGE(OFFSET($H$3,0,0,'Données projet'!$E$13+1,1))</f>
        <v>234.59657655504111</v>
      </c>
      <c r="CZ36" s="59">
        <f t="shared" si="42"/>
        <v>285.10598666479211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7.8274625068143306</v>
      </c>
      <c r="DH36" s="21">
        <f>EXP(-LN(2)/2)*DH35+(1-EXP(-LN(2)/2))/(LN(2)/2)*DB36*DE36*VLOOKUP('Données projet'!$B$13,Paramètres!$A$1:$I$89,3,0)*0.475*44/12</f>
        <v>3.8793890944216938</v>
      </c>
      <c r="DI36" s="22">
        <f t="shared" si="15"/>
        <v>11.706851601236025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5.2</v>
      </c>
      <c r="DO36" s="12">
        <f>IF('Données projet'!$A$166&gt;35,DO35+DN36-DW35,IF(A36&lt;'Données projet'!$A$166,$DL$205^A36,IF(A36='Données projet'!$A$166,'Données projet'!$B$166,DO35+DN36-DW35)))</f>
        <v>69.599999999999994</v>
      </c>
      <c r="DP36" s="17">
        <f>DO36*VLOOKUP('Données projet'!$B$14,Paramètres!$A$1:$I$89,3,0)*VLOOKUP('Données projet'!$B$14,Paramètres!$A$1:$I$89,5,0)</f>
        <v>67.317119999999989</v>
      </c>
      <c r="DQ36" s="13">
        <f t="shared" si="43"/>
        <v>19.005696112952641</v>
      </c>
      <c r="DR36" s="20">
        <f t="shared" si="16"/>
        <v>150.34557139672583</v>
      </c>
      <c r="DS36" s="59">
        <f t="shared" si="17"/>
        <v>443.67890473005912</v>
      </c>
      <c r="DT36" s="59">
        <f ca="1">AVERAGE(OFFSET($DS$3,0,0,'Données projet'!$E$14+1,1))-AVERAGE(OFFSET($H$3,0,0,'Données projet'!$E$14+1,1))</f>
        <v>186.90852124957956</v>
      </c>
      <c r="DU36" s="59">
        <f t="shared" si="44"/>
        <v>93.013797128776446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5.2</v>
      </c>
      <c r="EJ36" s="12">
        <f>IF('Données projet'!$A$192&gt;35,EJ35+EI36-ER35,IF(A36&lt;'Données projet'!$A$192,$EG$205^A36,IF(A36='Données projet'!$A$192,'Données projet'!$B$192,EJ35+EI36-ER35)))</f>
        <v>69.599999999999994</v>
      </c>
      <c r="EK36" s="17">
        <f>EJ36*VLOOKUP('Données projet'!$B$15,Paramètres!$A$1:$I$89,3,0)*VLOOKUP('Données projet'!$B$15,Paramètres!$A$1:$I$89,5,0)</f>
        <v>74.917439999999999</v>
      </c>
      <c r="EL36" s="13">
        <f t="shared" si="45"/>
        <v>20.88976433963396</v>
      </c>
      <c r="EM36" s="20">
        <f t="shared" si="19"/>
        <v>166.86421422486248</v>
      </c>
      <c r="EN36" s="59">
        <f t="shared" si="20"/>
        <v>460.19754755819577</v>
      </c>
      <c r="EO36" s="59">
        <f ca="1">AVERAGE(OFFSET($EN$3,0,0,'Données projet'!$E$15+1,1))-AVERAGE(OFFSET($H$3,0,0,'Données projet'!$E$15+1,1))</f>
        <v>217.10418688911096</v>
      </c>
      <c r="EP36" s="59">
        <f t="shared" si="46"/>
        <v>105.90631421515786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193</v>
      </c>
      <c r="L37" s="12">
        <f>VLOOKUP(A37,'Données projet'!$A$35:$I$55,9,0)</f>
        <v>11.666666666666666</v>
      </c>
      <c r="M37" s="12">
        <f t="array" ref="M37">INDEX(L:L,MIN(IF(ISNUMBER(L37:L233),ROW(L37:L233),"")))</f>
        <v>11.666666666666666</v>
      </c>
      <c r="N37" s="13">
        <f>IF('Données projet'!$A$36&gt;35,N36+M37-V36,IF(A37&lt;'Données projet'!$A$36,$K$205^A37,IF(A37='Données projet'!$A$36,'Données projet'!$B$36,N36+M37-V36)))</f>
        <v>192.99999999999994</v>
      </c>
      <c r="O37" s="13">
        <f>N37*VLOOKUP('Données projet'!$B$9,Paramètres!$A$1:$I$89,3,0)*VLOOKUP('Données projet'!$B$9,Paramètres!$A$1:$I$89,5,0)</f>
        <v>115.41399999999997</v>
      </c>
      <c r="P37" s="13">
        <f t="shared" si="33"/>
        <v>30.602976534547519</v>
      </c>
      <c r="Q37" s="20">
        <f t="shared" si="53"/>
        <v>254.31290079767018</v>
      </c>
      <c r="R37" s="59">
        <f t="shared" si="0"/>
        <v>547.64623413100344</v>
      </c>
      <c r="S37" s="59">
        <f ca="1">AVERAGE(OFFSET($R$3,0,0,'Données projet'!$E$9+1,1))-AVERAGE(OFFSET($H$3,0,0,'Données projet'!$E$9+1,1))</f>
        <v>145.19188637714888</v>
      </c>
      <c r="T37" s="59">
        <f t="shared" si="34"/>
        <v>169.74069292032493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38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2.0438091199718822</v>
      </c>
      <c r="AA37" s="21">
        <f>EXP(-LN(2)/25)*AA36+(1-EXP(-LN(2)/25))/(LN(2)/25)*Calculateur!V37*Calculateur!X37*VLOOKUP('Données projet'!$B$9,Paramètres!$A$1:$I$89,3,0)*0.475*44/12</f>
        <v>7.7469693402351449</v>
      </c>
      <c r="AB37" s="21">
        <f>EXP(-LN(2)/2)*AB36+(1-EXP(-LN(2)/2))/(LN(2)/2)*V37*Y37*VLOOKUP('Données projet'!$B$9,Paramètres!$A$1:$I$89,3,0)*0.475*44/12</f>
        <v>1.011380652669235</v>
      </c>
      <c r="AC37" s="22">
        <f t="shared" si="3"/>
        <v>10.802159112876263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10.1</v>
      </c>
      <c r="AI37" s="13">
        <f>IF('Données projet'!$A$62&gt;35,AI36+AH37-AQ36,IF(A37&lt;'Données projet'!$A$62,$AF$205^A37,IF(A37='Données projet'!$A$62,'Données projet'!$B$62,AI36+AH37-AQ36)))</f>
        <v>166.40000000000006</v>
      </c>
      <c r="AJ37" s="13">
        <f>AI37*VLOOKUP('Données projet'!$B$10,Paramètres!$A$1:$I$89,3,0)*VLOOKUP('Données projet'!$B$10,Paramètres!$A$1:$I$89,5,0)</f>
        <v>145.36704000000006</v>
      </c>
      <c r="AK37" s="13">
        <f t="shared" si="35"/>
        <v>37.523814117080832</v>
      </c>
      <c r="AL37" s="20">
        <f t="shared" si="4"/>
        <v>318.53490425391584</v>
      </c>
      <c r="AM37" s="59">
        <f t="shared" si="5"/>
        <v>611.86823758724915</v>
      </c>
      <c r="AN37" s="59">
        <f ca="1">AVERAGE(OFFSET($AM$3,0,0,'Données projet'!$E$10+1,1))-AVERAGE(OFFSET($H$3,0,0,'Données projet'!$E$10+1,1))</f>
        <v>254.24072778190163</v>
      </c>
      <c r="AO37" s="59">
        <f t="shared" si="36"/>
        <v>356.78706780980383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2.8389417585850145</v>
      </c>
      <c r="AV37" s="21">
        <f>EXP(-LN(2)/25)*AV36+(1-EXP(-LN(2)/25))/(LN(2)/25)*Calculateur!AQ37*Calculateur!AS37*VLOOKUP('Données projet'!$B$10,Paramètres!$A$1:$I$89,3,0)*0.475*44/12</f>
        <v>15.835145787721144</v>
      </c>
      <c r="AW37" s="21">
        <f>EXP(-LN(2)/2)*AW36+(1-EXP(-LN(2)/2))/(LN(2)/2)*AQ37*AT37*VLOOKUP('Données projet'!$B$10,Paramètres!$A$1:$I$89,3,0)*0.475*44/12</f>
        <v>6.9425017022911728</v>
      </c>
      <c r="AX37" s="21">
        <f t="shared" si="6"/>
        <v>25.616589248597329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13.7</v>
      </c>
      <c r="BD37" s="12">
        <f>IF('Données projet'!$A$88&gt;35,BD36+BC37-BL36,IF(A37&lt;'Données projet'!$A$88,$BA$205^A37,IF(A37='Données projet'!$A$88,'Données projet'!$B$88,BD36+BC37-BL36)))</f>
        <v>202.79999999999995</v>
      </c>
      <c r="BE37" s="13">
        <f>BD37*VLOOKUP('Données projet'!$B$11,Paramètres!$A$1:$I$89,3,0)*VLOOKUP('Données projet'!$B$11,Paramètres!$A$1:$I$89,5,0)</f>
        <v>121.27439999999999</v>
      </c>
      <c r="BF37" s="13">
        <f t="shared" si="37"/>
        <v>31.972049173215385</v>
      </c>
      <c r="BG37" s="20">
        <f t="shared" si="7"/>
        <v>266.90423231001677</v>
      </c>
      <c r="BH37" s="59">
        <f t="shared" si="8"/>
        <v>560.23756564335008</v>
      </c>
      <c r="BI37" s="59">
        <f ca="1">AVERAGE(OFFSET($BH$3,0,0,'Données projet'!$E$11+1,1))-AVERAGE(OFFSET($H$3,0,0,'Données projet'!$E$11+1,1))</f>
        <v>246.59447135626942</v>
      </c>
      <c r="BJ37" s="59">
        <f t="shared" si="38"/>
        <v>262.00382544285367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11.500413021866981</v>
      </c>
      <c r="BR37" s="21">
        <f>EXP(-LN(2)/2)*BR36+(1-EXP(-LN(2)/2))/(LN(2)/2)*BL37*BO37*VLOOKUP('Données projet'!$B$11,Paramètres!$A$1:$I$89,3,0)*0.475*44/12</f>
        <v>5.9323399684547429</v>
      </c>
      <c r="BS37" s="22">
        <f t="shared" si="9"/>
        <v>17.432752990321724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74.8</v>
      </c>
      <c r="BZ37" s="13">
        <f>BY37*VLOOKUP('Données projet'!$B$12,Paramètres!$A$1:$I$89,3,0)*VLOOKUP('Données projet'!$B$12,Paramètres!$A$1:$I$89,5,0)</f>
        <v>67.679039999999986</v>
      </c>
      <c r="CA37" s="13">
        <f t="shared" si="39"/>
        <v>19.095955192788225</v>
      </c>
      <c r="CB37" s="20">
        <f t="shared" si="10"/>
        <v>151.13311662743948</v>
      </c>
      <c r="CC37" s="59">
        <f t="shared" si="11"/>
        <v>444.46644996077282</v>
      </c>
      <c r="CD37" s="59">
        <f ca="1">AVERAGE(OFFSET($CC$3,0,0,'Données projet'!$E$12+1,1))-AVERAGE(OFFSET($H$3,0,0,'Données projet'!$E$12+1,1))</f>
        <v>169.62156467157178</v>
      </c>
      <c r="CE37" s="59">
        <f t="shared" si="40"/>
        <v>85.631326020763254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10.199999999999999</v>
      </c>
      <c r="CT37" s="12">
        <f>IF('Données projet'!$A$140&gt;35,CT36+CS37-DB36,IF(A37&lt;'Données projet'!$A$140,$CQ$205^A37,IF(A37='Données projet'!$A$140,'Données projet'!$B$140,CT36+CS37-DB36)))</f>
        <v>158.79999999999993</v>
      </c>
      <c r="CU37" s="17">
        <f>CT37*VLOOKUP('Données projet'!$B$13,Paramètres!$A$1:$I$89,3,0)*VLOOKUP('Données projet'!$B$13,Paramètres!$A$1:$I$89,5,0)</f>
        <v>128.81855999999996</v>
      </c>
      <c r="CV37" s="13">
        <f t="shared" si="41"/>
        <v>33.723218352057046</v>
      </c>
      <c r="CW37" s="20">
        <f t="shared" si="13"/>
        <v>283.09359729649924</v>
      </c>
      <c r="CX37" s="59">
        <f t="shared" si="14"/>
        <v>576.42693062983255</v>
      </c>
      <c r="CY37" s="59">
        <f ca="1">AVERAGE(OFFSET($CX$3,0,0,'Données projet'!$E$13+1,1))-AVERAGE(OFFSET($H$3,0,0,'Données projet'!$E$13+1,1))</f>
        <v>234.59657655504111</v>
      </c>
      <c r="CZ37" s="59">
        <f t="shared" si="42"/>
        <v>285.10598666479211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7.6134201329371294</v>
      </c>
      <c r="DH37" s="21">
        <f>EXP(-LN(2)/2)*DH36+(1-EXP(-LN(2)/2))/(LN(2)/2)*DB37*DE37*VLOOKUP('Données projet'!$B$13,Paramètres!$A$1:$I$89,3,0)*0.475*44/12</f>
        <v>2.7431423355267195</v>
      </c>
      <c r="DI37" s="22">
        <f t="shared" si="15"/>
        <v>10.356562468463849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5.2</v>
      </c>
      <c r="DO37" s="12">
        <f>IF('Données projet'!$A$166&gt;35,DO36+DN37-DW36,IF(A37&lt;'Données projet'!$A$166,$DL$205^A37,IF(A37='Données projet'!$A$166,'Données projet'!$B$166,DO36+DN37-DW36)))</f>
        <v>74.8</v>
      </c>
      <c r="DP37" s="17">
        <f>DO37*VLOOKUP('Données projet'!$B$14,Paramètres!$A$1:$I$89,3,0)*VLOOKUP('Données projet'!$B$14,Paramètres!$A$1:$I$89,5,0)</f>
        <v>72.346559999999997</v>
      </c>
      <c r="DQ37" s="13">
        <f t="shared" si="43"/>
        <v>20.255068147402529</v>
      </c>
      <c r="DR37" s="20">
        <f t="shared" si="16"/>
        <v>161.28116902339272</v>
      </c>
      <c r="DS37" s="59">
        <f t="shared" si="17"/>
        <v>454.61450235672601</v>
      </c>
      <c r="DT37" s="59">
        <f ca="1">AVERAGE(OFFSET($DS$3,0,0,'Données projet'!$E$14+1,1))-AVERAGE(OFFSET($H$3,0,0,'Données projet'!$E$14+1,1))</f>
        <v>186.90852124957956</v>
      </c>
      <c r="DU37" s="59">
        <f t="shared" si="44"/>
        <v>93.013797128776446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5.2</v>
      </c>
      <c r="EJ37" s="12">
        <f>IF('Données projet'!$A$192&gt;35,EJ36+EI37-ER36,IF(A37&lt;'Données projet'!$A$192,$EG$205^A37,IF(A37='Données projet'!$A$192,'Données projet'!$B$192,EJ36+EI37-ER36)))</f>
        <v>74.8</v>
      </c>
      <c r="EK37" s="17">
        <f>EJ37*VLOOKUP('Données projet'!$B$15,Paramètres!$A$1:$I$89,3,0)*VLOOKUP('Données projet'!$B$15,Paramètres!$A$1:$I$89,5,0)</f>
        <v>80.514719999999997</v>
      </c>
      <c r="EL37" s="13">
        <f t="shared" si="45"/>
        <v>22.262988830706398</v>
      </c>
      <c r="EM37" s="20">
        <f t="shared" si="19"/>
        <v>179.00450954681364</v>
      </c>
      <c r="EN37" s="59">
        <f t="shared" si="20"/>
        <v>472.33784288014692</v>
      </c>
      <c r="EO37" s="59">
        <f ca="1">AVERAGE(OFFSET($EN$3,0,0,'Données projet'!$E$15+1,1))-AVERAGE(OFFSET($H$3,0,0,'Données projet'!$E$15+1,1))</f>
        <v>217.10418688911096</v>
      </c>
      <c r="EP37" s="59">
        <f t="shared" si="46"/>
        <v>105.90631421515786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164.99999999999994</v>
      </c>
      <c r="O38" s="13">
        <f>N38*VLOOKUP('Données projet'!$B$9,Paramètres!$A$1:$I$89,3,0)*VLOOKUP('Données projet'!$B$9,Paramètres!$A$1:$I$89,5,0)</f>
        <v>98.669999999999973</v>
      </c>
      <c r="P38" s="13">
        <f t="shared" si="33"/>
        <v>26.644896901954066</v>
      </c>
      <c r="Q38" s="20">
        <f t="shared" si="53"/>
        <v>218.25677877090325</v>
      </c>
      <c r="R38" s="59">
        <f t="shared" si="0"/>
        <v>511.5901121042366</v>
      </c>
      <c r="S38" s="59">
        <f ca="1">AVERAGE(OFFSET($R$3,0,0,'Données projet'!$E$9+1,1))-AVERAGE(OFFSET($H$3,0,0,'Données projet'!$E$9+1,1))</f>
        <v>145.19188637714888</v>
      </c>
      <c r="T38" s="59">
        <f t="shared" si="34"/>
        <v>169.74069292032493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2.0037312697297054</v>
      </c>
      <c r="AA38" s="21">
        <f>EXP(-LN(2)/25)*AA37+(1-EXP(-LN(2)/25))/(LN(2)/25)*Calculateur!V38*Calculateur!X38*VLOOKUP('Données projet'!$B$9,Paramètres!$A$1:$I$89,3,0)*0.475*44/12</f>
        <v>7.5351280562310032</v>
      </c>
      <c r="AB38" s="21">
        <f>EXP(-LN(2)/2)*AB37+(1-EXP(-LN(2)/2))/(LN(2)/2)*V38*Y38*VLOOKUP('Données projet'!$B$9,Paramètres!$A$1:$I$89,3,0)*0.475*44/12</f>
        <v>0.71515411786329242</v>
      </c>
      <c r="AC38" s="22">
        <f t="shared" si="3"/>
        <v>10.254013443824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10.1</v>
      </c>
      <c r="AI38" s="13">
        <f>IF('Données projet'!$A$62&gt;35,AI37+AH38-AQ37,IF(A38&lt;'Données projet'!$A$62,$AF$205^A38,IF(A38='Données projet'!$A$62,'Données projet'!$B$62,AI37+AH38-AQ37)))</f>
        <v>176.50000000000006</v>
      </c>
      <c r="AJ38" s="13">
        <f>AI38*VLOOKUP('Données projet'!$B$10,Paramètres!$A$1:$I$89,3,0)*VLOOKUP('Données projet'!$B$10,Paramètres!$A$1:$I$89,5,0)</f>
        <v>154.19040000000007</v>
      </c>
      <c r="AK38" s="13">
        <f t="shared" si="35"/>
        <v>39.529336625598283</v>
      </c>
      <c r="AL38" s="20">
        <f t="shared" si="4"/>
        <v>337.39520795625043</v>
      </c>
      <c r="AM38" s="59">
        <f t="shared" si="5"/>
        <v>630.72854128958375</v>
      </c>
      <c r="AN38" s="59">
        <f ca="1">AVERAGE(OFFSET($AM$3,0,0,'Données projet'!$E$10+1,1))-AVERAGE(OFFSET($H$3,0,0,'Données projet'!$E$10+1,1))</f>
        <v>254.24072778190163</v>
      </c>
      <c r="AO38" s="59">
        <f t="shared" si="36"/>
        <v>356.78706780980383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2.7832718422826557</v>
      </c>
      <c r="AV38" s="21">
        <f>EXP(-LN(2)/25)*AV37+(1-EXP(-LN(2)/25))/(LN(2)/25)*Calculateur!AQ38*Calculateur!AS38*VLOOKUP('Données projet'!$B$10,Paramètres!$A$1:$I$89,3,0)*0.475*44/12</f>
        <v>15.402132893421784</v>
      </c>
      <c r="AW38" s="21">
        <f>EXP(-LN(2)/2)*AW37+(1-EXP(-LN(2)/2))/(LN(2)/2)*AQ38*AT38*VLOOKUP('Données projet'!$B$10,Paramètres!$A$1:$I$89,3,0)*0.475*44/12</f>
        <v>4.9090900320892388</v>
      </c>
      <c r="AX38" s="21">
        <f t="shared" si="6"/>
        <v>23.09449476779368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13.7</v>
      </c>
      <c r="BD38" s="12">
        <f>IF('Données projet'!$A$88&gt;35,BD37+BC38-BL37,IF(A38&lt;'Données projet'!$A$88,$BA$205^A38,IF(A38='Données projet'!$A$88,'Données projet'!$B$88,BD37+BC38-BL37)))</f>
        <v>216.49999999999994</v>
      </c>
      <c r="BE38" s="13">
        <f>BD38*VLOOKUP('Données projet'!$B$11,Paramètres!$A$1:$I$89,3,0)*VLOOKUP('Données projet'!$B$11,Paramètres!$A$1:$I$89,5,0)</f>
        <v>129.46699999999998</v>
      </c>
      <c r="BF38" s="13">
        <f t="shared" si="37"/>
        <v>33.873169248083329</v>
      </c>
      <c r="BG38" s="20">
        <f t="shared" si="7"/>
        <v>284.48412810707845</v>
      </c>
      <c r="BH38" s="59">
        <f t="shared" si="8"/>
        <v>577.81746144041176</v>
      </c>
      <c r="BI38" s="59">
        <f ca="1">AVERAGE(OFFSET($BH$3,0,0,'Données projet'!$E$11+1,1))-AVERAGE(OFFSET($H$3,0,0,'Données projet'!$E$11+1,1))</f>
        <v>246.59447135626942</v>
      </c>
      <c r="BJ38" s="59">
        <f t="shared" si="38"/>
        <v>262.00382544285367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11.185933623003592</v>
      </c>
      <c r="BR38" s="21">
        <f>EXP(-LN(2)/2)*BR37+(1-EXP(-LN(2)/2))/(LN(2)/2)*BL38*BO38*VLOOKUP('Données projet'!$B$11,Paramètres!$A$1:$I$89,3,0)*0.475*44/12</f>
        <v>4.194797819998338</v>
      </c>
      <c r="BS38" s="22">
        <f t="shared" si="9"/>
        <v>15.380731443001931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80</v>
      </c>
      <c r="BZ38" s="13">
        <f>BY38*VLOOKUP('Données projet'!$B$12,Paramètres!$A$1:$I$89,3,0)*VLOOKUP('Données projet'!$B$12,Paramètres!$A$1:$I$89,5,0)</f>
        <v>72.384</v>
      </c>
      <c r="CA38" s="13">
        <f t="shared" si="39"/>
        <v>20.264329923804397</v>
      </c>
      <c r="CB38" s="20">
        <f t="shared" si="10"/>
        <v>161.362507950626</v>
      </c>
      <c r="CC38" s="59">
        <f t="shared" si="11"/>
        <v>454.69584128395934</v>
      </c>
      <c r="CD38" s="59">
        <f ca="1">AVERAGE(OFFSET($CC$3,0,0,'Données projet'!$E$12+1,1))-AVERAGE(OFFSET($H$3,0,0,'Données projet'!$E$12+1,1))</f>
        <v>169.62156467157178</v>
      </c>
      <c r="CE38" s="59">
        <f t="shared" si="40"/>
        <v>85.631326020763254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10.199999999999999</v>
      </c>
      <c r="CT38" s="12">
        <f>IF('Données projet'!$A$140&gt;35,CT37+CS38-DB37,IF(A38&lt;'Données projet'!$A$140,$CQ$205^A38,IF(A38='Données projet'!$A$140,'Données projet'!$B$140,CT37+CS38-DB37)))</f>
        <v>168.99999999999991</v>
      </c>
      <c r="CU38" s="17">
        <f>CT38*VLOOKUP('Données projet'!$B$13,Paramètres!$A$1:$I$89,3,0)*VLOOKUP('Données projet'!$B$13,Paramètres!$A$1:$I$89,5,0)</f>
        <v>137.09279999999993</v>
      </c>
      <c r="CV38" s="13">
        <f t="shared" si="41"/>
        <v>35.630195607611064</v>
      </c>
      <c r="CW38" s="20">
        <f t="shared" si="13"/>
        <v>300.8258840165891</v>
      </c>
      <c r="CX38" s="59">
        <f t="shared" si="14"/>
        <v>594.15921734992241</v>
      </c>
      <c r="CY38" s="59">
        <f ca="1">AVERAGE(OFFSET($CX$3,0,0,'Données projet'!$E$13+1,1))-AVERAGE(OFFSET($H$3,0,0,'Données projet'!$E$13+1,1))</f>
        <v>234.59657655504111</v>
      </c>
      <c r="CZ38" s="59">
        <f t="shared" si="42"/>
        <v>285.10598666479211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7.4052307590295996</v>
      </c>
      <c r="DH38" s="21">
        <f>EXP(-LN(2)/2)*DH37+(1-EXP(-LN(2)/2))/(LN(2)/2)*DB38*DE38*VLOOKUP('Données projet'!$B$13,Paramètres!$A$1:$I$89,3,0)*0.475*44/12</f>
        <v>1.9396945472108471</v>
      </c>
      <c r="DI38" s="22">
        <f t="shared" si="15"/>
        <v>9.3449253062404463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5.2</v>
      </c>
      <c r="DO38" s="12">
        <f>IF('Données projet'!$A$166&gt;35,DO37+DN38-DW37,IF(A38&lt;'Données projet'!$A$166,$DL$205^A38,IF(A38='Données projet'!$A$166,'Données projet'!$B$166,DO37+DN38-DW37)))</f>
        <v>80</v>
      </c>
      <c r="DP38" s="17">
        <f>DO38*VLOOKUP('Données projet'!$B$14,Paramètres!$A$1:$I$89,3,0)*VLOOKUP('Données projet'!$B$14,Paramètres!$A$1:$I$89,5,0)</f>
        <v>77.376000000000005</v>
      </c>
      <c r="DQ38" s="13">
        <f t="shared" si="43"/>
        <v>21.494362519405076</v>
      </c>
      <c r="DR38" s="20">
        <f t="shared" si="16"/>
        <v>172.19921472129715</v>
      </c>
      <c r="DS38" s="59">
        <f t="shared" si="17"/>
        <v>465.53254805463047</v>
      </c>
      <c r="DT38" s="59">
        <f ca="1">AVERAGE(OFFSET($DS$3,0,0,'Données projet'!$E$14+1,1))-AVERAGE(OFFSET($H$3,0,0,'Données projet'!$E$14+1,1))</f>
        <v>186.90852124957956</v>
      </c>
      <c r="DU38" s="59">
        <f t="shared" si="44"/>
        <v>93.013797128776446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5.2</v>
      </c>
      <c r="EJ38" s="12">
        <f>IF('Données projet'!$A$192&gt;35,EJ37+EI38-ER37,IF(A38&lt;'Données projet'!$A$192,$EG$205^A38,IF(A38='Données projet'!$A$192,'Données projet'!$B$192,EJ37+EI38-ER37)))</f>
        <v>80</v>
      </c>
      <c r="EK38" s="17">
        <f>EJ38*VLOOKUP('Données projet'!$B$15,Paramètres!$A$1:$I$89,3,0)*VLOOKUP('Données projet'!$B$15,Paramètres!$A$1:$I$89,5,0)</f>
        <v>86.111999999999995</v>
      </c>
      <c r="EL38" s="13">
        <f t="shared" si="45"/>
        <v>23.625136642852297</v>
      </c>
      <c r="EM38" s="20">
        <f t="shared" si="19"/>
        <v>191.12551298630106</v>
      </c>
      <c r="EN38" s="59">
        <f t="shared" si="20"/>
        <v>484.4588463196344</v>
      </c>
      <c r="EO38" s="59">
        <f ca="1">AVERAGE(OFFSET($EN$3,0,0,'Données projet'!$E$15+1,1))-AVERAGE(OFFSET($H$3,0,0,'Données projet'!$E$15+1,1))</f>
        <v>217.10418688911096</v>
      </c>
      <c r="EP38" s="59">
        <f t="shared" si="46"/>
        <v>105.90631421515786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174.99999999999994</v>
      </c>
      <c r="O39" s="13">
        <f>N39*VLOOKUP('Données projet'!$B$9,Paramètres!$A$1:$I$89,3,0)*VLOOKUP('Données projet'!$B$9,Paramètres!$A$1:$I$89,5,0)</f>
        <v>104.64999999999996</v>
      </c>
      <c r="P39" s="13">
        <f t="shared" si="33"/>
        <v>28.066848529735861</v>
      </c>
      <c r="Q39" s="20">
        <f t="shared" si="53"/>
        <v>231.14851118928985</v>
      </c>
      <c r="R39" s="59">
        <f t="shared" si="0"/>
        <v>524.48184452262319</v>
      </c>
      <c r="S39" s="59">
        <f ca="1">AVERAGE(OFFSET($R$3,0,0,'Données projet'!$E$9+1,1))-AVERAGE(OFFSET($H$3,0,0,'Données projet'!$E$9+1,1))</f>
        <v>145.19188637714888</v>
      </c>
      <c r="T39" s="59">
        <f t="shared" si="34"/>
        <v>169.74069292032493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1.9644393216857026</v>
      </c>
      <c r="AA39" s="21">
        <f>EXP(-LN(2)/25)*AA38+(1-EXP(-LN(2)/25))/(LN(2)/25)*Calculateur!V39*Calculateur!X39*VLOOKUP('Données projet'!$B$9,Paramètres!$A$1:$I$89,3,0)*0.475*44/12</f>
        <v>7.3290795832782036</v>
      </c>
      <c r="AB39" s="21">
        <f>EXP(-LN(2)/2)*AB38+(1-EXP(-LN(2)/2))/(LN(2)/2)*V39*Y39*VLOOKUP('Données projet'!$B$9,Paramètres!$A$1:$I$89,3,0)*0.475*44/12</f>
        <v>0.50569032633461752</v>
      </c>
      <c r="AC39" s="22">
        <f t="shared" si="3"/>
        <v>9.7992092312985246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10.1</v>
      </c>
      <c r="AI39" s="13">
        <f>IF('Données projet'!$A$62&gt;35,AI38+AH39-AQ38,IF(A39&lt;'Données projet'!$A$62,$AF$205^A39,IF(A39='Données projet'!$A$62,'Données projet'!$B$62,AI38+AH39-AQ38)))</f>
        <v>186.60000000000005</v>
      </c>
      <c r="AJ39" s="13">
        <f>AI39*VLOOKUP('Données projet'!$B$10,Paramètres!$A$1:$I$89,3,0)*VLOOKUP('Données projet'!$B$10,Paramètres!$A$1:$I$89,5,0)</f>
        <v>163.01376000000008</v>
      </c>
      <c r="AK39" s="13">
        <f t="shared" si="35"/>
        <v>41.5215373664754</v>
      </c>
      <c r="AL39" s="20">
        <f t="shared" si="4"/>
        <v>356.23230957994474</v>
      </c>
      <c r="AM39" s="59">
        <f t="shared" si="5"/>
        <v>649.565642913278</v>
      </c>
      <c r="AN39" s="59">
        <f ca="1">AVERAGE(OFFSET($AM$3,0,0,'Données projet'!$E$10+1,1))-AVERAGE(OFFSET($H$3,0,0,'Données projet'!$E$10+1,1))</f>
        <v>254.24072778190163</v>
      </c>
      <c r="AO39" s="59">
        <f t="shared" si="36"/>
        <v>356.78706780980383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2.7286935790836897</v>
      </c>
      <c r="AV39" s="21">
        <f>EXP(-LN(2)/25)*AV38+(1-EXP(-LN(2)/25))/(LN(2)/25)*Calculateur!AQ39*Calculateur!AS39*VLOOKUP('Données projet'!$B$10,Paramètres!$A$1:$I$89,3,0)*0.475*44/12</f>
        <v>14.980960759488198</v>
      </c>
      <c r="AW39" s="21">
        <f>EXP(-LN(2)/2)*AW38+(1-EXP(-LN(2)/2))/(LN(2)/2)*AQ39*AT39*VLOOKUP('Données projet'!$B$10,Paramètres!$A$1:$I$89,3,0)*0.475*44/12</f>
        <v>3.4712508511455873</v>
      </c>
      <c r="AX39" s="21">
        <f t="shared" si="6"/>
        <v>21.180905189717475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13.7</v>
      </c>
      <c r="BD39" s="12">
        <f>IF('Données projet'!$A$88&gt;35,BD38+BC39-BL38,IF(A39&lt;'Données projet'!$A$88,$BA$205^A39,IF(A39='Données projet'!$A$88,'Données projet'!$B$88,BD38+BC39-BL38)))</f>
        <v>230.19999999999993</v>
      </c>
      <c r="BE39" s="13">
        <f>BD39*VLOOKUP('Données projet'!$B$11,Paramètres!$A$1:$I$89,3,0)*VLOOKUP('Données projet'!$B$11,Paramètres!$A$1:$I$89,5,0)</f>
        <v>137.65959999999995</v>
      </c>
      <c r="BF39" s="13">
        <f t="shared" si="37"/>
        <v>35.760327802577585</v>
      </c>
      <c r="BG39" s="20">
        <f t="shared" si="7"/>
        <v>302.03970758948918</v>
      </c>
      <c r="BH39" s="59">
        <f t="shared" si="8"/>
        <v>595.3730409228225</v>
      </c>
      <c r="BI39" s="59">
        <f ca="1">AVERAGE(OFFSET($BH$3,0,0,'Données projet'!$E$11+1,1))-AVERAGE(OFFSET($H$3,0,0,'Données projet'!$E$11+1,1))</f>
        <v>246.59447135626942</v>
      </c>
      <c r="BJ39" s="59">
        <f t="shared" si="38"/>
        <v>262.00382544285367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10.880053679839875</v>
      </c>
      <c r="BR39" s="21">
        <f>EXP(-LN(2)/2)*BR38+(1-EXP(-LN(2)/2))/(LN(2)/2)*BL39*BO39*VLOOKUP('Données projet'!$B$11,Paramètres!$A$1:$I$89,3,0)*0.475*44/12</f>
        <v>2.9661699842273714</v>
      </c>
      <c r="BS39" s="22">
        <f t="shared" si="9"/>
        <v>13.846223664067246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5.2</v>
      </c>
      <c r="BY39" s="12">
        <f>IF('Données projet'!$A$114&gt;35,BY38+BX39-CG38,IF(A39&lt;'Données projet'!$A$114,$BV$205^A39,IF(A39='Données projet'!$A$114,'Données projet'!$B$114,BY38+BX39-CG38)))</f>
        <v>85.2</v>
      </c>
      <c r="BZ39" s="13">
        <f>BY39*VLOOKUP('Données projet'!$B$12,Paramètres!$A$1:$I$89,3,0)*VLOOKUP('Données projet'!$B$12,Paramètres!$A$1:$I$89,5,0)</f>
        <v>77.08896</v>
      </c>
      <c r="CA39" s="13">
        <f t="shared" si="39"/>
        <v>21.423891539868706</v>
      </c>
      <c r="CB39" s="20">
        <f t="shared" si="10"/>
        <v>171.57654976527132</v>
      </c>
      <c r="CC39" s="59">
        <f t="shared" si="11"/>
        <v>464.90988309860461</v>
      </c>
      <c r="CD39" s="59">
        <f ca="1">AVERAGE(OFFSET($CC$3,0,0,'Données projet'!$E$12+1,1))-AVERAGE(OFFSET($H$3,0,0,'Données projet'!$E$12+1,1))</f>
        <v>169.62156467157178</v>
      </c>
      <c r="CE39" s="59">
        <f t="shared" si="40"/>
        <v>85.631326020763254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10.199999999999999</v>
      </c>
      <c r="CT39" s="12">
        <f>IF('Données projet'!$A$140&gt;35,CT38+CS39-DB38,IF(A39&lt;'Données projet'!$A$140,$CQ$205^A39,IF(A39='Données projet'!$A$140,'Données projet'!$B$140,CT38+CS39-DB38)))</f>
        <v>179.1999999999999</v>
      </c>
      <c r="CU39" s="17">
        <f>CT39*VLOOKUP('Données projet'!$B$13,Paramètres!$A$1:$I$89,3,0)*VLOOKUP('Données projet'!$B$13,Paramètres!$A$1:$I$89,5,0)</f>
        <v>145.36703999999995</v>
      </c>
      <c r="CV39" s="13">
        <f t="shared" si="41"/>
        <v>37.523814117080803</v>
      </c>
      <c r="CW39" s="20">
        <f t="shared" si="13"/>
        <v>318.53490425391561</v>
      </c>
      <c r="CX39" s="59">
        <f t="shared" si="14"/>
        <v>611.86823758724893</v>
      </c>
      <c r="CY39" s="59">
        <f ca="1">AVERAGE(OFFSET($CX$3,0,0,'Données projet'!$E$13+1,1))-AVERAGE(OFFSET($H$3,0,0,'Données projet'!$E$13+1,1))</f>
        <v>234.59657655504111</v>
      </c>
      <c r="CZ39" s="59">
        <f t="shared" si="42"/>
        <v>285.10598666479211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7.2027343344997741</v>
      </c>
      <c r="DH39" s="21">
        <f>EXP(-LN(2)/2)*DH38+(1-EXP(-LN(2)/2))/(LN(2)/2)*DB39*DE39*VLOOKUP('Données projet'!$B$13,Paramètres!$A$1:$I$89,3,0)*0.475*44/12</f>
        <v>1.37157116776336</v>
      </c>
      <c r="DI39" s="22">
        <f t="shared" si="15"/>
        <v>8.5743055022631331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5.2</v>
      </c>
      <c r="DO39" s="12">
        <f>IF('Données projet'!$A$166&gt;35,DO38+DN39-DW38,IF(A39&lt;'Données projet'!$A$166,$DL$205^A39,IF(A39='Données projet'!$A$166,'Données projet'!$B$166,DO38+DN39-DW38)))</f>
        <v>85.2</v>
      </c>
      <c r="DP39" s="17">
        <f>DO39*VLOOKUP('Données projet'!$B$14,Paramètres!$A$1:$I$89,3,0)*VLOOKUP('Données projet'!$B$14,Paramètres!$A$1:$I$89,5,0)</f>
        <v>82.405439999999999</v>
      </c>
      <c r="DQ39" s="13">
        <f t="shared" si="43"/>
        <v>22.724308825697463</v>
      </c>
      <c r="DR39" s="20">
        <f t="shared" si="16"/>
        <v>183.10097920475641</v>
      </c>
      <c r="DS39" s="59">
        <f t="shared" si="17"/>
        <v>476.43431253808973</v>
      </c>
      <c r="DT39" s="59">
        <f ca="1">AVERAGE(OFFSET($DS$3,0,0,'Données projet'!$E$14+1,1))-AVERAGE(OFFSET($H$3,0,0,'Données projet'!$E$14+1,1))</f>
        <v>186.90852124957956</v>
      </c>
      <c r="DU39" s="59">
        <f t="shared" si="44"/>
        <v>93.013797128776446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5.2</v>
      </c>
      <c r="EJ39" s="12">
        <f>IF('Données projet'!$A$192&gt;35,EJ38+EI39-ER38,IF(A39&lt;'Données projet'!$A$192,$EG$205^A39,IF(A39='Données projet'!$A$192,'Données projet'!$B$192,EJ38+EI39-ER38)))</f>
        <v>85.2</v>
      </c>
      <c r="EK39" s="17">
        <f>EJ39*VLOOKUP('Données projet'!$B$15,Paramètres!$A$1:$I$89,3,0)*VLOOKUP('Données projet'!$B$15,Paramètres!$A$1:$I$89,5,0)</f>
        <v>91.709279999999993</v>
      </c>
      <c r="EL39" s="13">
        <f t="shared" si="45"/>
        <v>24.977009699022066</v>
      </c>
      <c r="EM39" s="20">
        <f t="shared" si="19"/>
        <v>203.22862122579673</v>
      </c>
      <c r="EN39" s="59">
        <f t="shared" si="20"/>
        <v>496.56195455913007</v>
      </c>
      <c r="EO39" s="59">
        <f ca="1">AVERAGE(OFFSET($EN$3,0,0,'Données projet'!$E$15+1,1))-AVERAGE(OFFSET($H$3,0,0,'Données projet'!$E$15+1,1))</f>
        <v>217.10418688911096</v>
      </c>
      <c r="EP39" s="59">
        <f t="shared" si="46"/>
        <v>105.90631421515786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184.99999999999994</v>
      </c>
      <c r="O40" s="13">
        <f>N40*VLOOKUP('Données projet'!$B$9,Paramètres!$A$1:$I$89,3,0)*VLOOKUP('Données projet'!$B$9,Paramètres!$A$1:$I$89,5,0)</f>
        <v>110.62999999999998</v>
      </c>
      <c r="P40" s="13">
        <f t="shared" si="33"/>
        <v>29.479368114771006</v>
      </c>
      <c r="Q40" s="20">
        <f t="shared" si="53"/>
        <v>244.02381613322609</v>
      </c>
      <c r="R40" s="59">
        <f t="shared" si="0"/>
        <v>537.35714946655935</v>
      </c>
      <c r="S40" s="59">
        <f ca="1">AVERAGE(OFFSET($R$3,0,0,'Données projet'!$E$9+1,1))-AVERAGE(OFFSET($H$3,0,0,'Données projet'!$E$9+1,1))</f>
        <v>145.19188637714888</v>
      </c>
      <c r="T40" s="59">
        <f t="shared" si="34"/>
        <v>169.74069292032493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1.9259178647771207</v>
      </c>
      <c r="AA40" s="21">
        <f>EXP(-LN(2)/25)*AA39+(1-EXP(-LN(2)/25))/(LN(2)/25)*Calculateur!V40*Calculateur!X40*VLOOKUP('Données projet'!$B$9,Paramètres!$A$1:$I$89,3,0)*0.475*44/12</f>
        <v>7.1286655166539168</v>
      </c>
      <c r="AB40" s="21">
        <f>EXP(-LN(2)/2)*AB39+(1-EXP(-LN(2)/2))/(LN(2)/2)*V40*Y40*VLOOKUP('Données projet'!$B$9,Paramètres!$A$1:$I$89,3,0)*0.475*44/12</f>
        <v>0.35757705893164621</v>
      </c>
      <c r="AC40" s="22">
        <f t="shared" si="3"/>
        <v>9.4121604403626833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10.1</v>
      </c>
      <c r="AI40" s="13">
        <f>IF('Données projet'!$A$62&gt;35,AI39+AH40-AQ39,IF(A40&lt;'Données projet'!$A$62,$AF$205^A40,IF(A40='Données projet'!$A$62,'Données projet'!$B$62,AI39+AH40-AQ39)))</f>
        <v>196.70000000000005</v>
      </c>
      <c r="AJ40" s="13">
        <f>AI40*VLOOKUP('Données projet'!$B$10,Paramètres!$A$1:$I$89,3,0)*VLOOKUP('Données projet'!$B$10,Paramètres!$A$1:$I$89,5,0)</f>
        <v>171.83712000000006</v>
      </c>
      <c r="AK40" s="13">
        <f t="shared" si="35"/>
        <v>43.501219605956322</v>
      </c>
      <c r="AL40" s="20">
        <f t="shared" si="4"/>
        <v>375.04760814704065</v>
      </c>
      <c r="AM40" s="59">
        <f t="shared" si="5"/>
        <v>668.38094148037396</v>
      </c>
      <c r="AN40" s="59">
        <f ca="1">AVERAGE(OFFSET($AM$3,0,0,'Données projet'!$E$10+1,1))-AVERAGE(OFFSET($H$3,0,0,'Données projet'!$E$10+1,1))</f>
        <v>254.24072778190163</v>
      </c>
      <c r="AO40" s="59">
        <f t="shared" si="36"/>
        <v>356.78706780980383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2.6751855623366021</v>
      </c>
      <c r="AV40" s="21">
        <f>EXP(-LN(2)/25)*AV39+(1-EXP(-LN(2)/25))/(LN(2)/25)*Calculateur!AQ40*Calculateur!AS40*VLOOKUP('Données projet'!$B$10,Paramètres!$A$1:$I$89,3,0)*0.475*44/12</f>
        <v>14.571305599705507</v>
      </c>
      <c r="AW40" s="21">
        <f>EXP(-LN(2)/2)*AW39+(1-EXP(-LN(2)/2))/(LN(2)/2)*AQ40*AT40*VLOOKUP('Données projet'!$B$10,Paramètres!$A$1:$I$89,3,0)*0.475*44/12</f>
        <v>2.4545450160446198</v>
      </c>
      <c r="AX40" s="21">
        <f t="shared" si="6"/>
        <v>19.701036178086728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13.7</v>
      </c>
      <c r="BD40" s="12">
        <f>IF('Données projet'!$A$88&gt;35,BD39+BC40-BL39,IF(A40&lt;'Données projet'!$A$88,$BA$205^A40,IF(A40='Données projet'!$A$88,'Données projet'!$B$88,BD39+BC40-BL39)))</f>
        <v>243.89999999999992</v>
      </c>
      <c r="BE40" s="13">
        <f>BD40*VLOOKUP('Données projet'!$B$11,Paramètres!$A$1:$I$89,3,0)*VLOOKUP('Données projet'!$B$11,Paramètres!$A$1:$I$89,5,0)</f>
        <v>145.85219999999998</v>
      </c>
      <c r="BF40" s="13">
        <f t="shared" si="37"/>
        <v>37.634450370795903</v>
      </c>
      <c r="BG40" s="20">
        <f t="shared" si="7"/>
        <v>319.57258272913612</v>
      </c>
      <c r="BH40" s="59">
        <f t="shared" si="8"/>
        <v>612.90591606246949</v>
      </c>
      <c r="BI40" s="59">
        <f ca="1">AVERAGE(OFFSET($BH$3,0,0,'Données projet'!$E$11+1,1))-AVERAGE(OFFSET($H$3,0,0,'Données projet'!$E$11+1,1))</f>
        <v>246.59447135626942</v>
      </c>
      <c r="BJ40" s="59">
        <f t="shared" si="38"/>
        <v>262.00382544285367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10.582538039807497</v>
      </c>
      <c r="BR40" s="21">
        <f>EXP(-LN(2)/2)*BR39+(1-EXP(-LN(2)/2))/(LN(2)/2)*BL40*BO40*VLOOKUP('Données projet'!$B$11,Paramètres!$A$1:$I$89,3,0)*0.475*44/12</f>
        <v>2.097398909999169</v>
      </c>
      <c r="BS40" s="22">
        <f t="shared" si="9"/>
        <v>12.679936949806667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5.2</v>
      </c>
      <c r="BY40" s="12">
        <f>IF('Données projet'!$A$114&gt;35,BY39+BX40-CG39,IF(A40&lt;'Données projet'!$A$114,$BV$205^A40,IF(A40='Données projet'!$A$114,'Données projet'!$B$114,BY39+BX40-CG39)))</f>
        <v>90.4</v>
      </c>
      <c r="BZ40" s="13">
        <f>BY40*VLOOKUP('Données projet'!$B$12,Paramètres!$A$1:$I$89,3,0)*VLOOKUP('Données projet'!$B$12,Paramètres!$A$1:$I$89,5,0)</f>
        <v>81.79392</v>
      </c>
      <c r="CA40" s="13">
        <f t="shared" si="39"/>
        <v>22.575239179244807</v>
      </c>
      <c r="CB40" s="20">
        <f t="shared" si="10"/>
        <v>181.77628557051801</v>
      </c>
      <c r="CC40" s="59">
        <f t="shared" si="11"/>
        <v>475.10961890385136</v>
      </c>
      <c r="CD40" s="59">
        <f ca="1">AVERAGE(OFFSET($CC$3,0,0,'Données projet'!$E$12+1,1))-AVERAGE(OFFSET($H$3,0,0,'Données projet'!$E$12+1,1))</f>
        <v>169.62156467157178</v>
      </c>
      <c r="CE40" s="59">
        <f t="shared" si="40"/>
        <v>85.631326020763254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10.199999999999999</v>
      </c>
      <c r="CT40" s="12">
        <f>IF('Données projet'!$A$140&gt;35,CT39+CS40-DB39,IF(A40&lt;'Données projet'!$A$140,$CQ$205^A40,IF(A40='Données projet'!$A$140,'Données projet'!$B$140,CT39+CS40-DB39)))</f>
        <v>189.39999999999989</v>
      </c>
      <c r="CU40" s="17">
        <f>CT40*VLOOKUP('Données projet'!$B$13,Paramètres!$A$1:$I$89,3,0)*VLOOKUP('Données projet'!$B$13,Paramètres!$A$1:$I$89,5,0)</f>
        <v>153.64127999999991</v>
      </c>
      <c r="CV40" s="13">
        <f t="shared" si="41"/>
        <v>39.404920897415295</v>
      </c>
      <c r="CW40" s="20">
        <f t="shared" si="13"/>
        <v>336.22213322966473</v>
      </c>
      <c r="CX40" s="59">
        <f t="shared" si="14"/>
        <v>629.55546656299805</v>
      </c>
      <c r="CY40" s="59">
        <f ca="1">AVERAGE(OFFSET($CX$3,0,0,'Données projet'!$E$13+1,1))-AVERAGE(OFFSET($H$3,0,0,'Données projet'!$E$13+1,1))</f>
        <v>234.59657655504111</v>
      </c>
      <c r="CZ40" s="59">
        <f t="shared" si="42"/>
        <v>285.10598666479211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7.0057751853475407</v>
      </c>
      <c r="DH40" s="21">
        <f>EXP(-LN(2)/2)*DH39+(1-EXP(-LN(2)/2))/(LN(2)/2)*DB40*DE40*VLOOKUP('Données projet'!$B$13,Paramètres!$A$1:$I$89,3,0)*0.475*44/12</f>
        <v>0.96984727360542367</v>
      </c>
      <c r="DI40" s="22">
        <f t="shared" si="15"/>
        <v>7.9756224589529641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5.2</v>
      </c>
      <c r="DO40" s="12">
        <f>IF('Données projet'!$A$166&gt;35,DO39+DN40-DW39,IF(A40&lt;'Données projet'!$A$166,$DL$205^A40,IF(A40='Données projet'!$A$166,'Données projet'!$B$166,DO39+DN40-DW39)))</f>
        <v>90.4</v>
      </c>
      <c r="DP40" s="17">
        <f>DO40*VLOOKUP('Données projet'!$B$14,Paramètres!$A$1:$I$89,3,0)*VLOOKUP('Données projet'!$B$14,Paramètres!$A$1:$I$89,5,0)</f>
        <v>87.434880000000007</v>
      </c>
      <c r="DQ40" s="13">
        <f t="shared" si="43"/>
        <v>23.945542571874331</v>
      </c>
      <c r="DR40" s="20">
        <f t="shared" si="16"/>
        <v>193.98756931268113</v>
      </c>
      <c r="DS40" s="59">
        <f t="shared" si="17"/>
        <v>487.32090264601447</v>
      </c>
      <c r="DT40" s="59">
        <f ca="1">AVERAGE(OFFSET($DS$3,0,0,'Données projet'!$E$14+1,1))-AVERAGE(OFFSET($H$3,0,0,'Données projet'!$E$14+1,1))</f>
        <v>186.90852124957956</v>
      </c>
      <c r="DU40" s="59">
        <f t="shared" si="44"/>
        <v>93.013797128776446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5.2</v>
      </c>
      <c r="EJ40" s="12">
        <f>IF('Données projet'!$A$192&gt;35,EJ39+EI40-ER39,IF(A40&lt;'Données projet'!$A$192,$EG$205^A40,IF(A40='Données projet'!$A$192,'Données projet'!$B$192,EJ39+EI40-ER39)))</f>
        <v>90.4</v>
      </c>
      <c r="EK40" s="17">
        <f>EJ40*VLOOKUP('Données projet'!$B$15,Paramètres!$A$1:$I$89,3,0)*VLOOKUP('Données projet'!$B$15,Paramètres!$A$1:$I$89,5,0)</f>
        <v>97.306560000000005</v>
      </c>
      <c r="EL40" s="13">
        <f t="shared" si="45"/>
        <v>26.319306503602476</v>
      </c>
      <c r="EM40" s="20">
        <f t="shared" si="19"/>
        <v>215.31505082710763</v>
      </c>
      <c r="EN40" s="59">
        <f t="shared" si="20"/>
        <v>508.64838416044097</v>
      </c>
      <c r="EO40" s="59">
        <f ca="1">AVERAGE(OFFSET($EN$3,0,0,'Données projet'!$E$15+1,1))-AVERAGE(OFFSET($H$3,0,0,'Données projet'!$E$15+1,1))</f>
        <v>217.10418688911096</v>
      </c>
      <c r="EP40" s="59">
        <f t="shared" si="46"/>
        <v>105.90631421515786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194.99999999999994</v>
      </c>
      <c r="O41" s="13">
        <f>N41*VLOOKUP('Données projet'!$B$9,Paramètres!$A$1:$I$89,3,0)*VLOOKUP('Données projet'!$B$9,Paramètres!$A$1:$I$89,5,0)</f>
        <v>116.60999999999997</v>
      </c>
      <c r="P41" s="13">
        <f t="shared" si="33"/>
        <v>30.883023623410974</v>
      </c>
      <c r="Q41" s="20">
        <f t="shared" si="53"/>
        <v>256.88368281077408</v>
      </c>
      <c r="R41" s="59">
        <f t="shared" si="0"/>
        <v>550.21701614410745</v>
      </c>
      <c r="S41" s="59">
        <f ca="1">AVERAGE(OFFSET($R$3,0,0,'Données projet'!$E$9+1,1))-AVERAGE(OFFSET($H$3,0,0,'Données projet'!$E$9+1,1))</f>
        <v>145.19188637714888</v>
      </c>
      <c r="T41" s="59">
        <f t="shared" si="34"/>
        <v>169.74069292032493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1.8881517901427474</v>
      </c>
      <c r="AA41" s="21">
        <f>EXP(-LN(2)/25)*AA40+(1-EXP(-LN(2)/25))/(LN(2)/25)*Calculateur!V41*Calculateur!X41*VLOOKUP('Données projet'!$B$9,Paramètres!$A$1:$I$89,3,0)*0.475*44/12</f>
        <v>6.9337317832207885</v>
      </c>
      <c r="AB41" s="21">
        <f>EXP(-LN(2)/2)*AB40+(1-EXP(-LN(2)/2))/(LN(2)/2)*V41*Y41*VLOOKUP('Données projet'!$B$9,Paramètres!$A$1:$I$89,3,0)*0.475*44/12</f>
        <v>0.25284516316730876</v>
      </c>
      <c r="AC41" s="22">
        <f t="shared" si="3"/>
        <v>9.0747287365308438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10.1</v>
      </c>
      <c r="AI41" s="13">
        <f>IF('Données projet'!$A$62&gt;35,AI40+AH41-AQ40,IF(A41&lt;'Données projet'!$A$62,$AF$205^A41,IF(A41='Données projet'!$A$62,'Données projet'!$B$62,AI40+AH41-AQ40)))</f>
        <v>206.80000000000004</v>
      </c>
      <c r="AJ41" s="13">
        <f>AI41*VLOOKUP('Données projet'!$B$10,Paramètres!$A$1:$I$89,3,0)*VLOOKUP('Données projet'!$B$10,Paramètres!$A$1:$I$89,5,0)</f>
        <v>180.66048000000006</v>
      </c>
      <c r="AK41" s="13">
        <f t="shared" si="35"/>
        <v>45.469099459918802</v>
      </c>
      <c r="AL41" s="20">
        <f t="shared" si="4"/>
        <v>393.84235089269197</v>
      </c>
      <c r="AM41" s="59">
        <f t="shared" si="5"/>
        <v>687.17568422602528</v>
      </c>
      <c r="AN41" s="59">
        <f ca="1">AVERAGE(OFFSET($AM$3,0,0,'Données projet'!$E$10+1,1))-AVERAGE(OFFSET($H$3,0,0,'Données projet'!$E$10+1,1))</f>
        <v>254.24072778190163</v>
      </c>
      <c r="AO41" s="59">
        <f t="shared" si="36"/>
        <v>356.78706780980383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2.6227268051612573</v>
      </c>
      <c r="AV41" s="21">
        <f>EXP(-LN(2)/25)*AV40+(1-EXP(-LN(2)/25))/(LN(2)/25)*Calculateur!AQ41*Calculateur!AS41*VLOOKUP('Données projet'!$B$10,Paramètres!$A$1:$I$89,3,0)*0.475*44/12</f>
        <v>14.172852481809901</v>
      </c>
      <c r="AW41" s="21">
        <f>EXP(-LN(2)/2)*AW40+(1-EXP(-LN(2)/2))/(LN(2)/2)*AQ41*AT41*VLOOKUP('Données projet'!$B$10,Paramètres!$A$1:$I$89,3,0)*0.475*44/12</f>
        <v>1.7356254255727939</v>
      </c>
      <c r="AX41" s="21">
        <f t="shared" si="6"/>
        <v>18.531204712543953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13.7</v>
      </c>
      <c r="BD41" s="12">
        <f>IF('Données projet'!$A$88&gt;35,BD40+BC41-BL40,IF(A41&lt;'Données projet'!$A$88,$BA$205^A41,IF(A41='Données projet'!$A$88,'Données projet'!$B$88,BD40+BC41-BL40)))</f>
        <v>257.59999999999991</v>
      </c>
      <c r="BE41" s="13">
        <f>BD41*VLOOKUP('Données projet'!$B$11,Paramètres!$A$1:$I$89,3,0)*VLOOKUP('Données projet'!$B$11,Paramètres!$A$1:$I$89,5,0)</f>
        <v>154.04479999999995</v>
      </c>
      <c r="BF41" s="13">
        <f t="shared" si="37"/>
        <v>39.496352638742984</v>
      </c>
      <c r="BG41" s="20">
        <f t="shared" si="7"/>
        <v>337.08417417914399</v>
      </c>
      <c r="BH41" s="59">
        <f t="shared" si="8"/>
        <v>630.4175075124773</v>
      </c>
      <c r="BI41" s="59">
        <f ca="1">AVERAGE(OFFSET($BH$3,0,0,'Données projet'!$E$11+1,1))-AVERAGE(OFFSET($H$3,0,0,'Données projet'!$E$11+1,1))</f>
        <v>246.59447135626942</v>
      </c>
      <c r="BJ41" s="59">
        <f t="shared" si="38"/>
        <v>262.00382544285367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10.293157980597472</v>
      </c>
      <c r="BR41" s="21">
        <f>EXP(-LN(2)/2)*BR40+(1-EXP(-LN(2)/2))/(LN(2)/2)*BL41*BO41*VLOOKUP('Données projet'!$B$11,Paramètres!$A$1:$I$89,3,0)*0.475*44/12</f>
        <v>1.4830849921136857</v>
      </c>
      <c r="BS41" s="22">
        <f t="shared" si="9"/>
        <v>11.776242972711158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5.2</v>
      </c>
      <c r="BY41" s="12">
        <f>IF('Données projet'!$A$114&gt;35,BY40+BX41-CG40,IF(A41&lt;'Données projet'!$A$114,$BV$205^A41,IF(A41='Données projet'!$A$114,'Données projet'!$B$114,BY40+BX41-CG40)))</f>
        <v>95.600000000000009</v>
      </c>
      <c r="BZ41" s="13">
        <f>BY41*VLOOKUP('Données projet'!$B$12,Paramètres!$A$1:$I$89,3,0)*VLOOKUP('Données projet'!$B$12,Paramètres!$A$1:$I$89,5,0)</f>
        <v>86.49888</v>
      </c>
      <c r="CA41" s="13">
        <f t="shared" si="39"/>
        <v>23.718899159460385</v>
      </c>
      <c r="CB41" s="20">
        <f t="shared" si="10"/>
        <v>191.96263203606017</v>
      </c>
      <c r="CC41" s="59">
        <f t="shared" si="11"/>
        <v>485.29596536939346</v>
      </c>
      <c r="CD41" s="59">
        <f ca="1">AVERAGE(OFFSET($CC$3,0,0,'Données projet'!$E$12+1,1))-AVERAGE(OFFSET($H$3,0,0,'Données projet'!$E$12+1,1))</f>
        <v>169.62156467157178</v>
      </c>
      <c r="CE41" s="59">
        <f t="shared" si="40"/>
        <v>85.631326020763254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10.199999999999999</v>
      </c>
      <c r="CT41" s="12">
        <f>IF('Données projet'!$A$140&gt;35,CT40+CS41-DB40,IF(A41&lt;'Données projet'!$A$140,$CQ$205^A41,IF(A41='Données projet'!$A$140,'Données projet'!$B$140,CT40+CS41-DB40)))</f>
        <v>199.59999999999988</v>
      </c>
      <c r="CU41" s="17">
        <f>CT41*VLOOKUP('Données projet'!$B$13,Paramètres!$A$1:$I$89,3,0)*VLOOKUP('Données projet'!$B$13,Paramètres!$A$1:$I$89,5,0)</f>
        <v>161.91551999999993</v>
      </c>
      <c r="CV41" s="13">
        <f t="shared" si="41"/>
        <v>41.274266582040376</v>
      </c>
      <c r="CW41" s="20">
        <f t="shared" si="13"/>
        <v>353.88887829705351</v>
      </c>
      <c r="CX41" s="59">
        <f t="shared" si="14"/>
        <v>647.22221163038682</v>
      </c>
      <c r="CY41" s="59">
        <f ca="1">AVERAGE(OFFSET($CX$3,0,0,'Données projet'!$E$13+1,1))-AVERAGE(OFFSET($H$3,0,0,'Données projet'!$E$13+1,1))</f>
        <v>234.59657655504111</v>
      </c>
      <c r="CZ41" s="59">
        <f t="shared" si="42"/>
        <v>285.10598666479211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6.8142018944865068</v>
      </c>
      <c r="DH41" s="21">
        <f>EXP(-LN(2)/2)*DH40+(1-EXP(-LN(2)/2))/(LN(2)/2)*DB41*DE41*VLOOKUP('Données projet'!$B$13,Paramètres!$A$1:$I$89,3,0)*0.475*44/12</f>
        <v>0.68578558388168009</v>
      </c>
      <c r="DI41" s="22">
        <f t="shared" si="15"/>
        <v>7.4999874783681868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5.2</v>
      </c>
      <c r="DO41" s="12">
        <f>IF('Données projet'!$A$166&gt;35,DO40+DN41-DW40,IF(A41&lt;'Données projet'!$A$166,$DL$205^A41,IF(A41='Données projet'!$A$166,'Données projet'!$B$166,DO40+DN41-DW40)))</f>
        <v>95.600000000000009</v>
      </c>
      <c r="DP41" s="17">
        <f>DO41*VLOOKUP('Données projet'!$B$14,Paramètres!$A$1:$I$89,3,0)*VLOOKUP('Données projet'!$B$14,Paramètres!$A$1:$I$89,5,0)</f>
        <v>92.464320000000015</v>
      </c>
      <c r="DQ41" s="13">
        <f t="shared" si="43"/>
        <v>25.158622022619586</v>
      </c>
      <c r="DR41" s="20">
        <f t="shared" si="16"/>
        <v>204.85995735606244</v>
      </c>
      <c r="DS41" s="59">
        <f t="shared" si="17"/>
        <v>498.19329068939578</v>
      </c>
      <c r="DT41" s="59">
        <f ca="1">AVERAGE(OFFSET($DS$3,0,0,'Données projet'!$E$14+1,1))-AVERAGE(OFFSET($H$3,0,0,'Données projet'!$E$14+1,1))</f>
        <v>186.90852124957956</v>
      </c>
      <c r="DU41" s="59">
        <f t="shared" si="44"/>
        <v>93.013797128776446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5.2</v>
      </c>
      <c r="EJ41" s="12">
        <f>IF('Données projet'!$A$192&gt;35,EJ40+EI41-ER40,IF(A41&lt;'Données projet'!$A$192,$EG$205^A41,IF(A41='Données projet'!$A$192,'Données projet'!$B$192,EJ40+EI41-ER40)))</f>
        <v>95.600000000000009</v>
      </c>
      <c r="EK41" s="17">
        <f>EJ41*VLOOKUP('Données projet'!$B$15,Paramètres!$A$1:$I$89,3,0)*VLOOKUP('Données projet'!$B$15,Paramètres!$A$1:$I$89,5,0)</f>
        <v>102.90384</v>
      </c>
      <c r="EL41" s="13">
        <f t="shared" si="45"/>
        <v>27.652640663041698</v>
      </c>
      <c r="EM41" s="20">
        <f t="shared" si="19"/>
        <v>227.38587048813096</v>
      </c>
      <c r="EN41" s="59">
        <f t="shared" si="20"/>
        <v>520.71920382146425</v>
      </c>
      <c r="EO41" s="59">
        <f ca="1">AVERAGE(OFFSET($EN$3,0,0,'Données projet'!$E$15+1,1))-AVERAGE(OFFSET($H$3,0,0,'Données projet'!$E$15+1,1))</f>
        <v>217.10418688911096</v>
      </c>
      <c r="EP41" s="59">
        <f t="shared" si="46"/>
        <v>105.90631421515786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204.99999999999994</v>
      </c>
      <c r="O42" s="13">
        <f>N42*VLOOKUP('Données projet'!$B$9,Paramètres!$A$1:$I$89,3,0)*VLOOKUP('Données projet'!$B$9,Paramètres!$A$1:$I$89,5,0)</f>
        <v>122.58999999999997</v>
      </c>
      <c r="P42" s="13">
        <f t="shared" si="33"/>
        <v>32.278321478706822</v>
      </c>
      <c r="Q42" s="20">
        <f t="shared" si="53"/>
        <v>269.728993242081</v>
      </c>
      <c r="R42" s="59">
        <f t="shared" si="0"/>
        <v>563.06232657541432</v>
      </c>
      <c r="S42" s="59">
        <f ca="1">AVERAGE(OFFSET($R$3,0,0,'Données projet'!$E$9+1,1))-AVERAGE(OFFSET($H$3,0,0,'Données projet'!$E$9+1,1))</f>
        <v>145.19188637714888</v>
      </c>
      <c r="T42" s="59">
        <f t="shared" si="34"/>
        <v>169.74069292032493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1.8511262851969232</v>
      </c>
      <c r="AA42" s="21">
        <f>EXP(-LN(2)/25)*AA41+(1-EXP(-LN(2)/25))/(LN(2)/25)*Calculateur!V42*Calculateur!X42*VLOOKUP('Données projet'!$B$9,Paramètres!$A$1:$I$89,3,0)*0.475*44/12</f>
        <v>6.7441285229795085</v>
      </c>
      <c r="AB42" s="21">
        <f>EXP(-LN(2)/2)*AB41+(1-EXP(-LN(2)/2))/(LN(2)/2)*V42*Y42*VLOOKUP('Données projet'!$B$9,Paramètres!$A$1:$I$89,3,0)*0.475*44/12</f>
        <v>0.1787885294658231</v>
      </c>
      <c r="AC42" s="22">
        <f t="shared" si="3"/>
        <v>8.7740433376422544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10.1</v>
      </c>
      <c r="AI42" s="13">
        <f>IF('Données projet'!$A$62&gt;35,AI41+AH42-AQ41,IF(A42&lt;'Données projet'!$A$62,$AF$205^A42,IF(A42='Données projet'!$A$62,'Données projet'!$B$62,AI41+AH42-AQ41)))</f>
        <v>216.90000000000003</v>
      </c>
      <c r="AJ42" s="13">
        <f>AI42*VLOOKUP('Données projet'!$B$10,Paramètres!$A$1:$I$89,3,0)*VLOOKUP('Données projet'!$B$10,Paramètres!$A$1:$I$89,5,0)</f>
        <v>189.48384000000004</v>
      </c>
      <c r="AK42" s="13">
        <f t="shared" si="35"/>
        <v>47.425819142919799</v>
      </c>
      <c r="AL42" s="20">
        <f t="shared" si="4"/>
        <v>412.61765634058537</v>
      </c>
      <c r="AM42" s="59">
        <f t="shared" si="5"/>
        <v>705.95098967391868</v>
      </c>
      <c r="AN42" s="59">
        <f ca="1">AVERAGE(OFFSET($AM$3,0,0,'Données projet'!$E$10+1,1))-AVERAGE(OFFSET($H$3,0,0,'Données projet'!$E$10+1,1))</f>
        <v>254.24072778190163</v>
      </c>
      <c r="AO42" s="59">
        <f t="shared" si="36"/>
        <v>356.78706780980383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2.5712967322174385</v>
      </c>
      <c r="AV42" s="21">
        <f>EXP(-LN(2)/25)*AV41+(1-EXP(-LN(2)/25))/(LN(2)/25)*Calculateur!AQ42*Calculateur!AS42*VLOOKUP('Données projet'!$B$10,Paramètres!$A$1:$I$89,3,0)*0.475*44/12</f>
        <v>13.785295085376889</v>
      </c>
      <c r="AW42" s="21">
        <f>EXP(-LN(2)/2)*AW41+(1-EXP(-LN(2)/2))/(LN(2)/2)*AQ42*AT42*VLOOKUP('Données projet'!$B$10,Paramètres!$A$1:$I$89,3,0)*0.475*44/12</f>
        <v>1.2272725080223101</v>
      </c>
      <c r="AX42" s="21">
        <f t="shared" si="6"/>
        <v>17.583864325616638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13.7</v>
      </c>
      <c r="BD42" s="12">
        <f>IF('Données projet'!$A$88&gt;35,BD41+BC42-BL41,IF(A42&lt;'Données projet'!$A$88,$BA$205^A42,IF(A42='Données projet'!$A$88,'Données projet'!$B$88,BD41+BC42-BL41)))</f>
        <v>271.2999999999999</v>
      </c>
      <c r="BE42" s="13">
        <f>BD42*VLOOKUP('Données projet'!$B$11,Paramètres!$A$1:$I$89,3,0)*VLOOKUP('Données projet'!$B$11,Paramètres!$A$1:$I$89,5,0)</f>
        <v>162.23739999999995</v>
      </c>
      <c r="BF42" s="13">
        <f t="shared" si="37"/>
        <v>41.346758630600348</v>
      </c>
      <c r="BG42" s="20">
        <f t="shared" si="7"/>
        <v>354.57574294829556</v>
      </c>
      <c r="BH42" s="59">
        <f t="shared" si="8"/>
        <v>647.90907628162881</v>
      </c>
      <c r="BI42" s="59">
        <f ca="1">AVERAGE(OFFSET($BH$3,0,0,'Données projet'!$E$11+1,1))-AVERAGE(OFFSET($H$3,0,0,'Données projet'!$E$11+1,1))</f>
        <v>246.59447135626942</v>
      </c>
      <c r="BJ42" s="59">
        <f t="shared" si="38"/>
        <v>262.00382544285367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10.011691034324382</v>
      </c>
      <c r="BR42" s="21">
        <f>EXP(-LN(2)/2)*BR41+(1-EXP(-LN(2)/2))/(LN(2)/2)*BL42*BO42*VLOOKUP('Données projet'!$B$11,Paramètres!$A$1:$I$89,3,0)*0.475*44/12</f>
        <v>1.0486994549995845</v>
      </c>
      <c r="BS42" s="22">
        <f t="shared" si="9"/>
        <v>11.060390489323966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5.2</v>
      </c>
      <c r="BY42" s="12">
        <f>IF('Données projet'!$A$114&gt;35,BY41+BX42-CG41,IF(A42&lt;'Données projet'!$A$114,$BV$205^A42,IF(A42='Données projet'!$A$114,'Données projet'!$B$114,BY41+BX42-CG41)))</f>
        <v>100.80000000000001</v>
      </c>
      <c r="BZ42" s="13">
        <f>BY42*VLOOKUP('Données projet'!$B$12,Paramètres!$A$1:$I$89,3,0)*VLOOKUP('Données projet'!$B$12,Paramètres!$A$1:$I$89,5,0)</f>
        <v>91.203840000000014</v>
      </c>
      <c r="CA42" s="13">
        <f t="shared" si="39"/>
        <v>24.855337308022524</v>
      </c>
      <c r="CB42" s="20">
        <f t="shared" si="10"/>
        <v>202.13640047813922</v>
      </c>
      <c r="CC42" s="59">
        <f t="shared" si="11"/>
        <v>495.46973381147257</v>
      </c>
      <c r="CD42" s="59">
        <f ca="1">AVERAGE(OFFSET($CC$3,0,0,'Données projet'!$E$12+1,1))-AVERAGE(OFFSET($H$3,0,0,'Données projet'!$E$12+1,1))</f>
        <v>169.62156467157178</v>
      </c>
      <c r="CE42" s="59">
        <f t="shared" si="40"/>
        <v>85.631326020763254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10.199999999999999</v>
      </c>
      <c r="CT42" s="12">
        <f>IF('Données projet'!$A$140&gt;35,CT41+CS42-DB41,IF(A42&lt;'Données projet'!$A$140,$CQ$205^A42,IF(A42='Données projet'!$A$140,'Données projet'!$B$140,CT41+CS42-DB41)))</f>
        <v>209.79999999999987</v>
      </c>
      <c r="CU42" s="17">
        <f>CT42*VLOOKUP('Données projet'!$B$13,Paramètres!$A$1:$I$89,3,0)*VLOOKUP('Données projet'!$B$13,Paramètres!$A$1:$I$89,5,0)</f>
        <v>170.18975999999989</v>
      </c>
      <c r="CV42" s="13">
        <f t="shared" si="41"/>
        <v>43.132520752965824</v>
      </c>
      <c r="CW42" s="20">
        <f t="shared" si="13"/>
        <v>371.53630564474861</v>
      </c>
      <c r="CX42" s="59">
        <f t="shared" si="14"/>
        <v>664.86963897808187</v>
      </c>
      <c r="CY42" s="59">
        <f ca="1">AVERAGE(OFFSET($CX$3,0,0,'Données projet'!$E$13+1,1))-AVERAGE(OFFSET($H$3,0,0,'Données projet'!$E$13+1,1))</f>
        <v>234.59657655504111</v>
      </c>
      <c r="CZ42" s="59">
        <f t="shared" si="42"/>
        <v>285.10598666479211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6.6278671853384701</v>
      </c>
      <c r="DH42" s="21">
        <f>EXP(-LN(2)/2)*DH41+(1-EXP(-LN(2)/2))/(LN(2)/2)*DB42*DE42*VLOOKUP('Données projet'!$B$13,Paramètres!$A$1:$I$89,3,0)*0.475*44/12</f>
        <v>0.48492363680271194</v>
      </c>
      <c r="DI42" s="22">
        <f t="shared" si="15"/>
        <v>7.1127908221411822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5.2</v>
      </c>
      <c r="DO42" s="12">
        <f>IF('Données projet'!$A$166&gt;35,DO41+DN42-DW41,IF(A42&lt;'Données projet'!$A$166,$DL$205^A42,IF(A42='Données projet'!$A$166,'Données projet'!$B$166,DO41+DN42-DW41)))</f>
        <v>100.80000000000001</v>
      </c>
      <c r="DP42" s="17">
        <f>DO42*VLOOKUP('Données projet'!$B$14,Paramètres!$A$1:$I$89,3,0)*VLOOKUP('Données projet'!$B$14,Paramètres!$A$1:$I$89,5,0)</f>
        <v>97.493760000000023</v>
      </c>
      <c r="DQ42" s="13">
        <f t="shared" si="43"/>
        <v>26.364041280888873</v>
      </c>
      <c r="DR42" s="20">
        <f t="shared" si="16"/>
        <v>215.71900389754816</v>
      </c>
      <c r="DS42" s="59">
        <f t="shared" si="17"/>
        <v>509.05233723088145</v>
      </c>
      <c r="DT42" s="59">
        <f ca="1">AVERAGE(OFFSET($DS$3,0,0,'Données projet'!$E$14+1,1))-AVERAGE(OFFSET($H$3,0,0,'Données projet'!$E$14+1,1))</f>
        <v>186.90852124957956</v>
      </c>
      <c r="DU42" s="59">
        <f t="shared" si="44"/>
        <v>93.013797128776446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5.2</v>
      </c>
      <c r="EJ42" s="12">
        <f>IF('Données projet'!$A$192&gt;35,EJ41+EI42-ER41,IF(A42&lt;'Données projet'!$A$192,$EG$205^A42,IF(A42='Données projet'!$A$192,'Données projet'!$B$192,EJ41+EI42-ER41)))</f>
        <v>100.80000000000001</v>
      </c>
      <c r="EK42" s="17">
        <f>EJ42*VLOOKUP('Données projet'!$B$15,Paramètres!$A$1:$I$89,3,0)*VLOOKUP('Données projet'!$B$15,Paramètres!$A$1:$I$89,5,0)</f>
        <v>108.50112000000001</v>
      </c>
      <c r="EL42" s="13">
        <f t="shared" si="45"/>
        <v>28.977555261594119</v>
      </c>
      <c r="EM42" s="20">
        <f t="shared" si="19"/>
        <v>239.44202608060974</v>
      </c>
      <c r="EN42" s="59">
        <f t="shared" si="20"/>
        <v>532.77535941394308</v>
      </c>
      <c r="EO42" s="59">
        <f ca="1">AVERAGE(OFFSET($EN$3,0,0,'Données projet'!$E$15+1,1))-AVERAGE(OFFSET($H$3,0,0,'Données projet'!$E$15+1,1))</f>
        <v>217.10418688911096</v>
      </c>
      <c r="EP42" s="59">
        <f t="shared" si="46"/>
        <v>105.90631421515786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215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214.99999999999994</v>
      </c>
      <c r="O43" s="13">
        <f>N43*VLOOKUP('Données projet'!$B$9,Paramètres!$A$1:$I$89,3,0)*VLOOKUP('Données projet'!$B$9,Paramètres!$A$1:$I$89,5,0)</f>
        <v>128.56999999999996</v>
      </c>
      <c r="P43" s="13">
        <f t="shared" si="33"/>
        <v>33.665715905233249</v>
      </c>
      <c r="Q43" s="20">
        <f t="shared" si="53"/>
        <v>282.5605385349478</v>
      </c>
      <c r="R43" s="59">
        <f t="shared" si="0"/>
        <v>575.89387186828117</v>
      </c>
      <c r="S43" s="59">
        <f ca="1">AVERAGE(OFFSET($R$3,0,0,'Données projet'!$E$9+1,1))-AVERAGE(OFFSET($H$3,0,0,'Données projet'!$E$9+1,1))</f>
        <v>145.19188637714888</v>
      </c>
      <c r="T43" s="59">
        <f t="shared" si="34"/>
        <v>169.74069292032493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1.8148268278197586</v>
      </c>
      <c r="AA43" s="21">
        <f>EXP(-LN(2)/25)*AA42+(1-EXP(-LN(2)/25))/(LN(2)/25)*Calculateur!V43*Calculateur!X43*VLOOKUP('Données projet'!$B$9,Paramètres!$A$1:$I$89,3,0)*0.475*44/12</f>
        <v>6.5597099738603291</v>
      </c>
      <c r="AB43" s="21">
        <f>EXP(-LN(2)/2)*AB42+(1-EXP(-LN(2)/2))/(LN(2)/2)*V43*Y43*VLOOKUP('Données projet'!$B$9,Paramètres!$A$1:$I$89,3,0)*0.475*44/12</f>
        <v>0.12642258158365438</v>
      </c>
      <c r="AC43" s="22">
        <f t="shared" si="3"/>
        <v>8.5009593832637407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227</v>
      </c>
      <c r="AG43" s="12">
        <f>VLOOKUP(A43,'Données projet'!$A$61:$I$81,9,0)</f>
        <v>10.1</v>
      </c>
      <c r="AH43" s="12">
        <f t="array" ref="AH43">INDEX(AG:AG,MIN(IF(ISNUMBER(AG43:AG239),ROW(AG43:AG239),"")))</f>
        <v>10.1</v>
      </c>
      <c r="AI43" s="13">
        <f>IF('Données projet'!$A$62&gt;35,AI42+AH43-AQ42,IF(A43&lt;'Données projet'!$A$62,$AF$205^A43,IF(A43='Données projet'!$A$62,'Données projet'!$B$62,AI42+AH43-AQ42)))</f>
        <v>227.00000000000003</v>
      </c>
      <c r="AJ43" s="13">
        <f>AI43*VLOOKUP('Données projet'!$B$10,Paramètres!$A$1:$I$89,3,0)*VLOOKUP('Données projet'!$B$10,Paramètres!$A$1:$I$89,5,0)</f>
        <v>198.30720000000005</v>
      </c>
      <c r="AK43" s="13">
        <f t="shared" si="35"/>
        <v>49.371957679623371</v>
      </c>
      <c r="AL43" s="20">
        <f t="shared" si="4"/>
        <v>431.37453295867743</v>
      </c>
      <c r="AM43" s="59">
        <f t="shared" si="5"/>
        <v>724.70786629201075</v>
      </c>
      <c r="AN43" s="59">
        <f ca="1">AVERAGE(OFFSET($AM$3,0,0,'Données projet'!$E$10+1,1))-AVERAGE(OFFSET($H$3,0,0,'Données projet'!$E$10+1,1))</f>
        <v>254.24072778190163</v>
      </c>
      <c r="AO43" s="59">
        <f t="shared" si="36"/>
        <v>356.78706780980383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69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2.5208751716348008</v>
      </c>
      <c r="AV43" s="21">
        <f>EXP(-LN(2)/25)*AV42+(1-EXP(-LN(2)/25))/(LN(2)/25)*Calculateur!AQ43*Calculateur!AS43*VLOOKUP('Données projet'!$B$10,Paramètres!$A$1:$I$89,3,0)*0.475*44/12</f>
        <v>13.408335466330096</v>
      </c>
      <c r="AW43" s="21">
        <f>EXP(-LN(2)/2)*AW42+(1-EXP(-LN(2)/2))/(LN(2)/2)*AQ43*AT43*VLOOKUP('Données projet'!$B$10,Paramètres!$A$1:$I$89,3,0)*0.475*44/12</f>
        <v>0.86781271278639716</v>
      </c>
      <c r="AX43" s="21">
        <f t="shared" si="6"/>
        <v>16.797023350751292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285</v>
      </c>
      <c r="BB43" s="12">
        <f>VLOOKUP(A43,'Données projet'!$A$87:$I$107,9,0)</f>
        <v>13.7</v>
      </c>
      <c r="BC43" s="12">
        <f t="array" ref="BC43">INDEX(BB:BB,MIN(IF(ISNUMBER(BB43:BB239),ROW(BB43:BB239),"")))</f>
        <v>13.7</v>
      </c>
      <c r="BD43" s="12">
        <f>IF('Données projet'!$A$88&gt;35,BD42+BC43-BL42,IF(A43&lt;'Données projet'!$A$88,$BA$205^A43,IF(A43='Données projet'!$A$88,'Données projet'!$B$88,BD42+BC43-BL42)))</f>
        <v>284.99999999999989</v>
      </c>
      <c r="BE43" s="13">
        <f>BD43*VLOOKUP('Données projet'!$B$11,Paramètres!$A$1:$I$89,3,0)*VLOOKUP('Données projet'!$B$11,Paramètres!$A$1:$I$89,5,0)</f>
        <v>170.42999999999995</v>
      </c>
      <c r="BF43" s="13">
        <f t="shared" si="37"/>
        <v>43.186315117079396</v>
      </c>
      <c r="BG43" s="20">
        <f t="shared" si="7"/>
        <v>372.04841549557983</v>
      </c>
      <c r="BH43" s="59">
        <f t="shared" si="8"/>
        <v>665.38174882891315</v>
      </c>
      <c r="BI43" s="59">
        <f ca="1">AVERAGE(OFFSET($BH$3,0,0,'Données projet'!$E$11+1,1))-AVERAGE(OFFSET($H$3,0,0,'Données projet'!$E$11+1,1))</f>
        <v>246.59447135626942</v>
      </c>
      <c r="BJ43" s="59">
        <f t="shared" si="38"/>
        <v>262.00382544285367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9.737920816498832</v>
      </c>
      <c r="BR43" s="21">
        <f>EXP(-LN(2)/2)*BR42+(1-EXP(-LN(2)/2))/(LN(2)/2)*BL43*BO43*VLOOKUP('Données projet'!$B$11,Paramètres!$A$1:$I$89,3,0)*0.475*44/12</f>
        <v>0.74154249605684286</v>
      </c>
      <c r="BS43" s="22">
        <f t="shared" si="9"/>
        <v>10.479463312555675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106</v>
      </c>
      <c r="BW43" s="12">
        <f>VLOOKUP(A43,'Données projet'!$A$113:$I$133,9,0)</f>
        <v>5.2</v>
      </c>
      <c r="BX43" s="12">
        <f t="array" ref="BX43">INDEX(BW:BW,MIN(IF(ISNUMBER(BW43:BW239),ROW(BW43:BW239),"")))</f>
        <v>5.2</v>
      </c>
      <c r="BY43" s="12">
        <f>IF('Données projet'!$A$114&gt;35,BY42+BX43-CG42,IF(A43&lt;'Données projet'!$A$114,$BV$205^A43,IF(A43='Données projet'!$A$114,'Données projet'!$B$114,BY42+BX43-CG42)))</f>
        <v>106.00000000000001</v>
      </c>
      <c r="BZ43" s="13">
        <f>BY43*VLOOKUP('Données projet'!$B$12,Paramètres!$A$1:$I$89,3,0)*VLOOKUP('Données projet'!$B$12,Paramètres!$A$1:$I$89,5,0)</f>
        <v>95.908800000000014</v>
      </c>
      <c r="CA43" s="13">
        <f t="shared" si="39"/>
        <v>25.984968676228355</v>
      </c>
      <c r="CB43" s="20">
        <f t="shared" si="10"/>
        <v>212.29831377776441</v>
      </c>
      <c r="CC43" s="59">
        <f t="shared" si="11"/>
        <v>505.63164711109772</v>
      </c>
      <c r="CD43" s="59">
        <f ca="1">AVERAGE(OFFSET($CC$3,0,0,'Données projet'!$E$12+1,1))-AVERAGE(OFFSET($H$3,0,0,'Données projet'!$E$12+1,1))</f>
        <v>169.62156467157178</v>
      </c>
      <c r="CE43" s="59">
        <f t="shared" si="40"/>
        <v>85.631326020763254</v>
      </c>
      <c r="CF43" s="15">
        <f>IF(ISNA(VLOOKUP(A43,'Données projet'!$A$113:$I$133,3,0)),0,VLOOKUP(A43,'Données projet'!$A$113:$I$133,3,0))</f>
        <v>1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220</v>
      </c>
      <c r="CR43" s="12">
        <f>VLOOKUP(A43,'Données projet'!$A$139:$I$159,9,0)</f>
        <v>10.199999999999999</v>
      </c>
      <c r="CS43" s="12">
        <f t="array" ref="CS43">INDEX(CR:CR,MIN(IF(ISNUMBER(CR43:CR239),ROW(CR43:CR239),"")))</f>
        <v>10.199999999999999</v>
      </c>
      <c r="CT43" s="12">
        <f>IF('Données projet'!$A$140&gt;35,CT42+CS43-DB42,IF(A43&lt;'Données projet'!$A$140,$CQ$205^A43,IF(A43='Données projet'!$A$140,'Données projet'!$B$140,CT42+CS43-DB42)))</f>
        <v>219.99999999999986</v>
      </c>
      <c r="CU43" s="17">
        <f>CT43*VLOOKUP('Données projet'!$B$13,Paramètres!$A$1:$I$89,3,0)*VLOOKUP('Données projet'!$B$13,Paramètres!$A$1:$I$89,5,0)</f>
        <v>178.46399999999991</v>
      </c>
      <c r="CV43" s="13">
        <f t="shared" si="41"/>
        <v>44.980284206661821</v>
      </c>
      <c r="CW43" s="20">
        <f t="shared" si="13"/>
        <v>389.16546165993583</v>
      </c>
      <c r="CX43" s="59">
        <f t="shared" si="14"/>
        <v>682.49879499326914</v>
      </c>
      <c r="CY43" s="59">
        <f ca="1">AVERAGE(OFFSET($CX$3,0,0,'Données projet'!$E$13+1,1))-AVERAGE(OFFSET($H$3,0,0,'Données projet'!$E$13+1,1))</f>
        <v>234.59657655504111</v>
      </c>
      <c r="CZ43" s="59">
        <f t="shared" si="42"/>
        <v>285.10598666479211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6.4466278086110025</v>
      </c>
      <c r="DH43" s="21">
        <f>EXP(-LN(2)/2)*DH42+(1-EXP(-LN(2)/2))/(LN(2)/2)*DB43*DE43*VLOOKUP('Données projet'!$B$13,Paramètres!$A$1:$I$89,3,0)*0.475*44/12</f>
        <v>0.3428927919408401</v>
      </c>
      <c r="DI43" s="22">
        <f t="shared" si="15"/>
        <v>6.7895206005518425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106</v>
      </c>
      <c r="DM43" s="12">
        <f>VLOOKUP(A43,'Données projet'!$A$165:$I$185,9,0)</f>
        <v>5.2</v>
      </c>
      <c r="DN43" s="12">
        <f t="array" ref="DN43">INDEX(DM:DM,MIN(IF(ISNUMBER(DM43:DM239),ROW(DM43:DM239),"")))</f>
        <v>5.2</v>
      </c>
      <c r="DO43" s="12">
        <f>IF('Données projet'!$A$166&gt;35,DO42+DN43-DW42,IF(A43&lt;'Données projet'!$A$166,$DL$205^A43,IF(A43='Données projet'!$A$166,'Données projet'!$B$166,DO42+DN43-DW42)))</f>
        <v>106.00000000000001</v>
      </c>
      <c r="DP43" s="17">
        <f>DO43*VLOOKUP('Données projet'!$B$14,Paramètres!$A$1:$I$89,3,0)*VLOOKUP('Données projet'!$B$14,Paramètres!$A$1:$I$89,5,0)</f>
        <v>102.52320000000002</v>
      </c>
      <c r="DQ43" s="13">
        <f t="shared" si="43"/>
        <v>27.562240591342476</v>
      </c>
      <c r="DR43" s="20">
        <f t="shared" si="16"/>
        <v>226.56547569658815</v>
      </c>
      <c r="DS43" s="59">
        <f t="shared" si="17"/>
        <v>519.89880902992149</v>
      </c>
      <c r="DT43" s="59">
        <f ca="1">AVERAGE(OFFSET($DS$3,0,0,'Données projet'!$E$14+1,1))-AVERAGE(OFFSET($H$3,0,0,'Données projet'!$E$14+1,1))</f>
        <v>186.90852124957956</v>
      </c>
      <c r="DU43" s="59">
        <f t="shared" si="44"/>
        <v>93.013797128776446</v>
      </c>
      <c r="DV43" s="15">
        <f>IF(ISNA(VLOOKUP(A43,'Données projet'!$A$165:$I$185,3,0)),0,VLOOKUP(A43,'Données projet'!$A$165:$I$185,3,0))</f>
        <v>1</v>
      </c>
      <c r="DW43" s="15">
        <f>IF(ISNA(VLOOKUP(A43,'Données projet'!$A$165:$I$185,4,0)),0,VLOOKUP(A43,'Données projet'!$A$165:$I$185,4,0))</f>
        <v>27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106</v>
      </c>
      <c r="EH43" s="12">
        <f>VLOOKUP(A43,'Données projet'!$A$191:$I$211,9,0)</f>
        <v>5.2</v>
      </c>
      <c r="EI43" s="12">
        <f t="array" ref="EI43">INDEX(EH:EH,MIN(IF(ISNUMBER(EH43:EH239),ROW(EH43:EH239),"")))</f>
        <v>5.2</v>
      </c>
      <c r="EJ43" s="12">
        <f>IF('Données projet'!$A$192&gt;35,EJ42+EI43-ER42,IF(A43&lt;'Données projet'!$A$192,$EG$205^A43,IF(A43='Données projet'!$A$192,'Données projet'!$B$192,EJ42+EI43-ER42)))</f>
        <v>106.00000000000001</v>
      </c>
      <c r="EK43" s="17">
        <f>EJ43*VLOOKUP('Données projet'!$B$15,Paramètres!$A$1:$I$89,3,0)*VLOOKUP('Données projet'!$B$15,Paramètres!$A$1:$I$89,5,0)</f>
        <v>114.0984</v>
      </c>
      <c r="EL43" s="13">
        <f t="shared" si="45"/>
        <v>30.294534186150837</v>
      </c>
      <c r="EM43" s="20">
        <f t="shared" si="19"/>
        <v>251.48436037421268</v>
      </c>
      <c r="EN43" s="59">
        <f t="shared" si="20"/>
        <v>544.81769370754603</v>
      </c>
      <c r="EO43" s="59">
        <f ca="1">AVERAGE(OFFSET($EN$3,0,0,'Données projet'!$E$15+1,1))-AVERAGE(OFFSET($H$3,0,0,'Données projet'!$E$15+1,1))</f>
        <v>217.10418688911096</v>
      </c>
      <c r="EP43" s="59">
        <f t="shared" si="46"/>
        <v>105.90631421515786</v>
      </c>
      <c r="EQ43" s="15">
        <f>IF(ISNA(VLOOKUP(A43,'Données projet'!$A$191:$I$211,3,0)),0,VLOOKUP(A43,'Données projet'!$A$191:$I$211,3,0))</f>
        <v>1</v>
      </c>
      <c r="ER43" s="15">
        <f>IF(ISNA(VLOOKUP(A43,'Données projet'!$A$191:$I$211,4,0)),0,VLOOKUP(A43,'Données projet'!$A$191:$I$211,4,0))</f>
        <v>27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7.333333333333333</v>
      </c>
      <c r="N44" s="13">
        <f>IF('Données projet'!$A$36&gt;35,N43+M44-V43,IF(A44&lt;'Données projet'!$A$36,$K$205^A44,IF(A44='Données projet'!$A$36,'Données projet'!$B$36,N43+M44-V43)))</f>
        <v>191.33333333333329</v>
      </c>
      <c r="O44" s="13">
        <f>N44*VLOOKUP('Données projet'!$B$9,Paramètres!$A$1:$I$89,3,0)*VLOOKUP('Données projet'!$B$9,Paramètres!$A$1:$I$89,5,0)</f>
        <v>114.41733333333332</v>
      </c>
      <c r="P44" s="13">
        <f t="shared" si="33"/>
        <v>30.36934592669316</v>
      </c>
      <c r="Q44" s="20">
        <f t="shared" si="53"/>
        <v>252.17013304454611</v>
      </c>
      <c r="R44" s="59">
        <f t="shared" si="0"/>
        <v>545.50346637787948</v>
      </c>
      <c r="S44" s="59">
        <f ca="1">AVERAGE(OFFSET($R$3,0,0,'Données projet'!$E$9+1,1))-AVERAGE(OFFSET($H$3,0,0,'Données projet'!$E$9+1,1))</f>
        <v>145.19188637714888</v>
      </c>
      <c r="T44" s="59">
        <f t="shared" si="34"/>
        <v>169.74069292032493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1.7792391806612773</v>
      </c>
      <c r="AA44" s="21">
        <f>EXP(-LN(2)/25)*AA43+(1-EXP(-LN(2)/25))/(LN(2)/25)*Calculateur!V44*Calculateur!X44*VLOOKUP('Données projet'!$B$9,Paramètres!$A$1:$I$89,3,0)*0.475*44/12</f>
        <v>6.3803343596649631</v>
      </c>
      <c r="AB44" s="21">
        <f>EXP(-LN(2)/2)*AB43+(1-EXP(-LN(2)/2))/(LN(2)/2)*V44*Y44*VLOOKUP('Données projet'!$B$9,Paramètres!$A$1:$I$89,3,0)*0.475*44/12</f>
        <v>8.9394264732911552E-2</v>
      </c>
      <c r="AC44" s="22">
        <f t="shared" si="3"/>
        <v>8.2489678050591522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166.20000000000002</v>
      </c>
      <c r="AJ44" s="13">
        <f>AI44*VLOOKUP('Données projet'!$B$10,Paramètres!$A$1:$I$89,3,0)*VLOOKUP('Données projet'!$B$10,Paramètres!$A$1:$I$89,5,0)</f>
        <v>145.19232000000002</v>
      </c>
      <c r="AK44" s="13">
        <f t="shared" si="35"/>
        <v>37.48396031597408</v>
      </c>
      <c r="AL44" s="20">
        <f t="shared" si="4"/>
        <v>318.16118821698825</v>
      </c>
      <c r="AM44" s="59">
        <f t="shared" si="5"/>
        <v>611.49452155032156</v>
      </c>
      <c r="AN44" s="59">
        <f ca="1">AVERAGE(OFFSET($AM$3,0,0,'Données projet'!$E$10+1,1))-AVERAGE(OFFSET($H$3,0,0,'Données projet'!$E$10+1,1))</f>
        <v>254.24072778190163</v>
      </c>
      <c r="AO44" s="59">
        <f t="shared" si="36"/>
        <v>356.78706780980383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2.4714423471010734</v>
      </c>
      <c r="AV44" s="21">
        <f>EXP(-LN(2)/25)*AV43+(1-EXP(-LN(2)/25))/(LN(2)/25)*Calculateur!AQ44*Calculateur!AS44*VLOOKUP('Données projet'!$B$10,Paramètres!$A$1:$I$89,3,0)*0.475*44/12</f>
        <v>13.041683827889582</v>
      </c>
      <c r="AW44" s="21">
        <f>EXP(-LN(2)/2)*AW43+(1-EXP(-LN(2)/2))/(LN(2)/2)*AQ44*AT44*VLOOKUP('Données projet'!$B$10,Paramètres!$A$1:$I$89,3,0)*0.475*44/12</f>
        <v>0.61363625401115518</v>
      </c>
      <c r="AX44" s="21">
        <f t="shared" si="6"/>
        <v>16.126762429001811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12.8</v>
      </c>
      <c r="BD44" s="12">
        <f>IF('Données projet'!$A$88&gt;35,BD43+BC44-BL43,IF(A44&lt;'Données projet'!$A$88,$BA$205^A44,IF(A44='Données projet'!$A$88,'Données projet'!$B$88,BD43+BC44-BL43)))</f>
        <v>227.7999999999999</v>
      </c>
      <c r="BE44" s="13">
        <f>BD44*VLOOKUP('Données projet'!$B$11,Paramètres!$A$1:$I$89,3,0)*VLOOKUP('Données projet'!$B$11,Paramètres!$A$1:$I$89,5,0)</f>
        <v>136.22439999999995</v>
      </c>
      <c r="BF44" s="13">
        <f t="shared" si="37"/>
        <v>35.430697151629076</v>
      </c>
      <c r="BG44" s="20">
        <f t="shared" si="7"/>
        <v>298.96596087242057</v>
      </c>
      <c r="BH44" s="59">
        <f t="shared" si="8"/>
        <v>592.29929420575388</v>
      </c>
      <c r="BI44" s="59">
        <f ca="1">AVERAGE(OFFSET($BH$3,0,0,'Données projet'!$E$11+1,1))-AVERAGE(OFFSET($H$3,0,0,'Données projet'!$E$11+1,1))</f>
        <v>246.59447135626942</v>
      </c>
      <c r="BJ44" s="59">
        <f t="shared" si="38"/>
        <v>262.00382544285367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9.4716368596766713</v>
      </c>
      <c r="BR44" s="21">
        <f>EXP(-LN(2)/2)*BR43+(1-EXP(-LN(2)/2))/(LN(2)/2)*BL44*BO44*VLOOKUP('Données projet'!$B$11,Paramètres!$A$1:$I$89,3,0)*0.475*44/12</f>
        <v>0.52434972749979225</v>
      </c>
      <c r="BS44" s="22">
        <f t="shared" si="9"/>
        <v>9.9959865871764642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4.2</v>
      </c>
      <c r="BY44" s="12">
        <f>IF('Données projet'!$A$114&gt;35,BY43+BX44-CG43,IF(A44&lt;'Données projet'!$A$114,$BV$205^A44,IF(A44='Données projet'!$A$114,'Données projet'!$B$114,BY43+BX44-CG43)))</f>
        <v>83.200000000000017</v>
      </c>
      <c r="BZ44" s="13">
        <f>BY44*VLOOKUP('Données projet'!$B$12,Paramètres!$A$1:$I$89,3,0)*VLOOKUP('Données projet'!$B$12,Paramètres!$A$1:$I$89,5,0)</f>
        <v>75.279360000000011</v>
      </c>
      <c r="CA44" s="13">
        <f t="shared" si="39"/>
        <v>20.978909341473841</v>
      </c>
      <c r="CB44" s="20">
        <f t="shared" si="10"/>
        <v>167.64981910306696</v>
      </c>
      <c r="CC44" s="59">
        <f t="shared" si="11"/>
        <v>460.98315243640025</v>
      </c>
      <c r="CD44" s="59">
        <f ca="1">AVERAGE(OFFSET($CC$3,0,0,'Données projet'!$E$12+1,1))-AVERAGE(OFFSET($H$3,0,0,'Données projet'!$E$12+1,1))</f>
        <v>169.62156467157178</v>
      </c>
      <c r="CE44" s="59">
        <f t="shared" si="40"/>
        <v>85.631326020763254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7.7</v>
      </c>
      <c r="CT44" s="12">
        <f>IF('Données projet'!$A$140&gt;35,CT43+CS44-DB43,IF(A44&lt;'Données projet'!$A$140,$CQ$205^A44,IF(A44='Données projet'!$A$140,'Données projet'!$B$140,CT43+CS44-DB43)))</f>
        <v>171.69999999999985</v>
      </c>
      <c r="CU44" s="17">
        <f>CT44*VLOOKUP('Données projet'!$B$13,Paramètres!$A$1:$I$89,3,0)*VLOOKUP('Données projet'!$B$13,Paramètres!$A$1:$I$89,5,0)</f>
        <v>139.28303999999989</v>
      </c>
      <c r="CV44" s="13">
        <f t="shared" si="41"/>
        <v>36.132710979898413</v>
      </c>
      <c r="CW44" s="20">
        <f t="shared" si="13"/>
        <v>305.51576628998953</v>
      </c>
      <c r="CX44" s="59">
        <f t="shared" si="14"/>
        <v>598.8490996233229</v>
      </c>
      <c r="CY44" s="59">
        <f ca="1">AVERAGE(OFFSET($CX$3,0,0,'Données projet'!$E$13+1,1))-AVERAGE(OFFSET($H$3,0,0,'Données projet'!$E$13+1,1))</f>
        <v>234.59657655504111</v>
      </c>
      <c r="CZ44" s="59">
        <f t="shared" si="42"/>
        <v>285.10598666479211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6.2703444321711119</v>
      </c>
      <c r="DH44" s="21">
        <f>EXP(-LN(2)/2)*DH43+(1-EXP(-LN(2)/2))/(LN(2)/2)*DB44*DE44*VLOOKUP('Données projet'!$B$13,Paramètres!$A$1:$I$89,3,0)*0.475*44/12</f>
        <v>0.242461818401356</v>
      </c>
      <c r="DI44" s="22">
        <f t="shared" si="15"/>
        <v>6.512806250572468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4.2</v>
      </c>
      <c r="DO44" s="12">
        <f>IF('Données projet'!$A$166&gt;35,DO43+DN44-DW43,IF(A44&lt;'Données projet'!$A$166,$DL$205^A44,IF(A44='Données projet'!$A$166,'Données projet'!$B$166,DO43+DN44-DW43)))</f>
        <v>83.200000000000017</v>
      </c>
      <c r="DP44" s="17">
        <f>DO44*VLOOKUP('Données projet'!$B$14,Paramètres!$A$1:$I$89,3,0)*VLOOKUP('Données projet'!$B$14,Paramètres!$A$1:$I$89,5,0)</f>
        <v>80.471040000000016</v>
      </c>
      <c r="DQ44" s="13">
        <f t="shared" si="43"/>
        <v>22.25231647643426</v>
      </c>
      <c r="DR44" s="20">
        <f t="shared" si="16"/>
        <v>178.90984586312302</v>
      </c>
      <c r="DS44" s="59">
        <f t="shared" si="17"/>
        <v>472.24317919645637</v>
      </c>
      <c r="DT44" s="59">
        <f ca="1">AVERAGE(OFFSET($DS$3,0,0,'Données projet'!$E$14+1,1))-AVERAGE(OFFSET($H$3,0,0,'Données projet'!$E$14+1,1))</f>
        <v>186.90852124957956</v>
      </c>
      <c r="DU44" s="59">
        <f t="shared" si="44"/>
        <v>93.013797128776446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4.2</v>
      </c>
      <c r="EJ44" s="12">
        <f>IF('Données projet'!$A$192&gt;35,EJ43+EI44-ER43,IF(A44&lt;'Données projet'!$A$192,$EG$205^A44,IF(A44='Données projet'!$A$192,'Données projet'!$B$192,EJ43+EI44-ER43)))</f>
        <v>83.200000000000017</v>
      </c>
      <c r="EK44" s="17">
        <f>EJ44*VLOOKUP('Données projet'!$B$15,Paramètres!$A$1:$I$89,3,0)*VLOOKUP('Données projet'!$B$15,Paramètres!$A$1:$I$89,5,0)</f>
        <v>89.556480000000022</v>
      </c>
      <c r="EL44" s="13">
        <f t="shared" si="45"/>
        <v>24.458227914465439</v>
      </c>
      <c r="EM44" s="20">
        <f t="shared" si="19"/>
        <v>198.57561628436065</v>
      </c>
      <c r="EN44" s="59">
        <f t="shared" si="20"/>
        <v>491.90894961769396</v>
      </c>
      <c r="EO44" s="59">
        <f ca="1">AVERAGE(OFFSET($EN$3,0,0,'Données projet'!$E$15+1,1))-AVERAGE(OFFSET($H$3,0,0,'Données projet'!$E$15+1,1))</f>
        <v>217.10418688911096</v>
      </c>
      <c r="EP44" s="59">
        <f t="shared" si="46"/>
        <v>105.90631421515786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7.333333333333333</v>
      </c>
      <c r="N45" s="13">
        <f>IF('Données projet'!$A$36&gt;35,N44+M45-V44,IF(A45&lt;'Données projet'!$A$36,$K$205^A45,IF(A45='Données projet'!$A$36,'Données projet'!$B$36,N44+M45-V44)))</f>
        <v>198.66666666666663</v>
      </c>
      <c r="O45" s="13">
        <f>N45*VLOOKUP('Données projet'!$B$9,Paramètres!$A$1:$I$89,3,0)*VLOOKUP('Données projet'!$B$9,Paramètres!$A$1:$I$89,5,0)</f>
        <v>118.80266666666665</v>
      </c>
      <c r="P45" s="13">
        <f t="shared" si="33"/>
        <v>31.395578184054404</v>
      </c>
      <c r="Q45" s="20">
        <f t="shared" si="53"/>
        <v>261.59527644833923</v>
      </c>
      <c r="R45" s="59">
        <f t="shared" si="0"/>
        <v>554.92860978167255</v>
      </c>
      <c r="S45" s="59">
        <f ca="1">AVERAGE(OFFSET($R$3,0,0,'Données projet'!$E$9+1,1))-AVERAGE(OFFSET($H$3,0,0,'Données projet'!$E$9+1,1))</f>
        <v>145.19188637714888</v>
      </c>
      <c r="T45" s="59">
        <f t="shared" si="34"/>
        <v>169.74069292032493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1.7443493855572525</v>
      </c>
      <c r="AA45" s="21">
        <f>EXP(-LN(2)/25)*AA44+(1-EXP(-LN(2)/25))/(LN(2)/25)*Calculateur!V45*Calculateur!X45*VLOOKUP('Données projet'!$B$9,Paramètres!$A$1:$I$89,3,0)*0.475*44/12</f>
        <v>6.2058637810727229</v>
      </c>
      <c r="AB45" s="21">
        <f>EXP(-LN(2)/2)*AB44+(1-EXP(-LN(2)/2))/(LN(2)/2)*V45*Y45*VLOOKUP('Données projet'!$B$9,Paramètres!$A$1:$I$89,3,0)*0.475*44/12</f>
        <v>6.321129079182719E-2</v>
      </c>
      <c r="AC45" s="22">
        <f t="shared" si="3"/>
        <v>8.0134244574218023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174.4</v>
      </c>
      <c r="AJ45" s="13">
        <f>AI45*VLOOKUP('Données projet'!$B$10,Paramètres!$A$1:$I$89,3,0)*VLOOKUP('Données projet'!$B$10,Paramètres!$A$1:$I$89,5,0)</f>
        <v>152.35584000000003</v>
      </c>
      <c r="AK45" s="13">
        <f t="shared" si="35"/>
        <v>39.11347218476763</v>
      </c>
      <c r="AL45" s="20">
        <f t="shared" si="4"/>
        <v>333.47571872180367</v>
      </c>
      <c r="AM45" s="59">
        <f t="shared" si="5"/>
        <v>626.80905205513704</v>
      </c>
      <c r="AN45" s="59">
        <f ca="1">AVERAGE(OFFSET($AM$3,0,0,'Données projet'!$E$10+1,1))-AVERAGE(OFFSET($H$3,0,0,'Données projet'!$E$10+1,1))</f>
        <v>254.24072778190163</v>
      </c>
      <c r="AO45" s="59">
        <f t="shared" si="36"/>
        <v>356.78706780980383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2.4229788701054065</v>
      </c>
      <c r="AV45" s="21">
        <f>EXP(-LN(2)/25)*AV44+(1-EXP(-LN(2)/25))/(LN(2)/25)*Calculateur!AQ45*Calculateur!AS45*VLOOKUP('Données projet'!$B$10,Paramètres!$A$1:$I$89,3,0)*0.475*44/12</f>
        <v>12.685058297783597</v>
      </c>
      <c r="AW45" s="21">
        <f>EXP(-LN(2)/2)*AW44+(1-EXP(-LN(2)/2))/(LN(2)/2)*AQ45*AT45*VLOOKUP('Données projet'!$B$10,Paramètres!$A$1:$I$89,3,0)*0.475*44/12</f>
        <v>0.43390635639319863</v>
      </c>
      <c r="AX45" s="21">
        <f t="shared" si="6"/>
        <v>15.541943524282201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12.8</v>
      </c>
      <c r="BD45" s="12">
        <f>IF('Données projet'!$A$88&gt;35,BD44+BC45-BL44,IF(A45&lt;'Données projet'!$A$88,$BA$205^A45,IF(A45='Données projet'!$A$88,'Données projet'!$B$88,BD44+BC45-BL44)))</f>
        <v>240.59999999999991</v>
      </c>
      <c r="BE45" s="13">
        <f>BD45*VLOOKUP('Données projet'!$B$11,Paramètres!$A$1:$I$89,3,0)*VLOOKUP('Données projet'!$B$11,Paramètres!$A$1:$I$89,5,0)</f>
        <v>143.87879999999996</v>
      </c>
      <c r="BF45" s="13">
        <f t="shared" si="37"/>
        <v>37.184165858158067</v>
      </c>
      <c r="BG45" s="20">
        <f t="shared" si="7"/>
        <v>315.35133220295853</v>
      </c>
      <c r="BH45" s="59">
        <f t="shared" si="8"/>
        <v>608.68466553629185</v>
      </c>
      <c r="BI45" s="59">
        <f ca="1">AVERAGE(OFFSET($BH$3,0,0,'Données projet'!$E$11+1,1))-AVERAGE(OFFSET($H$3,0,0,'Données projet'!$E$11+1,1))</f>
        <v>246.59447135626942</v>
      </c>
      <c r="BJ45" s="59">
        <f t="shared" si="38"/>
        <v>262.00382544285367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9.2126344516570775</v>
      </c>
      <c r="BR45" s="21">
        <f>EXP(-LN(2)/2)*BR44+(1-EXP(-LN(2)/2))/(LN(2)/2)*BL45*BO45*VLOOKUP('Données projet'!$B$11,Paramètres!$A$1:$I$89,3,0)*0.475*44/12</f>
        <v>0.37077124802842143</v>
      </c>
      <c r="BS45" s="22">
        <f t="shared" si="9"/>
        <v>9.5834056996854997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4.2</v>
      </c>
      <c r="BY45" s="12">
        <f>IF('Données projet'!$A$114&gt;35,BY44+BX45-CG44,IF(A45&lt;'Données projet'!$A$114,$BV$205^A45,IF(A45='Données projet'!$A$114,'Données projet'!$B$114,BY44+BX45-CG44)))</f>
        <v>87.40000000000002</v>
      </c>
      <c r="BZ45" s="13">
        <f>BY45*VLOOKUP('Données projet'!$B$12,Paramètres!$A$1:$I$89,3,0)*VLOOKUP('Données projet'!$B$12,Paramètres!$A$1:$I$89,5,0)</f>
        <v>79.079520000000016</v>
      </c>
      <c r="CA45" s="13">
        <f t="shared" si="39"/>
        <v>21.911970621402002</v>
      </c>
      <c r="CB45" s="20">
        <f t="shared" si="10"/>
        <v>175.89351283227518</v>
      </c>
      <c r="CC45" s="59">
        <f t="shared" si="11"/>
        <v>469.22684616560849</v>
      </c>
      <c r="CD45" s="59">
        <f ca="1">AVERAGE(OFFSET($CC$3,0,0,'Données projet'!$E$12+1,1))-AVERAGE(OFFSET($H$3,0,0,'Données projet'!$E$12+1,1))</f>
        <v>169.62156467157178</v>
      </c>
      <c r="CE45" s="59">
        <f t="shared" si="40"/>
        <v>85.631326020763254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7.7</v>
      </c>
      <c r="CT45" s="12">
        <f>IF('Données projet'!$A$140&gt;35,CT44+CS45-DB44,IF(A45&lt;'Données projet'!$A$140,$CQ$205^A45,IF(A45='Données projet'!$A$140,'Données projet'!$B$140,CT44+CS45-DB44)))</f>
        <v>179.39999999999984</v>
      </c>
      <c r="CU45" s="17">
        <f>CT45*VLOOKUP('Données projet'!$B$13,Paramètres!$A$1:$I$89,3,0)*VLOOKUP('Données projet'!$B$13,Paramètres!$A$1:$I$89,5,0)</f>
        <v>145.52927999999986</v>
      </c>
      <c r="CV45" s="13">
        <f t="shared" si="41"/>
        <v>37.560816225769642</v>
      </c>
      <c r="CW45" s="20">
        <f t="shared" si="13"/>
        <v>318.88191759321518</v>
      </c>
      <c r="CX45" s="59">
        <f t="shared" si="14"/>
        <v>612.21525092654849</v>
      </c>
      <c r="CY45" s="59">
        <f ca="1">AVERAGE(OFFSET($CX$3,0,0,'Données projet'!$E$13+1,1))-AVERAGE(OFFSET($H$3,0,0,'Données projet'!$E$13+1,1))</f>
        <v>234.59657655504111</v>
      </c>
      <c r="CZ45" s="59">
        <f t="shared" si="42"/>
        <v>285.10598666479211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6.0988815339303102</v>
      </c>
      <c r="DH45" s="21">
        <f>EXP(-LN(2)/2)*DH44+(1-EXP(-LN(2)/2))/(LN(2)/2)*DB45*DE45*VLOOKUP('Données projet'!$B$13,Paramètres!$A$1:$I$89,3,0)*0.475*44/12</f>
        <v>0.17144639597042008</v>
      </c>
      <c r="DI45" s="22">
        <f t="shared" si="15"/>
        <v>6.2703279299007306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4.2</v>
      </c>
      <c r="DO45" s="12">
        <f>IF('Données projet'!$A$166&gt;35,DO44+DN45-DW44,IF(A45&lt;'Données projet'!$A$166,$DL$205^A45,IF(A45='Données projet'!$A$166,'Données projet'!$B$166,DO44+DN45-DW44)))</f>
        <v>87.40000000000002</v>
      </c>
      <c r="DP45" s="17">
        <f>DO45*VLOOKUP('Données projet'!$B$14,Paramètres!$A$1:$I$89,3,0)*VLOOKUP('Données projet'!$B$14,Paramètres!$A$1:$I$89,5,0)</f>
        <v>84.533280000000019</v>
      </c>
      <c r="DQ45" s="13">
        <f t="shared" si="43"/>
        <v>23.242014012893971</v>
      </c>
      <c r="DR45" s="20">
        <f t="shared" si="16"/>
        <v>187.70863707245704</v>
      </c>
      <c r="DS45" s="59">
        <f t="shared" si="17"/>
        <v>481.04197040579038</v>
      </c>
      <c r="DT45" s="59">
        <f ca="1">AVERAGE(OFFSET($DS$3,0,0,'Données projet'!$E$14+1,1))-AVERAGE(OFFSET($H$3,0,0,'Données projet'!$E$14+1,1))</f>
        <v>186.90852124957956</v>
      </c>
      <c r="DU45" s="59">
        <f t="shared" si="44"/>
        <v>93.013797128776446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4.2</v>
      </c>
      <c r="EJ45" s="12">
        <f>IF('Données projet'!$A$192&gt;35,EJ44+EI45-ER44,IF(A45&lt;'Données projet'!$A$192,$EG$205^A45,IF(A45='Données projet'!$A$192,'Données projet'!$B$192,EJ44+EI45-ER44)))</f>
        <v>87.40000000000002</v>
      </c>
      <c r="EK45" s="17">
        <f>EJ45*VLOOKUP('Données projet'!$B$15,Paramètres!$A$1:$I$89,3,0)*VLOOKUP('Données projet'!$B$15,Paramètres!$A$1:$I$89,5,0)</f>
        <v>94.077360000000027</v>
      </c>
      <c r="EL45" s="13">
        <f t="shared" si="45"/>
        <v>25.546035915881891</v>
      </c>
      <c r="EM45" s="20">
        <f t="shared" si="19"/>
        <v>208.344081220161</v>
      </c>
      <c r="EN45" s="59">
        <f t="shared" si="20"/>
        <v>501.67741455349432</v>
      </c>
      <c r="EO45" s="59">
        <f ca="1">AVERAGE(OFFSET($EN$3,0,0,'Données projet'!$E$15+1,1))-AVERAGE(OFFSET($H$3,0,0,'Données projet'!$E$15+1,1))</f>
        <v>217.10418688911096</v>
      </c>
      <c r="EP45" s="59">
        <f t="shared" si="46"/>
        <v>105.90631421515786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7.333333333333333</v>
      </c>
      <c r="N46" s="13">
        <f>IF('Données projet'!$A$36&gt;35,N45+M46-V45,IF(A46&lt;'Données projet'!$A$36,$K$205^A46,IF(A46='Données projet'!$A$36,'Données projet'!$B$36,N45+M46-V45)))</f>
        <v>205.99999999999997</v>
      </c>
      <c r="O46" s="13">
        <f>N46*VLOOKUP('Données projet'!$B$9,Paramètres!$A$1:$I$89,3,0)*VLOOKUP('Données projet'!$B$9,Paramètres!$A$1:$I$89,5,0)</f>
        <v>123.18799999999999</v>
      </c>
      <c r="P46" s="13">
        <f t="shared" si="33"/>
        <v>32.417409489939047</v>
      </c>
      <c r="Q46" s="20">
        <f t="shared" si="53"/>
        <v>271.01275486164383</v>
      </c>
      <c r="R46" s="59">
        <f t="shared" si="0"/>
        <v>564.34608819497714</v>
      </c>
      <c r="S46" s="59">
        <f ca="1">AVERAGE(OFFSET($R$3,0,0,'Données projet'!$E$9+1,1))-AVERAGE(OFFSET($H$3,0,0,'Données projet'!$E$9+1,1))</f>
        <v>145.19188637714888</v>
      </c>
      <c r="T46" s="59">
        <f t="shared" si="34"/>
        <v>169.74069292032493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1.7101437580545438</v>
      </c>
      <c r="AA46" s="21">
        <f>EXP(-LN(2)/25)*AA45+(1-EXP(-LN(2)/25))/(LN(2)/25)*Calculateur!V46*Calculateur!X46*VLOOKUP('Données projet'!$B$9,Paramètres!$A$1:$I$89,3,0)*0.475*44/12</f>
        <v>6.036164109627097</v>
      </c>
      <c r="AB46" s="21">
        <f>EXP(-LN(2)/2)*AB45+(1-EXP(-LN(2)/2))/(LN(2)/2)*V46*Y46*VLOOKUP('Données projet'!$B$9,Paramètres!$A$1:$I$89,3,0)*0.475*44/12</f>
        <v>4.4697132366455776E-2</v>
      </c>
      <c r="AC46" s="22">
        <f t="shared" si="3"/>
        <v>7.7910050000480968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182.6</v>
      </c>
      <c r="AJ46" s="13">
        <f>AI46*VLOOKUP('Données projet'!$B$10,Paramètres!$A$1:$I$89,3,0)*VLOOKUP('Données projet'!$B$10,Paramètres!$A$1:$I$89,5,0)</f>
        <v>159.51936000000001</v>
      </c>
      <c r="AK46" s="13">
        <f t="shared" si="35"/>
        <v>40.734086738277284</v>
      </c>
      <c r="AL46" s="20">
        <f t="shared" si="4"/>
        <v>348.77475306916625</v>
      </c>
      <c r="AM46" s="59">
        <f t="shared" si="5"/>
        <v>642.10808640249957</v>
      </c>
      <c r="AN46" s="59">
        <f ca="1">AVERAGE(OFFSET($AM$3,0,0,'Données projet'!$E$10+1,1))-AVERAGE(OFFSET($H$3,0,0,'Données projet'!$E$10+1,1))</f>
        <v>254.24072778190163</v>
      </c>
      <c r="AO46" s="59">
        <f t="shared" si="36"/>
        <v>356.78706780980383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2.3754657323338226</v>
      </c>
      <c r="AV46" s="21">
        <f>EXP(-LN(2)/25)*AV45+(1-EXP(-LN(2)/25))/(LN(2)/25)*Calculateur!AQ46*Calculateur!AS46*VLOOKUP('Données projet'!$B$10,Paramètres!$A$1:$I$89,3,0)*0.475*44/12</f>
        <v>12.338184711552481</v>
      </c>
      <c r="AW46" s="21">
        <f>EXP(-LN(2)/2)*AW45+(1-EXP(-LN(2)/2))/(LN(2)/2)*AQ46*AT46*VLOOKUP('Données projet'!$B$10,Paramètres!$A$1:$I$89,3,0)*0.475*44/12</f>
        <v>0.30681812700557765</v>
      </c>
      <c r="AX46" s="21">
        <f t="shared" si="6"/>
        <v>15.020468570891881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12.8</v>
      </c>
      <c r="BD46" s="12">
        <f>IF('Données projet'!$A$88&gt;35,BD45+BC46-BL45,IF(A46&lt;'Données projet'!$A$88,$BA$205^A46,IF(A46='Données projet'!$A$88,'Données projet'!$B$88,BD45+BC46-BL45)))</f>
        <v>253.39999999999992</v>
      </c>
      <c r="BE46" s="13">
        <f>BD46*VLOOKUP('Données projet'!$B$11,Paramètres!$A$1:$I$89,3,0)*VLOOKUP('Données projet'!$B$11,Paramètres!$A$1:$I$89,5,0)</f>
        <v>151.53319999999997</v>
      </c>
      <c r="BF46" s="13">
        <f t="shared" si="37"/>
        <v>38.926804334954284</v>
      </c>
      <c r="BG46" s="20">
        <f t="shared" si="7"/>
        <v>331.71784088337864</v>
      </c>
      <c r="BH46" s="59">
        <f t="shared" si="8"/>
        <v>625.05117421671196</v>
      </c>
      <c r="BI46" s="59">
        <f ca="1">AVERAGE(OFFSET($BH$3,0,0,'Données projet'!$E$11+1,1))-AVERAGE(OFFSET($H$3,0,0,'Données projet'!$E$11+1,1))</f>
        <v>246.59447135626942</v>
      </c>
      <c r="BJ46" s="59">
        <f t="shared" si="38"/>
        <v>262.00382544285367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8.9607144781051247</v>
      </c>
      <c r="BR46" s="21">
        <f>EXP(-LN(2)/2)*BR45+(1-EXP(-LN(2)/2))/(LN(2)/2)*BL46*BO46*VLOOKUP('Données projet'!$B$11,Paramètres!$A$1:$I$89,3,0)*0.475*44/12</f>
        <v>0.26217486374989613</v>
      </c>
      <c r="BS46" s="22">
        <f t="shared" si="9"/>
        <v>9.2228893418550211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4.2</v>
      </c>
      <c r="BY46" s="12">
        <f>IF('Données projet'!$A$114&gt;35,BY45+BX46-CG45,IF(A46&lt;'Données projet'!$A$114,$BV$205^A46,IF(A46='Données projet'!$A$114,'Données projet'!$B$114,BY45+BX46-CG45)))</f>
        <v>91.600000000000023</v>
      </c>
      <c r="BZ46" s="13">
        <f>BY46*VLOOKUP('Données projet'!$B$12,Paramètres!$A$1:$I$89,3,0)*VLOOKUP('Données projet'!$B$12,Paramètres!$A$1:$I$89,5,0)</f>
        <v>82.879680000000008</v>
      </c>
      <c r="CA46" s="13">
        <f t="shared" si="39"/>
        <v>22.83982519050506</v>
      </c>
      <c r="CB46" s="20">
        <f t="shared" si="10"/>
        <v>184.12813820679631</v>
      </c>
      <c r="CC46" s="59">
        <f t="shared" si="11"/>
        <v>477.46147154012965</v>
      </c>
      <c r="CD46" s="59">
        <f ca="1">AVERAGE(OFFSET($CC$3,0,0,'Données projet'!$E$12+1,1))-AVERAGE(OFFSET($H$3,0,0,'Données projet'!$E$12+1,1))</f>
        <v>169.62156467157178</v>
      </c>
      <c r="CE46" s="59">
        <f t="shared" si="40"/>
        <v>85.631326020763254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7.7</v>
      </c>
      <c r="CT46" s="12">
        <f>IF('Données projet'!$A$140&gt;35,CT45+CS46-DB45,IF(A46&lt;'Données projet'!$A$140,$CQ$205^A46,IF(A46='Données projet'!$A$140,'Données projet'!$B$140,CT45+CS46-DB45)))</f>
        <v>187.09999999999982</v>
      </c>
      <c r="CU46" s="17">
        <f>CT46*VLOOKUP('Données projet'!$B$13,Paramètres!$A$1:$I$89,3,0)*VLOOKUP('Données projet'!$B$13,Paramètres!$A$1:$I$89,5,0)</f>
        <v>151.77551999999989</v>
      </c>
      <c r="CV46" s="13">
        <f t="shared" si="41"/>
        <v>38.98180216162384</v>
      </c>
      <c r="CW46" s="20">
        <f t="shared" si="13"/>
        <v>332.23566943149461</v>
      </c>
      <c r="CX46" s="59">
        <f t="shared" si="14"/>
        <v>625.56900276482793</v>
      </c>
      <c r="CY46" s="59">
        <f ca="1">AVERAGE(OFFSET($CX$3,0,0,'Données projet'!$E$13+1,1))-AVERAGE(OFFSET($H$3,0,0,'Données projet'!$E$13+1,1))</f>
        <v>234.59657655504111</v>
      </c>
      <c r="CZ46" s="59">
        <f t="shared" si="42"/>
        <v>285.10598666479211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5.932107297658745</v>
      </c>
      <c r="DH46" s="21">
        <f>EXP(-LN(2)/2)*DH45+(1-EXP(-LN(2)/2))/(LN(2)/2)*DB46*DE46*VLOOKUP('Données projet'!$B$13,Paramètres!$A$1:$I$89,3,0)*0.475*44/12</f>
        <v>0.12123090920067803</v>
      </c>
      <c r="DI46" s="22">
        <f t="shared" si="15"/>
        <v>6.053338206859423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4.2</v>
      </c>
      <c r="DO46" s="12">
        <f>IF('Données projet'!$A$166&gt;35,DO45+DN46-DW45,IF(A46&lt;'Données projet'!$A$166,$DL$205^A46,IF(A46='Données projet'!$A$166,'Données projet'!$B$166,DO45+DN46-DW45)))</f>
        <v>91.600000000000023</v>
      </c>
      <c r="DP46" s="17">
        <f>DO46*VLOOKUP('Données projet'!$B$14,Paramètres!$A$1:$I$89,3,0)*VLOOKUP('Données projet'!$B$14,Paramètres!$A$1:$I$89,5,0)</f>
        <v>88.595520000000022</v>
      </c>
      <c r="DQ46" s="13">
        <f t="shared" si="43"/>
        <v>24.226188794324088</v>
      </c>
      <c r="DR46" s="20">
        <f t="shared" si="16"/>
        <v>196.49780948344781</v>
      </c>
      <c r="DS46" s="59">
        <f t="shared" si="17"/>
        <v>489.83114281678115</v>
      </c>
      <c r="DT46" s="59">
        <f ca="1">AVERAGE(OFFSET($DS$3,0,0,'Données projet'!$E$14+1,1))-AVERAGE(OFFSET($H$3,0,0,'Données projet'!$E$14+1,1))</f>
        <v>186.90852124957956</v>
      </c>
      <c r="DU46" s="59">
        <f t="shared" si="44"/>
        <v>93.013797128776446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4.2</v>
      </c>
      <c r="EJ46" s="12">
        <f>IF('Données projet'!$A$192&gt;35,EJ45+EI46-ER45,IF(A46&lt;'Données projet'!$A$192,$EG$205^A46,IF(A46='Données projet'!$A$192,'Données projet'!$B$192,EJ45+EI46-ER45)))</f>
        <v>91.600000000000023</v>
      </c>
      <c r="EK46" s="17">
        <f>EJ46*VLOOKUP('Données projet'!$B$15,Paramètres!$A$1:$I$89,3,0)*VLOOKUP('Données projet'!$B$15,Paramètres!$A$1:$I$89,5,0)</f>
        <v>98.598240000000018</v>
      </c>
      <c r="EL46" s="13">
        <f t="shared" si="45"/>
        <v>26.627773681807483</v>
      </c>
      <c r="EM46" s="20">
        <f t="shared" si="19"/>
        <v>218.10197382914805</v>
      </c>
      <c r="EN46" s="59">
        <f t="shared" si="20"/>
        <v>511.43530716248137</v>
      </c>
      <c r="EO46" s="59">
        <f ca="1">AVERAGE(OFFSET($EN$3,0,0,'Données projet'!$E$15+1,1))-AVERAGE(OFFSET($H$3,0,0,'Données projet'!$E$15+1,1))</f>
        <v>217.10418688911096</v>
      </c>
      <c r="EP46" s="59">
        <f t="shared" si="46"/>
        <v>105.90631421515786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7.333333333333333</v>
      </c>
      <c r="N47" s="13">
        <f>IF('Données projet'!$A$36&gt;35,N46+M47-V46,IF(A47&lt;'Données projet'!$A$36,$K$205^A47,IF(A47='Données projet'!$A$36,'Données projet'!$B$36,N46+M47-V46)))</f>
        <v>213.33333333333331</v>
      </c>
      <c r="O47" s="13">
        <f>N47*VLOOKUP('Données projet'!$B$9,Paramètres!$A$1:$I$89,3,0)*VLOOKUP('Données projet'!$B$9,Paramètres!$A$1:$I$89,5,0)</f>
        <v>127.57333333333332</v>
      </c>
      <c r="P47" s="13">
        <f t="shared" si="33"/>
        <v>33.435014461818334</v>
      </c>
      <c r="Q47" s="20">
        <f t="shared" si="53"/>
        <v>280.42287240988907</v>
      </c>
      <c r="R47" s="59">
        <f t="shared" si="0"/>
        <v>573.75620574322238</v>
      </c>
      <c r="S47" s="59">
        <f ca="1">AVERAGE(OFFSET($R$3,0,0,'Données projet'!$E$9+1,1))-AVERAGE(OFFSET($H$3,0,0,'Données projet'!$E$9+1,1))</f>
        <v>145.19188637714888</v>
      </c>
      <c r="T47" s="59">
        <f t="shared" si="34"/>
        <v>169.74069292032493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1.6766088820437905</v>
      </c>
      <c r="AA47" s="21">
        <f>EXP(-LN(2)/25)*AA46+(1-EXP(-LN(2)/25))/(LN(2)/25)*Calculateur!V47*Calculateur!X47*VLOOKUP('Données projet'!$B$9,Paramètres!$A$1:$I$89,3,0)*0.475*44/12</f>
        <v>5.8711048846212694</v>
      </c>
      <c r="AB47" s="21">
        <f>EXP(-LN(2)/2)*AB46+(1-EXP(-LN(2)/2))/(LN(2)/2)*V47*Y47*VLOOKUP('Données projet'!$B$9,Paramètres!$A$1:$I$89,3,0)*0.475*44/12</f>
        <v>3.1605645395913595E-2</v>
      </c>
      <c r="AC47" s="22">
        <f t="shared" si="3"/>
        <v>7.5793194120609737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190.79999999999998</v>
      </c>
      <c r="AJ47" s="13">
        <f>AI47*VLOOKUP('Données projet'!$B$10,Paramètres!$A$1:$I$89,3,0)*VLOOKUP('Données projet'!$B$10,Paramètres!$A$1:$I$89,5,0)</f>
        <v>166.68288000000001</v>
      </c>
      <c r="AK47" s="13">
        <f t="shared" si="35"/>
        <v>42.346249176975</v>
      </c>
      <c r="AL47" s="20">
        <f t="shared" si="4"/>
        <v>364.05906664989811</v>
      </c>
      <c r="AM47" s="59">
        <f t="shared" si="5"/>
        <v>657.39239998323137</v>
      </c>
      <c r="AN47" s="59">
        <f ca="1">AVERAGE(OFFSET($AM$3,0,0,'Données projet'!$E$10+1,1))-AVERAGE(OFFSET($H$3,0,0,'Données projet'!$E$10+1,1))</f>
        <v>254.24072778190163</v>
      </c>
      <c r="AO47" s="59">
        <f t="shared" si="36"/>
        <v>356.78706780980383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2.328884298213787</v>
      </c>
      <c r="AV47" s="21">
        <f>EXP(-LN(2)/25)*AV46+(1-EXP(-LN(2)/25))/(LN(2)/25)*Calculateur!AQ47*Calculateur!AS47*VLOOKUP('Données projet'!$B$10,Paramètres!$A$1:$I$89,3,0)*0.475*44/12</f>
        <v>12.000796401778144</v>
      </c>
      <c r="AW47" s="21">
        <f>EXP(-LN(2)/2)*AW46+(1-EXP(-LN(2)/2))/(LN(2)/2)*AQ47*AT47*VLOOKUP('Données projet'!$B$10,Paramètres!$A$1:$I$89,3,0)*0.475*44/12</f>
        <v>0.21695317819659934</v>
      </c>
      <c r="AX47" s="21">
        <f t="shared" si="6"/>
        <v>14.54663387818853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12.8</v>
      </c>
      <c r="BD47" s="12">
        <f>IF('Données projet'!$A$88&gt;35,BD46+BC47-BL46,IF(A47&lt;'Données projet'!$A$88,$BA$205^A47,IF(A47='Données projet'!$A$88,'Données projet'!$B$88,BD46+BC47-BL46)))</f>
        <v>266.19999999999993</v>
      </c>
      <c r="BE47" s="13">
        <f>BD47*VLOOKUP('Données projet'!$B$11,Paramètres!$A$1:$I$89,3,0)*VLOOKUP('Données projet'!$B$11,Paramètres!$A$1:$I$89,5,0)</f>
        <v>159.18759999999997</v>
      </c>
      <c r="BF47" s="13">
        <f t="shared" si="37"/>
        <v>40.659222067351315</v>
      </c>
      <c r="BG47" s="20">
        <f t="shared" si="7"/>
        <v>348.06654843397018</v>
      </c>
      <c r="BH47" s="59">
        <f t="shared" si="8"/>
        <v>641.39988176730344</v>
      </c>
      <c r="BI47" s="59">
        <f ca="1">AVERAGE(OFFSET($BH$3,0,0,'Données projet'!$E$11+1,1))-AVERAGE(OFFSET($H$3,0,0,'Données projet'!$E$11+1,1))</f>
        <v>246.59447135626942</v>
      </c>
      <c r="BJ47" s="59">
        <f t="shared" si="38"/>
        <v>262.00382544285367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8.7156832694778448</v>
      </c>
      <c r="BR47" s="21">
        <f>EXP(-LN(2)/2)*BR46+(1-EXP(-LN(2)/2))/(LN(2)/2)*BL47*BO47*VLOOKUP('Données projet'!$B$11,Paramètres!$A$1:$I$89,3,0)*0.475*44/12</f>
        <v>0.18538562401421071</v>
      </c>
      <c r="BS47" s="22">
        <f t="shared" si="9"/>
        <v>8.9010688934920559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4.2</v>
      </c>
      <c r="BY47" s="12">
        <f>IF('Données projet'!$A$114&gt;35,BY46+BX47-CG46,IF(A47&lt;'Données projet'!$A$114,$BV$205^A47,IF(A47='Données projet'!$A$114,'Données projet'!$B$114,BY46+BX47-CG46)))</f>
        <v>95.800000000000026</v>
      </c>
      <c r="BZ47" s="13">
        <f>BY47*VLOOKUP('Données projet'!$B$12,Paramètres!$A$1:$I$89,3,0)*VLOOKUP('Données projet'!$B$12,Paramètres!$A$1:$I$89,5,0)</f>
        <v>86.679840000000027</v>
      </c>
      <c r="CA47" s="13">
        <f t="shared" si="39"/>
        <v>23.762739053789723</v>
      </c>
      <c r="CB47" s="20">
        <f t="shared" si="10"/>
        <v>192.35415851868379</v>
      </c>
      <c r="CC47" s="59">
        <f t="shared" si="11"/>
        <v>485.6874918520171</v>
      </c>
      <c r="CD47" s="59">
        <f ca="1">AVERAGE(OFFSET($CC$3,0,0,'Données projet'!$E$12+1,1))-AVERAGE(OFFSET($H$3,0,0,'Données projet'!$E$12+1,1))</f>
        <v>169.62156467157178</v>
      </c>
      <c r="CE47" s="59">
        <f t="shared" si="40"/>
        <v>85.631326020763254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7.7</v>
      </c>
      <c r="CT47" s="12">
        <f>IF('Données projet'!$A$140&gt;35,CT46+CS47-DB46,IF(A47&lt;'Données projet'!$A$140,$CQ$205^A47,IF(A47='Données projet'!$A$140,'Données projet'!$B$140,CT46+CS47-DB46)))</f>
        <v>194.79999999999981</v>
      </c>
      <c r="CU47" s="17">
        <f>CT47*VLOOKUP('Données projet'!$B$13,Paramètres!$A$1:$I$89,3,0)*VLOOKUP('Données projet'!$B$13,Paramètres!$A$1:$I$89,5,0)</f>
        <v>158.02175999999986</v>
      </c>
      <c r="CV47" s="13">
        <f t="shared" si="41"/>
        <v>40.395995288758058</v>
      </c>
      <c r="CW47" s="20">
        <f t="shared" si="13"/>
        <v>345.57759046125335</v>
      </c>
      <c r="CX47" s="59">
        <f t="shared" si="14"/>
        <v>638.91092379458667</v>
      </c>
      <c r="CY47" s="59">
        <f ca="1">AVERAGE(OFFSET($CX$3,0,0,'Données projet'!$E$13+1,1))-AVERAGE(OFFSET($H$3,0,0,'Données projet'!$E$13+1,1))</f>
        <v>234.59657655504111</v>
      </c>
      <c r="CZ47" s="59">
        <f t="shared" si="42"/>
        <v>285.10598666479211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5.7698935116483021</v>
      </c>
      <c r="DH47" s="21">
        <f>EXP(-LN(2)/2)*DH46+(1-EXP(-LN(2)/2))/(LN(2)/2)*DB47*DE47*VLOOKUP('Données projet'!$B$13,Paramètres!$A$1:$I$89,3,0)*0.475*44/12</f>
        <v>8.5723197985210053E-2</v>
      </c>
      <c r="DI47" s="22">
        <f t="shared" si="15"/>
        <v>5.8556167096335123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4.2</v>
      </c>
      <c r="DO47" s="12">
        <f>IF('Données projet'!$A$166&gt;35,DO46+DN47-DW46,IF(A47&lt;'Données projet'!$A$166,$DL$205^A47,IF(A47='Données projet'!$A$166,'Données projet'!$B$166,DO46+DN47-DW46)))</f>
        <v>95.800000000000026</v>
      </c>
      <c r="DP47" s="17">
        <f>DO47*VLOOKUP('Données projet'!$B$14,Paramètres!$A$1:$I$89,3,0)*VLOOKUP('Données projet'!$B$14,Paramètres!$A$1:$I$89,5,0)</f>
        <v>92.657760000000025</v>
      </c>
      <c r="DQ47" s="13">
        <f t="shared" si="43"/>
        <v>25.205122972074633</v>
      </c>
      <c r="DR47" s="20">
        <f t="shared" si="16"/>
        <v>205.27785450969668</v>
      </c>
      <c r="DS47" s="59">
        <f t="shared" si="17"/>
        <v>498.61118784303</v>
      </c>
      <c r="DT47" s="59">
        <f ca="1">AVERAGE(OFFSET($DS$3,0,0,'Données projet'!$E$14+1,1))-AVERAGE(OFFSET($H$3,0,0,'Données projet'!$E$14+1,1))</f>
        <v>186.90852124957956</v>
      </c>
      <c r="DU47" s="59">
        <f t="shared" si="44"/>
        <v>93.013797128776446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4.2</v>
      </c>
      <c r="EJ47" s="12">
        <f>IF('Données projet'!$A$192&gt;35,EJ46+EI47-ER46,IF(A47&lt;'Données projet'!$A$192,$EG$205^A47,IF(A47='Données projet'!$A$192,'Données projet'!$B$192,EJ46+EI47-ER46)))</f>
        <v>95.800000000000026</v>
      </c>
      <c r="EK47" s="17">
        <f>EJ47*VLOOKUP('Données projet'!$B$15,Paramètres!$A$1:$I$89,3,0)*VLOOKUP('Données projet'!$B$15,Paramètres!$A$1:$I$89,5,0)</f>
        <v>103.11912000000004</v>
      </c>
      <c r="EL47" s="13">
        <f t="shared" si="45"/>
        <v>27.703751333753903</v>
      </c>
      <c r="EM47" s="20">
        <f t="shared" si="19"/>
        <v>227.8498342396214</v>
      </c>
      <c r="EN47" s="59">
        <f t="shared" si="20"/>
        <v>521.18316757295474</v>
      </c>
      <c r="EO47" s="59">
        <f ca="1">AVERAGE(OFFSET($EN$3,0,0,'Données projet'!$E$15+1,1))-AVERAGE(OFFSET($H$3,0,0,'Données projet'!$E$15+1,1))</f>
        <v>217.10418688911096</v>
      </c>
      <c r="EP47" s="59">
        <f t="shared" si="46"/>
        <v>105.90631421515786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7.333333333333333</v>
      </c>
      <c r="N48" s="13">
        <f>IF('Données projet'!$A$36&gt;35,N47+M48-V47,IF(A48&lt;'Données projet'!$A$36,$K$205^A48,IF(A48='Données projet'!$A$36,'Données projet'!$B$36,N47+M48-V47)))</f>
        <v>220.66666666666666</v>
      </c>
      <c r="O48" s="13">
        <f>N48*VLOOKUP('Données projet'!$B$9,Paramètres!$A$1:$I$89,3,0)*VLOOKUP('Données projet'!$B$9,Paramètres!$A$1:$I$89,5,0)</f>
        <v>131.95866666666666</v>
      </c>
      <c r="P48" s="13">
        <f t="shared" si="33"/>
        <v>34.448555031300216</v>
      </c>
      <c r="Q48" s="20">
        <f t="shared" si="53"/>
        <v>289.82591112395897</v>
      </c>
      <c r="R48" s="59">
        <f t="shared" si="0"/>
        <v>583.15924445729229</v>
      </c>
      <c r="S48" s="59">
        <f ca="1">AVERAGE(OFFSET($R$3,0,0,'Données projet'!$E$9+1,1))-AVERAGE(OFFSET($H$3,0,0,'Données projet'!$E$9+1,1))</f>
        <v>145.19188637714888</v>
      </c>
      <c r="T48" s="59">
        <f t="shared" si="34"/>
        <v>169.74069292032493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1.6437316044973536</v>
      </c>
      <c r="AA48" s="21">
        <f>EXP(-LN(2)/25)*AA47+(1-EXP(-LN(2)/25))/(LN(2)/25)*Calculateur!V48*Calculateur!X48*VLOOKUP('Données projet'!$B$9,Paramètres!$A$1:$I$89,3,0)*0.475*44/12</f>
        <v>5.7105592128033136</v>
      </c>
      <c r="AB48" s="21">
        <f>EXP(-LN(2)/2)*AB47+(1-EXP(-LN(2)/2))/(LN(2)/2)*V48*Y48*VLOOKUP('Données projet'!$B$9,Paramètres!$A$1:$I$89,3,0)*0.475*44/12</f>
        <v>2.2348566183227888E-2</v>
      </c>
      <c r="AC48" s="22">
        <f t="shared" si="3"/>
        <v>7.3766393834838944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198.99999999999997</v>
      </c>
      <c r="AJ48" s="13">
        <f>AI48*VLOOKUP('Données projet'!$B$10,Paramètres!$A$1:$I$89,3,0)*VLOOKUP('Données projet'!$B$10,Paramètres!$A$1:$I$89,5,0)</f>
        <v>173.84639999999999</v>
      </c>
      <c r="AK48" s="13">
        <f t="shared" si="35"/>
        <v>43.950364270382295</v>
      </c>
      <c r="AL48" s="20">
        <f t="shared" si="4"/>
        <v>379.32936443758246</v>
      </c>
      <c r="AM48" s="59">
        <f t="shared" si="5"/>
        <v>672.66269777091577</v>
      </c>
      <c r="AN48" s="59">
        <f ca="1">AVERAGE(OFFSET($AM$3,0,0,'Données projet'!$E$10+1,1))-AVERAGE(OFFSET($H$3,0,0,'Données projet'!$E$10+1,1))</f>
        <v>254.24072778190163</v>
      </c>
      <c r="AO48" s="59">
        <f t="shared" si="36"/>
        <v>356.78706780980383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2.2832162976049757</v>
      </c>
      <c r="AV48" s="21">
        <f>EXP(-LN(2)/25)*AV47+(1-EXP(-LN(2)/25))/(LN(2)/25)*Calculateur!AQ48*Calculateur!AS48*VLOOKUP('Données projet'!$B$10,Paramètres!$A$1:$I$89,3,0)*0.475*44/12</f>
        <v>11.672633993077067</v>
      </c>
      <c r="AW48" s="21">
        <f>EXP(-LN(2)/2)*AW47+(1-EXP(-LN(2)/2))/(LN(2)/2)*AQ48*AT48*VLOOKUP('Données projet'!$B$10,Paramètres!$A$1:$I$89,3,0)*0.475*44/12</f>
        <v>0.15340906350278882</v>
      </c>
      <c r="AX48" s="21">
        <f t="shared" si="6"/>
        <v>14.109259354184832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12.8</v>
      </c>
      <c r="BD48" s="12">
        <f>IF('Données projet'!$A$88&gt;35,BD47+BC48-BL47,IF(A48&lt;'Données projet'!$A$88,$BA$205^A48,IF(A48='Données projet'!$A$88,'Données projet'!$B$88,BD47+BC48-BL47)))</f>
        <v>278.99999999999994</v>
      </c>
      <c r="BE48" s="13">
        <f>BD48*VLOOKUP('Données projet'!$B$11,Paramètres!$A$1:$I$89,3,0)*VLOOKUP('Données projet'!$B$11,Paramètres!$A$1:$I$89,5,0)</f>
        <v>166.84199999999998</v>
      </c>
      <c r="BF48" s="13">
        <f t="shared" si="37"/>
        <v>42.381966615760334</v>
      </c>
      <c r="BG48" s="20">
        <f t="shared" si="7"/>
        <v>364.39840852244924</v>
      </c>
      <c r="BH48" s="59">
        <f t="shared" si="8"/>
        <v>657.7317418557825</v>
      </c>
      <c r="BI48" s="59">
        <f ca="1">AVERAGE(OFFSET($BH$3,0,0,'Données projet'!$E$11+1,1))-AVERAGE(OFFSET($H$3,0,0,'Données projet'!$E$11+1,1))</f>
        <v>246.59447135626942</v>
      </c>
      <c r="BJ48" s="59">
        <f t="shared" si="38"/>
        <v>262.00382544285367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8.4773524521361097</v>
      </c>
      <c r="BR48" s="21">
        <f>EXP(-LN(2)/2)*BR47+(1-EXP(-LN(2)/2))/(LN(2)/2)*BL48*BO48*VLOOKUP('Données projet'!$B$11,Paramètres!$A$1:$I$89,3,0)*0.475*44/12</f>
        <v>0.13108743187494806</v>
      </c>
      <c r="BS48" s="22">
        <f t="shared" si="9"/>
        <v>8.608439884011057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4.2</v>
      </c>
      <c r="BY48" s="12">
        <f>IF('Données projet'!$A$114&gt;35,BY47+BX48-CG47,IF(A48&lt;'Données projet'!$A$114,$BV$205^A48,IF(A48='Données projet'!$A$114,'Données projet'!$B$114,BY47+BX48-CG47)))</f>
        <v>100.00000000000003</v>
      </c>
      <c r="BZ48" s="13">
        <f>BY48*VLOOKUP('Données projet'!$B$12,Paramètres!$A$1:$I$89,3,0)*VLOOKUP('Données projet'!$B$12,Paramètres!$A$1:$I$89,5,0)</f>
        <v>90.480000000000018</v>
      </c>
      <c r="CA48" s="13">
        <f t="shared" si="39"/>
        <v>24.680953573367994</v>
      </c>
      <c r="CB48" s="20">
        <f t="shared" si="10"/>
        <v>200.57199414028261</v>
      </c>
      <c r="CC48" s="59">
        <f t="shared" si="11"/>
        <v>493.9053274736159</v>
      </c>
      <c r="CD48" s="59">
        <f ca="1">AVERAGE(OFFSET($CC$3,0,0,'Données projet'!$E$12+1,1))-AVERAGE(OFFSET($H$3,0,0,'Données projet'!$E$12+1,1))</f>
        <v>169.62156467157178</v>
      </c>
      <c r="CE48" s="59">
        <f t="shared" si="40"/>
        <v>85.631326020763254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7.7</v>
      </c>
      <c r="CT48" s="12">
        <f>IF('Données projet'!$A$140&gt;35,CT47+CS48-DB47,IF(A48&lt;'Données projet'!$A$140,$CQ$205^A48,IF(A48='Données projet'!$A$140,'Données projet'!$B$140,CT47+CS48-DB47)))</f>
        <v>202.4999999999998</v>
      </c>
      <c r="CU48" s="17">
        <f>CT48*VLOOKUP('Données projet'!$B$13,Paramètres!$A$1:$I$89,3,0)*VLOOKUP('Données projet'!$B$13,Paramètres!$A$1:$I$89,5,0)</f>
        <v>164.26799999999986</v>
      </c>
      <c r="CV48" s="13">
        <f t="shared" si="41"/>
        <v>41.803694835525619</v>
      </c>
      <c r="CW48" s="20">
        <f t="shared" si="13"/>
        <v>358.90820183854021</v>
      </c>
      <c r="CX48" s="59">
        <f t="shared" si="14"/>
        <v>652.24153517187347</v>
      </c>
      <c r="CY48" s="59">
        <f ca="1">AVERAGE(OFFSET($CX$3,0,0,'Données projet'!$E$13+1,1))-AVERAGE(OFFSET($H$3,0,0,'Données projet'!$E$13+1,1))</f>
        <v>234.59657655504111</v>
      </c>
      <c r="CZ48" s="59">
        <f t="shared" si="42"/>
        <v>285.10598666479211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5.612115470146767</v>
      </c>
      <c r="DH48" s="21">
        <f>EXP(-LN(2)/2)*DH47+(1-EXP(-LN(2)/2))/(LN(2)/2)*DB48*DE48*VLOOKUP('Données projet'!$B$13,Paramètres!$A$1:$I$89,3,0)*0.475*44/12</f>
        <v>6.0615454600339021E-2</v>
      </c>
      <c r="DI48" s="22">
        <f t="shared" si="15"/>
        <v>5.6727309247471061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4.2</v>
      </c>
      <c r="DO48" s="12">
        <f>IF('Données projet'!$A$166&gt;35,DO47+DN48-DW47,IF(A48&lt;'Données projet'!$A$166,$DL$205^A48,IF(A48='Données projet'!$A$166,'Données projet'!$B$166,DO47+DN48-DW47)))</f>
        <v>100.00000000000003</v>
      </c>
      <c r="DP48" s="17">
        <f>DO48*VLOOKUP('Données projet'!$B$14,Paramètres!$A$1:$I$89,3,0)*VLOOKUP('Données projet'!$B$14,Paramètres!$A$1:$I$89,5,0)</f>
        <v>96.720000000000027</v>
      </c>
      <c r="DQ48" s="13">
        <f t="shared" si="43"/>
        <v>26.179072558792161</v>
      </c>
      <c r="DR48" s="20">
        <f t="shared" si="16"/>
        <v>214.04921803989637</v>
      </c>
      <c r="DS48" s="59">
        <f t="shared" si="17"/>
        <v>507.38255137322972</v>
      </c>
      <c r="DT48" s="59">
        <f ca="1">AVERAGE(OFFSET($DS$3,0,0,'Données projet'!$E$14+1,1))-AVERAGE(OFFSET($H$3,0,0,'Données projet'!$E$14+1,1))</f>
        <v>186.90852124957956</v>
      </c>
      <c r="DU48" s="59">
        <f t="shared" si="44"/>
        <v>93.013797128776446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4.2</v>
      </c>
      <c r="EJ48" s="12">
        <f>IF('Données projet'!$A$192&gt;35,EJ47+EI48-ER47,IF(A48&lt;'Données projet'!$A$192,$EG$205^A48,IF(A48='Données projet'!$A$192,'Données projet'!$B$192,EJ47+EI48-ER47)))</f>
        <v>100.00000000000003</v>
      </c>
      <c r="EK48" s="17">
        <f>EJ48*VLOOKUP('Données projet'!$B$15,Paramètres!$A$1:$I$89,3,0)*VLOOKUP('Données projet'!$B$15,Paramètres!$A$1:$I$89,5,0)</f>
        <v>107.64000000000003</v>
      </c>
      <c r="EL48" s="13">
        <f t="shared" si="45"/>
        <v>28.774250263353583</v>
      </c>
      <c r="EM48" s="20">
        <f t="shared" si="19"/>
        <v>237.58815254200752</v>
      </c>
      <c r="EN48" s="59">
        <f t="shared" si="20"/>
        <v>530.92148587534086</v>
      </c>
      <c r="EO48" s="59">
        <f ca="1">AVERAGE(OFFSET($EN$3,0,0,'Données projet'!$E$15+1,1))-AVERAGE(OFFSET($H$3,0,0,'Données projet'!$E$15+1,1))</f>
        <v>217.10418688911096</v>
      </c>
      <c r="EP48" s="59">
        <f t="shared" si="46"/>
        <v>105.90631421515786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228</v>
      </c>
      <c r="L49" s="12">
        <f>VLOOKUP(A49,'Données projet'!$A$35:$I$55,9,0)</f>
        <v>7.333333333333333</v>
      </c>
      <c r="M49" s="12">
        <f t="array" ref="M49">INDEX(L:L,MIN(IF(ISNUMBER(L49:L245),ROW(L49:L245),"")))</f>
        <v>7.333333333333333</v>
      </c>
      <c r="N49" s="13">
        <f>IF('Données projet'!$A$36&gt;35,N48+M49-V48,IF(A49&lt;'Données projet'!$A$36,$K$205^A49,IF(A49='Données projet'!$A$36,'Données projet'!$B$36,N48+M49-V48)))</f>
        <v>228</v>
      </c>
      <c r="O49" s="13">
        <f>N49*VLOOKUP('Données projet'!$B$9,Paramètres!$A$1:$I$89,3,0)*VLOOKUP('Données projet'!$B$9,Paramètres!$A$1:$I$89,5,0)</f>
        <v>136.34400000000002</v>
      </c>
      <c r="P49" s="13">
        <f t="shared" si="33"/>
        <v>35.458181756405082</v>
      </c>
      <c r="Q49" s="20">
        <f t="shared" si="53"/>
        <v>299.2221332257389</v>
      </c>
      <c r="R49" s="59">
        <f t="shared" si="0"/>
        <v>592.55546655907222</v>
      </c>
      <c r="S49" s="59">
        <f ca="1">AVERAGE(OFFSET($R$3,0,0,'Données projet'!$E$9+1,1))-AVERAGE(OFFSET($H$3,0,0,'Données projet'!$E$9+1,1))</f>
        <v>145.19188637714888</v>
      </c>
      <c r="T49" s="59">
        <f t="shared" si="34"/>
        <v>169.74069292032493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1.6114990303104428</v>
      </c>
      <c r="AA49" s="21">
        <f>EXP(-LN(2)/25)*AA48+(1-EXP(-LN(2)/25))/(LN(2)/25)*Calculateur!V49*Calculateur!X49*VLOOKUP('Données projet'!$B$9,Paramètres!$A$1:$I$89,3,0)*0.475*44/12</f>
        <v>5.5544036708239499</v>
      </c>
      <c r="AB49" s="21">
        <f>EXP(-LN(2)/2)*AB48+(1-EXP(-LN(2)/2))/(LN(2)/2)*V49*Y49*VLOOKUP('Données projet'!$B$9,Paramètres!$A$1:$I$89,3,0)*0.475*44/12</f>
        <v>1.5802822697956798E-2</v>
      </c>
      <c r="AC49" s="22">
        <f t="shared" si="3"/>
        <v>7.1817055238323491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207.19999999999996</v>
      </c>
      <c r="AJ49" s="13">
        <f>AI49*VLOOKUP('Données projet'!$B$10,Paramètres!$A$1:$I$89,3,0)*VLOOKUP('Données projet'!$B$10,Paramètres!$A$1:$I$89,5,0)</f>
        <v>181.00991999999997</v>
      </c>
      <c r="AK49" s="13">
        <f t="shared" si="35"/>
        <v>45.546801542636274</v>
      </c>
      <c r="AL49" s="20">
        <f t="shared" si="4"/>
        <v>394.58629002009144</v>
      </c>
      <c r="AM49" s="59">
        <f t="shared" si="5"/>
        <v>687.91962335342475</v>
      </c>
      <c r="AN49" s="59">
        <f ca="1">AVERAGE(OFFSET($AM$3,0,0,'Données projet'!$E$10+1,1))-AVERAGE(OFFSET($H$3,0,0,'Données projet'!$E$10+1,1))</f>
        <v>254.24072778190163</v>
      </c>
      <c r="AO49" s="59">
        <f t="shared" si="36"/>
        <v>356.78706780980383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2.2384438186333733</v>
      </c>
      <c r="AV49" s="21">
        <f>EXP(-LN(2)/25)*AV48+(1-EXP(-LN(2)/25))/(LN(2)/25)*Calculateur!AQ49*Calculateur!AS49*VLOOKUP('Données projet'!$B$10,Paramètres!$A$1:$I$89,3,0)*0.475*44/12</f>
        <v>11.353445202699231</v>
      </c>
      <c r="AW49" s="21">
        <f>EXP(-LN(2)/2)*AW48+(1-EXP(-LN(2)/2))/(LN(2)/2)*AQ49*AT49*VLOOKUP('Données projet'!$B$10,Paramètres!$A$1:$I$89,3,0)*0.475*44/12</f>
        <v>0.10847658909829967</v>
      </c>
      <c r="AX49" s="21">
        <f t="shared" si="6"/>
        <v>13.700365610430904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12.8</v>
      </c>
      <c r="BD49" s="12">
        <f>IF('Données projet'!$A$88&gt;35,BD48+BC49-BL48,IF(A49&lt;'Données projet'!$A$88,$BA$205^A49,IF(A49='Données projet'!$A$88,'Données projet'!$B$88,BD48+BC49-BL48)))</f>
        <v>291.79999999999995</v>
      </c>
      <c r="BE49" s="13">
        <f>BD49*VLOOKUP('Données projet'!$B$11,Paramètres!$A$1:$I$89,3,0)*VLOOKUP('Données projet'!$B$11,Paramètres!$A$1:$I$89,5,0)</f>
        <v>174.49639999999999</v>
      </c>
      <c r="BF49" s="13">
        <f t="shared" si="37"/>
        <v>44.095532458716939</v>
      </c>
      <c r="BG49" s="20">
        <f t="shared" si="7"/>
        <v>380.71428236559865</v>
      </c>
      <c r="BH49" s="59">
        <f t="shared" si="8"/>
        <v>674.04761569893196</v>
      </c>
      <c r="BI49" s="59">
        <f ca="1">AVERAGE(OFFSET($BH$3,0,0,'Données projet'!$E$11+1,1))-AVERAGE(OFFSET($H$3,0,0,'Données projet'!$E$11+1,1))</f>
        <v>246.59447135626942</v>
      </c>
      <c r="BJ49" s="59">
        <f t="shared" si="38"/>
        <v>262.00382544285367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8.2455388035278574</v>
      </c>
      <c r="BR49" s="21">
        <f>EXP(-LN(2)/2)*BR48+(1-EXP(-LN(2)/2))/(LN(2)/2)*BL49*BO49*VLOOKUP('Données projet'!$B$11,Paramètres!$A$1:$I$89,3,0)*0.475*44/12</f>
        <v>9.2692812007105357E-2</v>
      </c>
      <c r="BS49" s="22">
        <f t="shared" si="9"/>
        <v>8.3382316155349621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4.2</v>
      </c>
      <c r="BY49" s="12">
        <f>IF('Données projet'!$A$114&gt;35,BY48+BX49-CG48,IF(A49&lt;'Données projet'!$A$114,$BV$205^A49,IF(A49='Données projet'!$A$114,'Données projet'!$B$114,BY48+BX49-CG48)))</f>
        <v>104.20000000000003</v>
      </c>
      <c r="BZ49" s="13">
        <f>BY49*VLOOKUP('Données projet'!$B$12,Paramètres!$A$1:$I$89,3,0)*VLOOKUP('Données projet'!$B$12,Paramètres!$A$1:$I$89,5,0)</f>
        <v>94.280160000000024</v>
      </c>
      <c r="CA49" s="13">
        <f t="shared" si="39"/>
        <v>25.594688689992957</v>
      </c>
      <c r="CB49" s="20">
        <f t="shared" si="10"/>
        <v>208.78202813507107</v>
      </c>
      <c r="CC49" s="59">
        <f t="shared" si="11"/>
        <v>502.11536146840439</v>
      </c>
      <c r="CD49" s="59">
        <f ca="1">AVERAGE(OFFSET($CC$3,0,0,'Données projet'!$E$12+1,1))-AVERAGE(OFFSET($H$3,0,0,'Données projet'!$E$12+1,1))</f>
        <v>169.62156467157178</v>
      </c>
      <c r="CE49" s="59">
        <f t="shared" si="40"/>
        <v>85.631326020763254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7.7</v>
      </c>
      <c r="CT49" s="12">
        <f>IF('Données projet'!$A$140&gt;35,CT48+CS49-DB48,IF(A49&lt;'Données projet'!$A$140,$CQ$205^A49,IF(A49='Données projet'!$A$140,'Données projet'!$B$140,CT48+CS49-DB48)))</f>
        <v>210.19999999999979</v>
      </c>
      <c r="CU49" s="17">
        <f>CT49*VLOOKUP('Données projet'!$B$13,Paramètres!$A$1:$I$89,3,0)*VLOOKUP('Données projet'!$B$13,Paramètres!$A$1:$I$89,5,0)</f>
        <v>170.51423999999983</v>
      </c>
      <c r="CV49" s="13">
        <f t="shared" si="41"/>
        <v>43.20517598524669</v>
      </c>
      <c r="CW49" s="20">
        <f t="shared" si="13"/>
        <v>372.22798284097098</v>
      </c>
      <c r="CX49" s="59">
        <f t="shared" si="14"/>
        <v>665.56131617430424</v>
      </c>
      <c r="CY49" s="59">
        <f ca="1">AVERAGE(OFFSET($CX$3,0,0,'Données projet'!$E$13+1,1))-AVERAGE(OFFSET($H$3,0,0,'Données projet'!$E$13+1,1))</f>
        <v>234.59657655504111</v>
      </c>
      <c r="CZ49" s="59">
        <f t="shared" si="42"/>
        <v>285.10598666479211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5.4586518774872781</v>
      </c>
      <c r="DH49" s="21">
        <f>EXP(-LN(2)/2)*DH48+(1-EXP(-LN(2)/2))/(LN(2)/2)*DB49*DE49*VLOOKUP('Données projet'!$B$13,Paramètres!$A$1:$I$89,3,0)*0.475*44/12</f>
        <v>4.2861598992605034E-2</v>
      </c>
      <c r="DI49" s="22">
        <f t="shared" si="15"/>
        <v>5.5015134764798832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4.2</v>
      </c>
      <c r="DO49" s="12">
        <f>IF('Données projet'!$A$166&gt;35,DO48+DN49-DW48,IF(A49&lt;'Données projet'!$A$166,$DL$205^A49,IF(A49='Données projet'!$A$166,'Données projet'!$B$166,DO48+DN49-DW48)))</f>
        <v>104.20000000000003</v>
      </c>
      <c r="DP49" s="17">
        <f>DO49*VLOOKUP('Données projet'!$B$14,Paramètres!$A$1:$I$89,3,0)*VLOOKUP('Données projet'!$B$14,Paramètres!$A$1:$I$89,5,0)</f>
        <v>100.78224000000003</v>
      </c>
      <c r="DQ49" s="13">
        <f t="shared" si="43"/>
        <v>27.148270845500655</v>
      </c>
      <c r="DR49" s="20">
        <f t="shared" si="16"/>
        <v>222.81230638924703</v>
      </c>
      <c r="DS49" s="59">
        <f t="shared" si="17"/>
        <v>516.14563972258031</v>
      </c>
      <c r="DT49" s="59">
        <f ca="1">AVERAGE(OFFSET($DS$3,0,0,'Données projet'!$E$14+1,1))-AVERAGE(OFFSET($H$3,0,0,'Données projet'!$E$14+1,1))</f>
        <v>186.90852124957956</v>
      </c>
      <c r="DU49" s="59">
        <f t="shared" si="44"/>
        <v>93.013797128776446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4.2</v>
      </c>
      <c r="EJ49" s="12">
        <f>IF('Données projet'!$A$192&gt;35,EJ48+EI49-ER48,IF(A49&lt;'Données projet'!$A$192,$EG$205^A49,IF(A49='Données projet'!$A$192,'Données projet'!$B$192,EJ48+EI49-ER48)))</f>
        <v>104.20000000000003</v>
      </c>
      <c r="EK49" s="17">
        <f>EJ49*VLOOKUP('Données projet'!$B$15,Paramètres!$A$1:$I$89,3,0)*VLOOKUP('Données projet'!$B$15,Paramètres!$A$1:$I$89,5,0)</f>
        <v>112.16088000000002</v>
      </c>
      <c r="EL49" s="13">
        <f t="shared" si="45"/>
        <v>29.839526888181876</v>
      </c>
      <c r="EM49" s="20">
        <f t="shared" si="19"/>
        <v>247.31737533025012</v>
      </c>
      <c r="EN49" s="59">
        <f t="shared" si="20"/>
        <v>540.65070866358337</v>
      </c>
      <c r="EO49" s="59">
        <f ca="1">AVERAGE(OFFSET($EN$3,0,0,'Données projet'!$E$15+1,1))-AVERAGE(OFFSET($H$3,0,0,'Données projet'!$E$15+1,1))</f>
        <v>217.10418688911096</v>
      </c>
      <c r="EP49" s="59">
        <f t="shared" si="46"/>
        <v>105.90631421515786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5.125</v>
      </c>
      <c r="N50" s="13">
        <f>IF('Données projet'!$A$36&gt;35,N49+M50-V49,IF(A50&lt;'Données projet'!$A$36,$K$205^A50,IF(A50='Données projet'!$A$36,'Données projet'!$B$36,N49+M50-V49)))</f>
        <v>210.125</v>
      </c>
      <c r="O50" s="13">
        <f>N50*VLOOKUP('Données projet'!$B$9,Paramètres!$A$1:$I$89,3,0)*VLOOKUP('Données projet'!$B$9,Paramètres!$A$1:$I$89,5,0)</f>
        <v>125.65475000000001</v>
      </c>
      <c r="P50" s="13">
        <f t="shared" si="33"/>
        <v>32.990321670339604</v>
      </c>
      <c r="Q50" s="20">
        <f t="shared" si="53"/>
        <v>276.3068331591748</v>
      </c>
      <c r="R50" s="59">
        <f t="shared" si="0"/>
        <v>569.64016649250811</v>
      </c>
      <c r="S50" s="59">
        <f ca="1">AVERAGE(OFFSET($R$3,0,0,'Données projet'!$E$9+1,1))-AVERAGE(OFFSET($H$3,0,0,'Données projet'!$E$9+1,1))</f>
        <v>145.19188637714888</v>
      </c>
      <c r="T50" s="59">
        <f t="shared" si="34"/>
        <v>169.74069292032493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1.5798985172434086</v>
      </c>
      <c r="AA50" s="21">
        <f>EXP(-LN(2)/25)*AA49+(1-EXP(-LN(2)/25))/(LN(2)/25)*Calculateur!V50*Calculateur!X50*VLOOKUP('Données projet'!$B$9,Paramètres!$A$1:$I$89,3,0)*0.475*44/12</f>
        <v>5.4025182103518743</v>
      </c>
      <c r="AB50" s="21">
        <f>EXP(-LN(2)/2)*AB49+(1-EXP(-LN(2)/2))/(LN(2)/2)*V50*Y50*VLOOKUP('Données projet'!$B$9,Paramètres!$A$1:$I$89,3,0)*0.475*44/12</f>
        <v>1.1174283091613944E-2</v>
      </c>
      <c r="AC50" s="22">
        <f t="shared" si="3"/>
        <v>6.9935910106868961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215.39999999999995</v>
      </c>
      <c r="AJ50" s="13">
        <f>AI50*VLOOKUP('Données projet'!$B$10,Paramètres!$A$1:$I$89,3,0)*VLOOKUP('Données projet'!$B$10,Paramètres!$A$1:$I$89,5,0)</f>
        <v>188.17343999999997</v>
      </c>
      <c r="AK50" s="13">
        <f t="shared" si="35"/>
        <v>47.135899614073118</v>
      </c>
      <c r="AL50" s="20">
        <f t="shared" si="4"/>
        <v>409.83043316117727</v>
      </c>
      <c r="AM50" s="59">
        <f t="shared" si="5"/>
        <v>703.16376649451058</v>
      </c>
      <c r="AN50" s="59">
        <f ca="1">AVERAGE(OFFSET($AM$3,0,0,'Données projet'!$E$10+1,1))-AVERAGE(OFFSET($H$3,0,0,'Données projet'!$E$10+1,1))</f>
        <v>254.24072778190163</v>
      </c>
      <c r="AO50" s="59">
        <f t="shared" si="36"/>
        <v>356.78706780980383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2.1945493006658885</v>
      </c>
      <c r="AV50" s="21">
        <f>EXP(-LN(2)/25)*AV49+(1-EXP(-LN(2)/25))/(LN(2)/25)*Calculateur!AQ50*Calculateur!AS50*VLOOKUP('Données projet'!$B$10,Paramètres!$A$1:$I$89,3,0)*0.475*44/12</f>
        <v>11.042984646579686</v>
      </c>
      <c r="AW50" s="21">
        <f>EXP(-LN(2)/2)*AW49+(1-EXP(-LN(2)/2))/(LN(2)/2)*AQ50*AT50*VLOOKUP('Données projet'!$B$10,Paramètres!$A$1:$I$89,3,0)*0.475*44/12</f>
        <v>7.6704531751394411E-2</v>
      </c>
      <c r="AX50" s="21">
        <f t="shared" si="6"/>
        <v>13.31423847899697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12.8</v>
      </c>
      <c r="BD50" s="12">
        <f>IF('Données projet'!$A$88&gt;35,BD49+BC50-BL49,IF(A50&lt;'Données projet'!$A$88,$BA$205^A50,IF(A50='Données projet'!$A$88,'Données projet'!$B$88,BD49+BC50-BL49)))</f>
        <v>304.59999999999997</v>
      </c>
      <c r="BE50" s="13">
        <f>BD50*VLOOKUP('Données projet'!$B$11,Paramètres!$A$1:$I$89,3,0)*VLOOKUP('Données projet'!$B$11,Paramètres!$A$1:$I$89,5,0)</f>
        <v>182.15079999999998</v>
      </c>
      <c r="BF50" s="13">
        <f t="shared" si="37"/>
        <v>45.800368240506849</v>
      </c>
      <c r="BG50" s="20">
        <f t="shared" si="7"/>
        <v>397.01495135221603</v>
      </c>
      <c r="BH50" s="59">
        <f t="shared" si="8"/>
        <v>690.34828468554929</v>
      </c>
      <c r="BI50" s="59">
        <f ca="1">AVERAGE(OFFSET($BH$3,0,0,'Données projet'!$E$11+1,1))-AVERAGE(OFFSET($H$3,0,0,'Données projet'!$E$11+1,1))</f>
        <v>246.59447135626942</v>
      </c>
      <c r="BJ50" s="59">
        <f t="shared" si="38"/>
        <v>262.00382544285367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8.0200641113313473</v>
      </c>
      <c r="BR50" s="21">
        <f>EXP(-LN(2)/2)*BR49+(1-EXP(-LN(2)/2))/(LN(2)/2)*BL50*BO50*VLOOKUP('Données projet'!$B$11,Paramètres!$A$1:$I$89,3,0)*0.475*44/12</f>
        <v>6.5543715937474031E-2</v>
      </c>
      <c r="BS50" s="22">
        <f t="shared" si="9"/>
        <v>8.0856078272688219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4.2</v>
      </c>
      <c r="BY50" s="12">
        <f>IF('Données projet'!$A$114&gt;35,BY49+BX50-CG49,IF(A50&lt;'Données projet'!$A$114,$BV$205^A50,IF(A50='Données projet'!$A$114,'Données projet'!$B$114,BY49+BX50-CG49)))</f>
        <v>108.40000000000003</v>
      </c>
      <c r="BZ50" s="13">
        <f>BY50*VLOOKUP('Données projet'!$B$12,Paramètres!$A$1:$I$89,3,0)*VLOOKUP('Données projet'!$B$12,Paramètres!$A$1:$I$89,5,0)</f>
        <v>98.080320000000029</v>
      </c>
      <c r="CA50" s="13">
        <f t="shared" si="39"/>
        <v>26.504145610568084</v>
      </c>
      <c r="CB50" s="20">
        <f t="shared" si="10"/>
        <v>216.98461093840612</v>
      </c>
      <c r="CC50" s="59">
        <f t="shared" si="11"/>
        <v>510.31794427173941</v>
      </c>
      <c r="CD50" s="59">
        <f ca="1">AVERAGE(OFFSET($CC$3,0,0,'Données projet'!$E$12+1,1))-AVERAGE(OFFSET($H$3,0,0,'Données projet'!$E$12+1,1))</f>
        <v>169.62156467157178</v>
      </c>
      <c r="CE50" s="59">
        <f t="shared" si="40"/>
        <v>85.631326020763254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7.7</v>
      </c>
      <c r="CT50" s="12">
        <f>IF('Données projet'!$A$140&gt;35,CT49+CS50-DB49,IF(A50&lt;'Données projet'!$A$140,$CQ$205^A50,IF(A50='Données projet'!$A$140,'Données projet'!$B$140,CT49+CS50-DB49)))</f>
        <v>217.89999999999978</v>
      </c>
      <c r="CU50" s="17">
        <f>CT50*VLOOKUP('Données projet'!$B$13,Paramètres!$A$1:$I$89,3,0)*VLOOKUP('Données projet'!$B$13,Paramètres!$A$1:$I$89,5,0)</f>
        <v>176.76047999999983</v>
      </c>
      <c r="CV50" s="13">
        <f t="shared" si="41"/>
        <v>44.600692617848637</v>
      </c>
      <c r="CW50" s="20">
        <f t="shared" si="13"/>
        <v>385.53737564275275</v>
      </c>
      <c r="CX50" s="59">
        <f t="shared" si="14"/>
        <v>678.87070897608601</v>
      </c>
      <c r="CY50" s="59">
        <f ca="1">AVERAGE(OFFSET($CX$3,0,0,'Données projet'!$E$13+1,1))-AVERAGE(OFFSET($H$3,0,0,'Données projet'!$E$13+1,1))</f>
        <v>234.59657655504111</v>
      </c>
      <c r="CZ50" s="59">
        <f t="shared" si="42"/>
        <v>285.10598666479211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5.3093847548393622</v>
      </c>
      <c r="DH50" s="21">
        <f>EXP(-LN(2)/2)*DH49+(1-EXP(-LN(2)/2))/(LN(2)/2)*DB50*DE50*VLOOKUP('Données projet'!$B$13,Paramètres!$A$1:$I$89,3,0)*0.475*44/12</f>
        <v>3.0307727300169514E-2</v>
      </c>
      <c r="DI50" s="22">
        <f t="shared" si="15"/>
        <v>5.3396924821395322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4.2</v>
      </c>
      <c r="DO50" s="12">
        <f>IF('Données projet'!$A$166&gt;35,DO49+DN50-DW49,IF(A50&lt;'Données projet'!$A$166,$DL$205^A50,IF(A50='Données projet'!$A$166,'Données projet'!$B$166,DO49+DN50-DW49)))</f>
        <v>108.40000000000003</v>
      </c>
      <c r="DP50" s="17">
        <f>DO50*VLOOKUP('Données projet'!$B$14,Paramètres!$A$1:$I$89,3,0)*VLOOKUP('Données projet'!$B$14,Paramètres!$A$1:$I$89,5,0)</f>
        <v>104.84448000000005</v>
      </c>
      <c r="DQ50" s="13">
        <f t="shared" si="43"/>
        <v>28.112931252241342</v>
      </c>
      <c r="DR50" s="20">
        <f t="shared" si="16"/>
        <v>231.56749126432044</v>
      </c>
      <c r="DS50" s="59">
        <f t="shared" si="17"/>
        <v>524.90082459765381</v>
      </c>
      <c r="DT50" s="59">
        <f ca="1">AVERAGE(OFFSET($DS$3,0,0,'Données projet'!$E$14+1,1))-AVERAGE(OFFSET($H$3,0,0,'Données projet'!$E$14+1,1))</f>
        <v>186.90852124957956</v>
      </c>
      <c r="DU50" s="59">
        <f t="shared" si="44"/>
        <v>93.013797128776446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4.2</v>
      </c>
      <c r="EJ50" s="12">
        <f>IF('Données projet'!$A$192&gt;35,EJ49+EI50-ER49,IF(A50&lt;'Données projet'!$A$192,$EG$205^A50,IF(A50='Données projet'!$A$192,'Données projet'!$B$192,EJ49+EI50-ER49)))</f>
        <v>108.40000000000003</v>
      </c>
      <c r="EK50" s="17">
        <f>EJ50*VLOOKUP('Données projet'!$B$15,Paramètres!$A$1:$I$89,3,0)*VLOOKUP('Données projet'!$B$15,Paramètres!$A$1:$I$89,5,0)</f>
        <v>116.68176000000004</v>
      </c>
      <c r="EL50" s="13">
        <f t="shared" si="45"/>
        <v>30.89981578498552</v>
      </c>
      <c r="EM50" s="20">
        <f t="shared" si="19"/>
        <v>257.03791115884979</v>
      </c>
      <c r="EN50" s="59">
        <f t="shared" si="20"/>
        <v>550.37124449218311</v>
      </c>
      <c r="EO50" s="59">
        <f ca="1">AVERAGE(OFFSET($EN$3,0,0,'Données projet'!$E$15+1,1))-AVERAGE(OFFSET($H$3,0,0,'Données projet'!$E$15+1,1))</f>
        <v>217.10418688911096</v>
      </c>
      <c r="EP50" s="59">
        <f t="shared" si="46"/>
        <v>105.90631421515786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5.125</v>
      </c>
      <c r="N51" s="13">
        <f>IF('Données projet'!$A$36&gt;35,N50+M51-V50,IF(A51&lt;'Données projet'!$A$36,$K$205^A51,IF(A51='Données projet'!$A$36,'Données projet'!$B$36,N50+M51-V50)))</f>
        <v>215.25</v>
      </c>
      <c r="O51" s="13">
        <f>N51*VLOOKUP('Données projet'!$B$9,Paramètres!$A$1:$I$89,3,0)*VLOOKUP('Données projet'!$B$9,Paramètres!$A$1:$I$89,5,0)</f>
        <v>128.71950000000001</v>
      </c>
      <c r="P51" s="13">
        <f t="shared" si="33"/>
        <v>33.700303131200371</v>
      </c>
      <c r="Q51" s="20">
        <f t="shared" si="53"/>
        <v>282.88115712017401</v>
      </c>
      <c r="R51" s="59">
        <f t="shared" si="0"/>
        <v>576.21449045350732</v>
      </c>
      <c r="S51" s="59">
        <f ca="1">AVERAGE(OFFSET($R$3,0,0,'Données projet'!$E$9+1,1))-AVERAGE(OFFSET($H$3,0,0,'Données projet'!$E$9+1,1))</f>
        <v>145.19188637714888</v>
      </c>
      <c r="T51" s="59">
        <f t="shared" si="34"/>
        <v>169.74069292032493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1.5489176709632091</v>
      </c>
      <c r="AA51" s="21">
        <f>EXP(-LN(2)/25)*AA50+(1-EXP(-LN(2)/25))/(LN(2)/25)*Calculateur!V51*Calculateur!X51*VLOOKUP('Données projet'!$B$9,Paramètres!$A$1:$I$89,3,0)*0.475*44/12</f>
        <v>5.2547860657837173</v>
      </c>
      <c r="AB51" s="21">
        <f>EXP(-LN(2)/2)*AB50+(1-EXP(-LN(2)/2))/(LN(2)/2)*V51*Y51*VLOOKUP('Données projet'!$B$9,Paramètres!$A$1:$I$89,3,0)*0.475*44/12</f>
        <v>7.9014113489783988E-3</v>
      </c>
      <c r="AC51" s="22">
        <f t="shared" si="3"/>
        <v>6.8116051480959046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223.59999999999994</v>
      </c>
      <c r="AJ51" s="13">
        <f>AI51*VLOOKUP('Données projet'!$B$10,Paramètres!$A$1:$I$89,3,0)*VLOOKUP('Données projet'!$B$10,Paramètres!$A$1:$I$89,5,0)</f>
        <v>195.33695999999998</v>
      </c>
      <c r="AK51" s="13">
        <f t="shared" si="35"/>
        <v>48.717969863105445</v>
      </c>
      <c r="AL51" s="20">
        <f t="shared" si="4"/>
        <v>425.06233617824199</v>
      </c>
      <c r="AM51" s="59">
        <f t="shared" si="5"/>
        <v>718.39566951157531</v>
      </c>
      <c r="AN51" s="59">
        <f ca="1">AVERAGE(OFFSET($AM$3,0,0,'Données projet'!$E$10+1,1))-AVERAGE(OFFSET($H$3,0,0,'Données projet'!$E$10+1,1))</f>
        <v>254.24072778190163</v>
      </c>
      <c r="AO51" s="59">
        <f t="shared" si="36"/>
        <v>356.78706780980383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2.1515155274227338</v>
      </c>
      <c r="AV51" s="21">
        <f>EXP(-LN(2)/25)*AV50+(1-EXP(-LN(2)/25))/(LN(2)/25)*Calculateur!AQ51*Calculateur!AS51*VLOOKUP('Données projet'!$B$10,Paramètres!$A$1:$I$89,3,0)*0.475*44/12</f>
        <v>10.741013650693642</v>
      </c>
      <c r="AW51" s="21">
        <f>EXP(-LN(2)/2)*AW50+(1-EXP(-LN(2)/2))/(LN(2)/2)*AQ51*AT51*VLOOKUP('Données projet'!$B$10,Paramètres!$A$1:$I$89,3,0)*0.475*44/12</f>
        <v>5.4238294549149836E-2</v>
      </c>
      <c r="AX51" s="21">
        <f t="shared" si="6"/>
        <v>12.946767472665526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12.8</v>
      </c>
      <c r="BD51" s="12">
        <f>IF('Données projet'!$A$88&gt;35,BD50+BC51-BL50,IF(A51&lt;'Données projet'!$A$88,$BA$205^A51,IF(A51='Données projet'!$A$88,'Données projet'!$B$88,BD50+BC51-BL50)))</f>
        <v>317.39999999999998</v>
      </c>
      <c r="BE51" s="13">
        <f>BD51*VLOOKUP('Données projet'!$B$11,Paramètres!$A$1:$I$89,3,0)*VLOOKUP('Données projet'!$B$11,Paramètres!$A$1:$I$89,5,0)</f>
        <v>189.80519999999999</v>
      </c>
      <c r="BF51" s="13">
        <f t="shared" si="37"/>
        <v>47.496882766206909</v>
      </c>
      <c r="BG51" s="20">
        <f t="shared" si="7"/>
        <v>413.30112748447704</v>
      </c>
      <c r="BH51" s="59">
        <f t="shared" si="8"/>
        <v>706.63446081781035</v>
      </c>
      <c r="BI51" s="59">
        <f ca="1">AVERAGE(OFFSET($BH$3,0,0,'Données projet'!$E$11+1,1))-AVERAGE(OFFSET($H$3,0,0,'Données projet'!$E$11+1,1))</f>
        <v>246.59447135626942</v>
      </c>
      <c r="BJ51" s="59">
        <f t="shared" si="38"/>
        <v>262.00382544285367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7.8007550364501501</v>
      </c>
      <c r="BR51" s="21">
        <f>EXP(-LN(2)/2)*BR50+(1-EXP(-LN(2)/2))/(LN(2)/2)*BL51*BO51*VLOOKUP('Données projet'!$B$11,Paramètres!$A$1:$I$89,3,0)*0.475*44/12</f>
        <v>4.6346406003552679E-2</v>
      </c>
      <c r="BS51" s="22">
        <f t="shared" si="9"/>
        <v>7.8471014424537024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4.2</v>
      </c>
      <c r="BY51" s="12">
        <f>IF('Données projet'!$A$114&gt;35,BY50+BX51-CG50,IF(A51&lt;'Données projet'!$A$114,$BV$205^A51,IF(A51='Données projet'!$A$114,'Données projet'!$B$114,BY50+BX51-CG50)))</f>
        <v>112.60000000000004</v>
      </c>
      <c r="BZ51" s="13">
        <f>BY51*VLOOKUP('Données projet'!$B$12,Paramètres!$A$1:$I$89,3,0)*VLOOKUP('Données projet'!$B$12,Paramètres!$A$1:$I$89,5,0)</f>
        <v>101.88048000000003</v>
      </c>
      <c r="CA51" s="13">
        <f t="shared" si="39"/>
        <v>27.409509067425631</v>
      </c>
      <c r="CB51" s="20">
        <f t="shared" si="10"/>
        <v>225.18006429243303</v>
      </c>
      <c r="CC51" s="59">
        <f t="shared" si="11"/>
        <v>518.5133976257664</v>
      </c>
      <c r="CD51" s="59">
        <f ca="1">AVERAGE(OFFSET($CC$3,0,0,'Données projet'!$E$12+1,1))-AVERAGE(OFFSET($H$3,0,0,'Données projet'!$E$12+1,1))</f>
        <v>169.62156467157178</v>
      </c>
      <c r="CE51" s="59">
        <f t="shared" si="40"/>
        <v>85.631326020763254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7.7</v>
      </c>
      <c r="CT51" s="12">
        <f>IF('Données projet'!$A$140&gt;35,CT50+CS51-DB50,IF(A51&lt;'Données projet'!$A$140,$CQ$205^A51,IF(A51='Données projet'!$A$140,'Données projet'!$B$140,CT50+CS51-DB50)))</f>
        <v>225.59999999999977</v>
      </c>
      <c r="CU51" s="17">
        <f>CT51*VLOOKUP('Données projet'!$B$13,Paramètres!$A$1:$I$89,3,0)*VLOOKUP('Données projet'!$B$13,Paramètres!$A$1:$I$89,5,0)</f>
        <v>183.00671999999983</v>
      </c>
      <c r="CV51" s="13">
        <f t="shared" si="41"/>
        <v>45.990479653087661</v>
      </c>
      <c r="CW51" s="20">
        <f t="shared" si="13"/>
        <v>398.83678939579403</v>
      </c>
      <c r="CX51" s="59">
        <f t="shared" si="14"/>
        <v>692.17012272912734</v>
      </c>
      <c r="CY51" s="59">
        <f ca="1">AVERAGE(OFFSET($CX$3,0,0,'Données projet'!$E$13+1,1))-AVERAGE(OFFSET($H$3,0,0,'Données projet'!$E$13+1,1))</f>
        <v>234.59657655504111</v>
      </c>
      <c r="CZ51" s="59">
        <f t="shared" si="42"/>
        <v>285.10598666479211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5.1641993495098708</v>
      </c>
      <c r="DH51" s="21">
        <f>EXP(-LN(2)/2)*DH50+(1-EXP(-LN(2)/2))/(LN(2)/2)*DB51*DE51*VLOOKUP('Données projet'!$B$13,Paramètres!$A$1:$I$89,3,0)*0.475*44/12</f>
        <v>2.143079949630252E-2</v>
      </c>
      <c r="DI51" s="22">
        <f t="shared" si="15"/>
        <v>5.1856301490061734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4.2</v>
      </c>
      <c r="DO51" s="12">
        <f>IF('Données projet'!$A$166&gt;35,DO50+DN51-DW50,IF(A51&lt;'Données projet'!$A$166,$DL$205^A51,IF(A51='Données projet'!$A$166,'Données projet'!$B$166,DO50+DN51-DW50)))</f>
        <v>112.60000000000004</v>
      </c>
      <c r="DP51" s="17">
        <f>DO51*VLOOKUP('Données projet'!$B$14,Paramètres!$A$1:$I$89,3,0)*VLOOKUP('Données projet'!$B$14,Paramètres!$A$1:$I$89,5,0)</f>
        <v>108.90672000000005</v>
      </c>
      <c r="DQ51" s="13">
        <f t="shared" si="43"/>
        <v>29.073249724487372</v>
      </c>
      <c r="DR51" s="20">
        <f t="shared" si="16"/>
        <v>240.31511393681561</v>
      </c>
      <c r="DS51" s="59">
        <f t="shared" si="17"/>
        <v>533.64844727014895</v>
      </c>
      <c r="DT51" s="59">
        <f ca="1">AVERAGE(OFFSET($DS$3,0,0,'Données projet'!$E$14+1,1))-AVERAGE(OFFSET($H$3,0,0,'Données projet'!$E$14+1,1))</f>
        <v>186.90852124957956</v>
      </c>
      <c r="DU51" s="59">
        <f t="shared" si="44"/>
        <v>93.013797128776446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4.2</v>
      </c>
      <c r="EJ51" s="12">
        <f>IF('Données projet'!$A$192&gt;35,EJ50+EI51-ER50,IF(A51&lt;'Données projet'!$A$192,$EG$205^A51,IF(A51='Données projet'!$A$192,'Données projet'!$B$192,EJ50+EI51-ER50)))</f>
        <v>112.60000000000004</v>
      </c>
      <c r="EK51" s="17">
        <f>EJ51*VLOOKUP('Données projet'!$B$15,Paramètres!$A$1:$I$89,3,0)*VLOOKUP('Données projet'!$B$15,Paramètres!$A$1:$I$89,5,0)</f>
        <v>121.20264000000003</v>
      </c>
      <c r="EL51" s="13">
        <f t="shared" si="45"/>
        <v>31.955332323658666</v>
      </c>
      <c r="EM51" s="20">
        <f t="shared" si="19"/>
        <v>266.75013513037226</v>
      </c>
      <c r="EN51" s="59">
        <f t="shared" si="20"/>
        <v>560.08346846370557</v>
      </c>
      <c r="EO51" s="59">
        <f ca="1">AVERAGE(OFFSET($EN$3,0,0,'Données projet'!$E$15+1,1))-AVERAGE(OFFSET($H$3,0,0,'Données projet'!$E$15+1,1))</f>
        <v>217.10418688911096</v>
      </c>
      <c r="EP51" s="59">
        <f t="shared" si="46"/>
        <v>105.90631421515786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5.125</v>
      </c>
      <c r="N52" s="13">
        <f>IF('Données projet'!$A$36&gt;35,N51+M52-V51,IF(A52&lt;'Données projet'!$A$36,$K$205^A52,IF(A52='Données projet'!$A$36,'Données projet'!$B$36,N51+M52-V51)))</f>
        <v>220.375</v>
      </c>
      <c r="O52" s="13">
        <f>N52*VLOOKUP('Données projet'!$B$9,Paramètres!$A$1:$I$89,3,0)*VLOOKUP('Données projet'!$B$9,Paramètres!$A$1:$I$89,5,0)</f>
        <v>131.78425000000001</v>
      </c>
      <c r="P52" s="13">
        <f t="shared" si="33"/>
        <v>34.408319457025534</v>
      </c>
      <c r="Q52" s="20">
        <f t="shared" si="53"/>
        <v>289.45205847098617</v>
      </c>
      <c r="R52" s="59">
        <f t="shared" si="0"/>
        <v>582.78539180431949</v>
      </c>
      <c r="S52" s="59">
        <f ca="1">AVERAGE(OFFSET($R$3,0,0,'Données projet'!$E$9+1,1))-AVERAGE(OFFSET($H$3,0,0,'Données projet'!$E$9+1,1))</f>
        <v>145.19188637714888</v>
      </c>
      <c r="T52" s="59">
        <f t="shared" si="34"/>
        <v>169.74069292032493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1.5185443401821139</v>
      </c>
      <c r="AA52" s="21">
        <f>EXP(-LN(2)/25)*AA51+(1-EXP(-LN(2)/25))/(LN(2)/25)*Calculateur!V52*Calculateur!X52*VLOOKUP('Données projet'!$B$9,Paramètres!$A$1:$I$89,3,0)*0.475*44/12</f>
        <v>5.1110936644776723</v>
      </c>
      <c r="AB52" s="21">
        <f>EXP(-LN(2)/2)*AB51+(1-EXP(-LN(2)/2))/(LN(2)/2)*V52*Y52*VLOOKUP('Données projet'!$B$9,Paramètres!$A$1:$I$89,3,0)*0.475*44/12</f>
        <v>5.587141545806972E-3</v>
      </c>
      <c r="AC52" s="22">
        <f t="shared" si="3"/>
        <v>6.6352251462055936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231.79999999999993</v>
      </c>
      <c r="AJ52" s="13">
        <f>AI52*VLOOKUP('Données projet'!$B$10,Paramètres!$A$1:$I$89,3,0)*VLOOKUP('Données projet'!$B$10,Paramètres!$A$1:$I$89,5,0)</f>
        <v>202.50047999999995</v>
      </c>
      <c r="AK52" s="13">
        <f t="shared" si="35"/>
        <v>50.293299535837903</v>
      </c>
      <c r="AL52" s="20">
        <f t="shared" si="4"/>
        <v>440.28249935825096</v>
      </c>
      <c r="AM52" s="59">
        <f t="shared" si="5"/>
        <v>733.61583269158427</v>
      </c>
      <c r="AN52" s="59">
        <f ca="1">AVERAGE(OFFSET($AM$3,0,0,'Données projet'!$E$10+1,1))-AVERAGE(OFFSET($H$3,0,0,'Données projet'!$E$10+1,1))</f>
        <v>254.24072778190163</v>
      </c>
      <c r="AO52" s="59">
        <f t="shared" si="36"/>
        <v>356.78706780980383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2.1093256202248671</v>
      </c>
      <c r="AV52" s="21">
        <f>EXP(-LN(2)/25)*AV51+(1-EXP(-LN(2)/25))/(LN(2)/25)*Calculateur!AQ52*Calculateur!AS52*VLOOKUP('Données projet'!$B$10,Paramètres!$A$1:$I$89,3,0)*0.475*44/12</f>
        <v>10.447300067570065</v>
      </c>
      <c r="AW52" s="21">
        <f>EXP(-LN(2)/2)*AW51+(1-EXP(-LN(2)/2))/(LN(2)/2)*AQ52*AT52*VLOOKUP('Données projet'!$B$10,Paramètres!$A$1:$I$89,3,0)*0.475*44/12</f>
        <v>3.8352265875697206E-2</v>
      </c>
      <c r="AX52" s="21">
        <f t="shared" si="6"/>
        <v>12.594977953670631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12.8</v>
      </c>
      <c r="BD52" s="12">
        <f>IF('Données projet'!$A$88&gt;35,BD51+BC52-BL51,IF(A52&lt;'Données projet'!$A$88,$BA$205^A52,IF(A52='Données projet'!$A$88,'Données projet'!$B$88,BD51+BC52-BL51)))</f>
        <v>330.2</v>
      </c>
      <c r="BE52" s="13">
        <f>BD52*VLOOKUP('Données projet'!$B$11,Paramètres!$A$1:$I$89,3,0)*VLOOKUP('Données projet'!$B$11,Paramètres!$A$1:$I$89,5,0)</f>
        <v>197.45959999999999</v>
      </c>
      <c r="BF52" s="13">
        <f t="shared" si="37"/>
        <v>49.185450002435452</v>
      </c>
      <c r="BG52" s="20">
        <f t="shared" si="7"/>
        <v>429.57346208757502</v>
      </c>
      <c r="BH52" s="59">
        <f t="shared" si="8"/>
        <v>722.90679542090834</v>
      </c>
      <c r="BI52" s="59">
        <f ca="1">AVERAGE(OFFSET($BH$3,0,0,'Données projet'!$E$11+1,1))-AVERAGE(OFFSET($H$3,0,0,'Données projet'!$E$11+1,1))</f>
        <v>246.59447135626942</v>
      </c>
      <c r="BJ52" s="59">
        <f t="shared" si="38"/>
        <v>262.00382544285367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7.5874429797545426</v>
      </c>
      <c r="BR52" s="21">
        <f>EXP(-LN(2)/2)*BR51+(1-EXP(-LN(2)/2))/(LN(2)/2)*BL52*BO52*VLOOKUP('Données projet'!$B$11,Paramètres!$A$1:$I$89,3,0)*0.475*44/12</f>
        <v>3.2771857968737016E-2</v>
      </c>
      <c r="BS52" s="22">
        <f t="shared" si="9"/>
        <v>7.6202148377232799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4.2</v>
      </c>
      <c r="BY52" s="12">
        <f>IF('Données projet'!$A$114&gt;35,BY51+BX52-CG51,IF(A52&lt;'Données projet'!$A$114,$BV$205^A52,IF(A52='Données projet'!$A$114,'Données projet'!$B$114,BY51+BX52-CG51)))</f>
        <v>116.80000000000004</v>
      </c>
      <c r="BZ52" s="13">
        <f>BY52*VLOOKUP('Données projet'!$B$12,Paramètres!$A$1:$I$89,3,0)*VLOOKUP('Données projet'!$B$12,Paramètres!$A$1:$I$89,5,0)</f>
        <v>105.68064000000003</v>
      </c>
      <c r="CA52" s="13">
        <f t="shared" si="39"/>
        <v>28.310949231041775</v>
      </c>
      <c r="CB52" s="20">
        <f t="shared" si="10"/>
        <v>233.36868457739783</v>
      </c>
      <c r="CC52" s="59">
        <f t="shared" si="11"/>
        <v>526.70201791073112</v>
      </c>
      <c r="CD52" s="59">
        <f ca="1">AVERAGE(OFFSET($CC$3,0,0,'Données projet'!$E$12+1,1))-AVERAGE(OFFSET($H$3,0,0,'Données projet'!$E$12+1,1))</f>
        <v>169.62156467157178</v>
      </c>
      <c r="CE52" s="59">
        <f t="shared" si="40"/>
        <v>85.631326020763254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7.7</v>
      </c>
      <c r="CT52" s="12">
        <f>IF('Données projet'!$A$140&gt;35,CT51+CS52-DB51,IF(A52&lt;'Données projet'!$A$140,$CQ$205^A52,IF(A52='Données projet'!$A$140,'Données projet'!$B$140,CT51+CS52-DB51)))</f>
        <v>233.29999999999976</v>
      </c>
      <c r="CU52" s="17">
        <f>CT52*VLOOKUP('Données projet'!$B$13,Paramètres!$A$1:$I$89,3,0)*VLOOKUP('Données projet'!$B$13,Paramètres!$A$1:$I$89,5,0)</f>
        <v>189.2529599999998</v>
      </c>
      <c r="CV52" s="13">
        <f t="shared" si="41"/>
        <v>47.374755064875977</v>
      </c>
      <c r="CW52" s="20">
        <f t="shared" si="13"/>
        <v>412.12660373799196</v>
      </c>
      <c r="CX52" s="59">
        <f t="shared" si="14"/>
        <v>705.45993707132527</v>
      </c>
      <c r="CY52" s="59">
        <f ca="1">AVERAGE(OFFSET($CX$3,0,0,'Données projet'!$E$13+1,1))-AVERAGE(OFFSET($H$3,0,0,'Données projet'!$E$13+1,1))</f>
        <v>234.59657655504111</v>
      </c>
      <c r="CZ52" s="59">
        <f t="shared" si="42"/>
        <v>285.10598666479211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5.0229840467240825</v>
      </c>
      <c r="DH52" s="21">
        <f>EXP(-LN(2)/2)*DH51+(1-EXP(-LN(2)/2))/(LN(2)/2)*DB52*DE52*VLOOKUP('Données projet'!$B$13,Paramètres!$A$1:$I$89,3,0)*0.475*44/12</f>
        <v>1.515386365008476E-2</v>
      </c>
      <c r="DI52" s="22">
        <f t="shared" si="15"/>
        <v>5.038137910374167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4.2</v>
      </c>
      <c r="DO52" s="12">
        <f>IF('Données projet'!$A$166&gt;35,DO51+DN52-DW51,IF(A52&lt;'Données projet'!$A$166,$DL$205^A52,IF(A52='Données projet'!$A$166,'Données projet'!$B$166,DO51+DN52-DW51)))</f>
        <v>116.80000000000004</v>
      </c>
      <c r="DP52" s="17">
        <f>DO52*VLOOKUP('Données projet'!$B$14,Paramètres!$A$1:$I$89,3,0)*VLOOKUP('Données projet'!$B$14,Paramètres!$A$1:$I$89,5,0)</f>
        <v>112.96896000000004</v>
      </c>
      <c r="DQ52" s="13">
        <f t="shared" si="43"/>
        <v>30.029406761960193</v>
      </c>
      <c r="DR52" s="20">
        <f t="shared" si="16"/>
        <v>249.05548877708074</v>
      </c>
      <c r="DS52" s="59">
        <f t="shared" si="17"/>
        <v>542.38882211041403</v>
      </c>
      <c r="DT52" s="59">
        <f ca="1">AVERAGE(OFFSET($DS$3,0,0,'Données projet'!$E$14+1,1))-AVERAGE(OFFSET($H$3,0,0,'Données projet'!$E$14+1,1))</f>
        <v>186.90852124957956</v>
      </c>
      <c r="DU52" s="59">
        <f t="shared" si="44"/>
        <v>93.013797128776446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4.2</v>
      </c>
      <c r="EJ52" s="12">
        <f>IF('Données projet'!$A$192&gt;35,EJ51+EI52-ER51,IF(A52&lt;'Données projet'!$A$192,$EG$205^A52,IF(A52='Données projet'!$A$192,'Données projet'!$B$192,EJ51+EI52-ER51)))</f>
        <v>116.80000000000004</v>
      </c>
      <c r="EK52" s="17">
        <f>EJ52*VLOOKUP('Données projet'!$B$15,Paramètres!$A$1:$I$89,3,0)*VLOOKUP('Données projet'!$B$15,Paramètres!$A$1:$I$89,5,0)</f>
        <v>125.72352000000005</v>
      </c>
      <c r="EL52" s="13">
        <f t="shared" si="45"/>
        <v>33.006274897178891</v>
      </c>
      <c r="EM52" s="20">
        <f t="shared" si="19"/>
        <v>276.45439277925328</v>
      </c>
      <c r="EN52" s="59">
        <f t="shared" si="20"/>
        <v>569.7877261125866</v>
      </c>
      <c r="EO52" s="59">
        <f ca="1">AVERAGE(OFFSET($EN$3,0,0,'Données projet'!$E$15+1,1))-AVERAGE(OFFSET($H$3,0,0,'Données projet'!$E$15+1,1))</f>
        <v>217.10418688911096</v>
      </c>
      <c r="EP52" s="59">
        <f t="shared" si="46"/>
        <v>105.90631421515786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5.125</v>
      </c>
      <c r="N53" s="13">
        <f>IF('Données projet'!$A$36&gt;35,N52+M53-V52,IF(A53&lt;'Données projet'!$A$36,$K$205^A53,IF(A53='Données projet'!$A$36,'Données projet'!$B$36,N52+M53-V52)))</f>
        <v>225.5</v>
      </c>
      <c r="O53" s="13">
        <f>N53*VLOOKUP('Données projet'!$B$9,Paramètres!$A$1:$I$89,3,0)*VLOOKUP('Données projet'!$B$9,Paramètres!$A$1:$I$89,5,0)</f>
        <v>134.84900000000002</v>
      </c>
      <c r="P53" s="13">
        <f t="shared" si="33"/>
        <v>35.114421608496684</v>
      </c>
      <c r="Q53" s="20">
        <f t="shared" si="53"/>
        <v>296.01962596813172</v>
      </c>
      <c r="R53" s="59">
        <f t="shared" si="0"/>
        <v>589.35295930146503</v>
      </c>
      <c r="S53" s="59">
        <f ca="1">AVERAGE(OFFSET($R$3,0,0,'Données projet'!$E$9+1,1))-AVERAGE(OFFSET($H$3,0,0,'Données projet'!$E$9+1,1))</f>
        <v>145.19188637714888</v>
      </c>
      <c r="T53" s="59">
        <f t="shared" si="34"/>
        <v>169.74069292032493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1.4887666118917335</v>
      </c>
      <c r="AA53" s="21">
        <f>EXP(-LN(2)/25)*AA52+(1-EXP(-LN(2)/25))/(LN(2)/25)*Calculateur!V53*Calculateur!X53*VLOOKUP('Données projet'!$B$9,Paramètres!$A$1:$I$89,3,0)*0.475*44/12</f>
        <v>4.9713305394417961</v>
      </c>
      <c r="AB53" s="21">
        <f>EXP(-LN(2)/2)*AB52+(1-EXP(-LN(2)/2))/(LN(2)/2)*V53*Y53*VLOOKUP('Données projet'!$B$9,Paramètres!$A$1:$I$89,3,0)*0.475*44/12</f>
        <v>3.9507056744891994E-3</v>
      </c>
      <c r="AC53" s="22">
        <f t="shared" si="3"/>
        <v>6.4640478570080191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240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239.99999999999991</v>
      </c>
      <c r="AJ53" s="13">
        <f>AI53*VLOOKUP('Données projet'!$B$10,Paramètres!$A$1:$I$89,3,0)*VLOOKUP('Données projet'!$B$10,Paramètres!$A$1:$I$89,5,0)</f>
        <v>209.66399999999996</v>
      </c>
      <c r="AK53" s="13">
        <f t="shared" si="35"/>
        <v>51.862154403304487</v>
      </c>
      <c r="AL53" s="20">
        <f t="shared" si="4"/>
        <v>455.49138558575515</v>
      </c>
      <c r="AM53" s="59">
        <f t="shared" si="5"/>
        <v>748.82471891908847</v>
      </c>
      <c r="AN53" s="59">
        <f ca="1">AVERAGE(OFFSET($AM$3,0,0,'Données projet'!$E$10+1,1))-AVERAGE(OFFSET($H$3,0,0,'Données projet'!$E$10+1,1))</f>
        <v>254.24072778190163</v>
      </c>
      <c r="AO53" s="59">
        <f t="shared" si="36"/>
        <v>356.78706780980383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2.0679630313738486</v>
      </c>
      <c r="AV53" s="21">
        <f>EXP(-LN(2)/25)*AV52+(1-EXP(-LN(2)/25))/(LN(2)/25)*Calculateur!AQ53*Calculateur!AS53*VLOOKUP('Données projet'!$B$10,Paramètres!$A$1:$I$89,3,0)*0.475*44/12</f>
        <v>10.161618097822728</v>
      </c>
      <c r="AW53" s="21">
        <f>EXP(-LN(2)/2)*AW52+(1-EXP(-LN(2)/2))/(LN(2)/2)*AQ53*AT53*VLOOKUP('Données projet'!$B$10,Paramètres!$A$1:$I$89,3,0)*0.475*44/12</f>
        <v>2.7119147274574918E-2</v>
      </c>
      <c r="AX53" s="21">
        <f t="shared" si="6"/>
        <v>12.256700276471152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343</v>
      </c>
      <c r="BB53" s="12">
        <f>VLOOKUP(A53,'Données projet'!$A$87:$I$107,9,0)</f>
        <v>12.8</v>
      </c>
      <c r="BC53" s="12">
        <f t="array" ref="BC53">INDEX(BB:BB,MIN(IF(ISNUMBER(BB53:BB249),ROW(BB53:BB249),"")))</f>
        <v>12.8</v>
      </c>
      <c r="BD53" s="12">
        <f>IF('Données projet'!$A$88&gt;35,BD52+BC53-BL52,IF(A53&lt;'Données projet'!$A$88,$BA$205^A53,IF(A53='Données projet'!$A$88,'Données projet'!$B$88,BD52+BC53-BL52)))</f>
        <v>343</v>
      </c>
      <c r="BE53" s="13">
        <f>BD53*VLOOKUP('Données projet'!$B$11,Paramètres!$A$1:$I$89,3,0)*VLOOKUP('Données projet'!$B$11,Paramètres!$A$1:$I$89,5,0)</f>
        <v>205.114</v>
      </c>
      <c r="BF53" s="13">
        <f t="shared" si="37"/>
        <v>50.86641328088507</v>
      </c>
      <c r="BG53" s="20">
        <f t="shared" si="7"/>
        <v>445.83255313087483</v>
      </c>
      <c r="BH53" s="59">
        <f t="shared" si="8"/>
        <v>739.16588646420814</v>
      </c>
      <c r="BI53" s="59">
        <f ca="1">AVERAGE(OFFSET($BH$3,0,0,'Données projet'!$E$11+1,1))-AVERAGE(OFFSET($H$3,0,0,'Données projet'!$E$11+1,1))</f>
        <v>246.59447135626942</v>
      </c>
      <c r="BJ53" s="59">
        <f t="shared" si="38"/>
        <v>262.00382544285367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7.3799639524668699</v>
      </c>
      <c r="BR53" s="21">
        <f>EXP(-LN(2)/2)*BR52+(1-EXP(-LN(2)/2))/(LN(2)/2)*BL53*BO53*VLOOKUP('Données projet'!$B$11,Paramètres!$A$1:$I$89,3,0)*0.475*44/12</f>
        <v>2.3173203001776339E-2</v>
      </c>
      <c r="BS53" s="22">
        <f t="shared" si="9"/>
        <v>7.403137155468646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121</v>
      </c>
      <c r="BW53" s="12">
        <f>VLOOKUP(A53,'Données projet'!$A$113:$I$133,9,0)</f>
        <v>4.2</v>
      </c>
      <c r="BX53" s="12">
        <f t="array" ref="BX53">INDEX(BW:BW,MIN(IF(ISNUMBER(BW53:BW249),ROW(BW53:BW249),"")))</f>
        <v>4.2</v>
      </c>
      <c r="BY53" s="12">
        <f>IF('Données projet'!$A$114&gt;35,BY52+BX53-CG52,IF(A53&lt;'Données projet'!$A$114,$BV$205^A53,IF(A53='Données projet'!$A$114,'Données projet'!$B$114,BY52+BX53-CG52)))</f>
        <v>121.00000000000004</v>
      </c>
      <c r="BZ53" s="13">
        <f>BY53*VLOOKUP('Données projet'!$B$12,Paramètres!$A$1:$I$89,3,0)*VLOOKUP('Données projet'!$B$12,Paramètres!$A$1:$I$89,5,0)</f>
        <v>109.48080000000003</v>
      </c>
      <c r="CA53" s="13">
        <f t="shared" si="39"/>
        <v>29.208623339903898</v>
      </c>
      <c r="CB53" s="20">
        <f t="shared" si="10"/>
        <v>241.55074565033269</v>
      </c>
      <c r="CC53" s="59">
        <f t="shared" si="11"/>
        <v>534.88407898366597</v>
      </c>
      <c r="CD53" s="59">
        <f ca="1">AVERAGE(OFFSET($CC$3,0,0,'Données projet'!$E$12+1,1))-AVERAGE(OFFSET($H$3,0,0,'Données projet'!$E$12+1,1))</f>
        <v>169.62156467157178</v>
      </c>
      <c r="CE53" s="59">
        <f t="shared" si="40"/>
        <v>85.631326020763254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14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241</v>
      </c>
      <c r="CR53" s="12">
        <f>VLOOKUP(A53,'Données projet'!$A$139:$I$159,9,0)</f>
        <v>7.7</v>
      </c>
      <c r="CS53" s="12">
        <f t="array" ref="CS53">INDEX(CR:CR,MIN(IF(ISNUMBER(CR53:CR249),ROW(CR53:CR249),"")))</f>
        <v>7.7</v>
      </c>
      <c r="CT53" s="12">
        <f>IF('Données projet'!$A$140&gt;35,CT52+CS53-DB52,IF(A53&lt;'Données projet'!$A$140,$CQ$205^A53,IF(A53='Données projet'!$A$140,'Données projet'!$B$140,CT52+CS53-DB52)))</f>
        <v>240.99999999999974</v>
      </c>
      <c r="CU53" s="17">
        <f>CT53*VLOOKUP('Données projet'!$B$13,Paramètres!$A$1:$I$89,3,0)*VLOOKUP('Données projet'!$B$13,Paramètres!$A$1:$I$89,5,0)</f>
        <v>195.4991999999998</v>
      </c>
      <c r="CV53" s="13">
        <f t="shared" si="41"/>
        <v>48.75372162220922</v>
      </c>
      <c r="CW53" s="20">
        <f t="shared" si="13"/>
        <v>425.4071718253474</v>
      </c>
      <c r="CX53" s="59">
        <f t="shared" si="14"/>
        <v>718.74050515868066</v>
      </c>
      <c r="CY53" s="59">
        <f ca="1">AVERAGE(OFFSET($CX$3,0,0,'Données projet'!$E$13+1,1))-AVERAGE(OFFSET($H$3,0,0,'Données projet'!$E$13+1,1))</f>
        <v>234.59657655504111</v>
      </c>
      <c r="CZ53" s="59">
        <f t="shared" si="42"/>
        <v>285.10598666479211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39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4.8856302838191619</v>
      </c>
      <c r="DH53" s="21">
        <f>EXP(-LN(2)/2)*DH52+(1-EXP(-LN(2)/2))/(LN(2)/2)*DB53*DE53*VLOOKUP('Données projet'!$B$13,Paramètres!$A$1:$I$89,3,0)*0.475*44/12</f>
        <v>1.0715399748151262E-2</v>
      </c>
      <c r="DI53" s="22">
        <f t="shared" si="15"/>
        <v>4.8963456835673131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121</v>
      </c>
      <c r="DM53" s="12">
        <f>VLOOKUP(A53,'Données projet'!$A$165:$I$185,9,0)</f>
        <v>4.2</v>
      </c>
      <c r="DN53" s="12">
        <f t="array" ref="DN53">INDEX(DM:DM,MIN(IF(ISNUMBER(DM53:DM249),ROW(DM53:DM249),"")))</f>
        <v>4.2</v>
      </c>
      <c r="DO53" s="12">
        <f>IF('Données projet'!$A$166&gt;35,DO52+DN53-DW52,IF(A53&lt;'Données projet'!$A$166,$DL$205^A53,IF(A53='Données projet'!$A$166,'Données projet'!$B$166,DO52+DN53-DW52)))</f>
        <v>121.00000000000004</v>
      </c>
      <c r="DP53" s="17">
        <f>DO53*VLOOKUP('Données projet'!$B$14,Paramètres!$A$1:$I$89,3,0)*VLOOKUP('Données projet'!$B$14,Paramètres!$A$1:$I$89,5,0)</f>
        <v>117.03120000000004</v>
      </c>
      <c r="DQ53" s="13">
        <f t="shared" si="43"/>
        <v>30.981569147428555</v>
      </c>
      <c r="DR53" s="20">
        <f t="shared" si="16"/>
        <v>257.7889062651048</v>
      </c>
      <c r="DS53" s="59">
        <f t="shared" si="17"/>
        <v>551.12223959843811</v>
      </c>
      <c r="DT53" s="59">
        <f ca="1">AVERAGE(OFFSET($DS$3,0,0,'Données projet'!$E$14+1,1))-AVERAGE(OFFSET($H$3,0,0,'Données projet'!$E$14+1,1))</f>
        <v>186.90852124957956</v>
      </c>
      <c r="DU53" s="59">
        <f t="shared" si="44"/>
        <v>93.013797128776446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14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121</v>
      </c>
      <c r="EH53" s="12">
        <f>VLOOKUP(A53,'Données projet'!$A$191:$I$211,9,0)</f>
        <v>4.2</v>
      </c>
      <c r="EI53" s="12">
        <f t="array" ref="EI53">INDEX(EH:EH,MIN(IF(ISNUMBER(EH53:EH249),ROW(EH53:EH249),"")))</f>
        <v>4.2</v>
      </c>
      <c r="EJ53" s="12">
        <f>IF('Données projet'!$A$192&gt;35,EJ52+EI53-ER52,IF(A53&lt;'Données projet'!$A$192,$EG$205^A53,IF(A53='Données projet'!$A$192,'Données projet'!$B$192,EJ52+EI53-ER52)))</f>
        <v>121.00000000000004</v>
      </c>
      <c r="EK53" s="17">
        <f>EJ53*VLOOKUP('Données projet'!$B$15,Paramètres!$A$1:$I$89,3,0)*VLOOKUP('Données projet'!$B$15,Paramètres!$A$1:$I$89,5,0)</f>
        <v>130.24440000000004</v>
      </c>
      <c r="EL53" s="13">
        <f t="shared" si="45"/>
        <v>34.052826821785409</v>
      </c>
      <c r="EM53" s="20">
        <f t="shared" si="19"/>
        <v>286.15100338127627</v>
      </c>
      <c r="EN53" s="59">
        <f t="shared" si="20"/>
        <v>579.48433671460953</v>
      </c>
      <c r="EO53" s="59">
        <f ca="1">AVERAGE(OFFSET($EN$3,0,0,'Données projet'!$E$15+1,1))-AVERAGE(OFFSET($H$3,0,0,'Données projet'!$E$15+1,1))</f>
        <v>217.10418688911096</v>
      </c>
      <c r="EP53" s="59">
        <f t="shared" si="46"/>
        <v>105.90631421515786</v>
      </c>
      <c r="EQ53" s="15">
        <f>IF(ISNA(VLOOKUP(A53,'Données projet'!$A$191:$I$211,3,0)),0,VLOOKUP(A53,'Données projet'!$A$191:$I$211,3,0))</f>
        <v>2</v>
      </c>
      <c r="ER53" s="15">
        <f>IF(ISNA(VLOOKUP(A53,'Données projet'!$A$191:$I$211,4,0)),0,VLOOKUP(A53,'Données projet'!$A$191:$I$211,4,0))</f>
        <v>14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5.125</v>
      </c>
      <c r="N54" s="13">
        <f>IF('Données projet'!$A$36&gt;35,N53+M54-V53,IF(A54&lt;'Données projet'!$A$36,$K$205^A54,IF(A54='Données projet'!$A$36,'Données projet'!$B$36,N53+M54-V53)))</f>
        <v>230.625</v>
      </c>
      <c r="O54" s="13">
        <f>N54*VLOOKUP('Données projet'!$B$9,Paramètres!$A$1:$I$89,3,0)*VLOOKUP('Données projet'!$B$9,Paramètres!$A$1:$I$89,5,0)</f>
        <v>137.91375000000002</v>
      </c>
      <c r="P54" s="13">
        <f t="shared" si="33"/>
        <v>35.818658097691937</v>
      </c>
      <c r="Q54" s="20">
        <f t="shared" si="53"/>
        <v>302.58394410348018</v>
      </c>
      <c r="R54" s="59">
        <f t="shared" si="0"/>
        <v>595.91727743681349</v>
      </c>
      <c r="S54" s="59">
        <f ca="1">AVERAGE(OFFSET($R$3,0,0,'Données projet'!$E$9+1,1))-AVERAGE(OFFSET($H$3,0,0,'Données projet'!$E$9+1,1))</f>
        <v>145.19188637714888</v>
      </c>
      <c r="T54" s="59">
        <f t="shared" si="34"/>
        <v>169.74069292032493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1.4595728066905067</v>
      </c>
      <c r="AA54" s="21">
        <f>EXP(-LN(2)/25)*AA53+(1-EXP(-LN(2)/25))/(LN(2)/25)*Calculateur!V54*Calculateur!X54*VLOOKUP('Données projet'!$B$9,Paramètres!$A$1:$I$89,3,0)*0.475*44/12</f>
        <v>4.835389244409849</v>
      </c>
      <c r="AB54" s="21">
        <f>EXP(-LN(2)/2)*AB53+(1-EXP(-LN(2)/2))/(LN(2)/2)*V54*Y54*VLOOKUP('Données projet'!$B$9,Paramètres!$A$1:$I$89,3,0)*0.475*44/12</f>
        <v>2.793570772903486E-3</v>
      </c>
      <c r="AC54" s="22">
        <f t="shared" si="3"/>
        <v>6.2977556218732591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6.4</v>
      </c>
      <c r="AI54" s="13">
        <f>IF('Données projet'!$A$62&gt;35,AI53+AH54-AQ53,IF(A54&lt;'Données projet'!$A$62,$AF$205^A54,IF(A54='Données projet'!$A$62,'Données projet'!$B$62,AI53+AH54-AQ53)))</f>
        <v>187.39999999999992</v>
      </c>
      <c r="AJ54" s="13">
        <f>AI54*VLOOKUP('Données projet'!$B$10,Paramètres!$A$1:$I$89,3,0)*VLOOKUP('Données projet'!$B$10,Paramètres!$A$1:$I$89,5,0)</f>
        <v>163.71263999999994</v>
      </c>
      <c r="AK54" s="13">
        <f t="shared" si="35"/>
        <v>41.67879048791994</v>
      </c>
      <c r="AL54" s="20">
        <f t="shared" si="4"/>
        <v>357.72340809979374</v>
      </c>
      <c r="AM54" s="59">
        <f t="shared" si="5"/>
        <v>651.05674143312706</v>
      </c>
      <c r="AN54" s="59">
        <f ca="1">AVERAGE(OFFSET($AM$3,0,0,'Données projet'!$E$10+1,1))-AVERAGE(OFFSET($H$3,0,0,'Données projet'!$E$10+1,1))</f>
        <v>254.24072778190163</v>
      </c>
      <c r="AO54" s="59">
        <f t="shared" si="36"/>
        <v>356.78706780980383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2.0274115376615103</v>
      </c>
      <c r="AV54" s="21">
        <f>EXP(-LN(2)/25)*AV53+(1-EXP(-LN(2)/25))/(LN(2)/25)*Calculateur!AQ54*Calculateur!AS54*VLOOKUP('Données projet'!$B$10,Paramètres!$A$1:$I$89,3,0)*0.475*44/12</f>
        <v>9.8837481165614953</v>
      </c>
      <c r="AW54" s="21">
        <f>EXP(-LN(2)/2)*AW53+(1-EXP(-LN(2)/2))/(LN(2)/2)*AQ54*AT54*VLOOKUP('Données projet'!$B$10,Paramètres!$A$1:$I$89,3,0)*0.475*44/12</f>
        <v>1.9176132937848603E-2</v>
      </c>
      <c r="AX54" s="21">
        <f t="shared" si="6"/>
        <v>11.930335787160855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11.4</v>
      </c>
      <c r="BD54" s="12">
        <f>IF('Données projet'!$A$88&gt;35,BD53+BC54-BL53,IF(A54&lt;'Données projet'!$A$88,$BA$205^A54,IF(A54='Données projet'!$A$88,'Données projet'!$B$88,BD53+BC54-BL53)))</f>
        <v>284.39999999999998</v>
      </c>
      <c r="BE54" s="13">
        <f>BD54*VLOOKUP('Données projet'!$B$11,Paramètres!$A$1:$I$89,3,0)*VLOOKUP('Données projet'!$B$11,Paramètres!$A$1:$I$89,5,0)</f>
        <v>170.07119999999998</v>
      </c>
      <c r="BF54" s="13">
        <f t="shared" si="37"/>
        <v>43.105969628155904</v>
      </c>
      <c r="BG54" s="20">
        <f t="shared" si="7"/>
        <v>371.2835704357048</v>
      </c>
      <c r="BH54" s="59">
        <f t="shared" si="8"/>
        <v>664.61690376903812</v>
      </c>
      <c r="BI54" s="59">
        <f ca="1">AVERAGE(OFFSET($BH$3,0,0,'Données projet'!$E$11+1,1))-AVERAGE(OFFSET($H$3,0,0,'Données projet'!$E$11+1,1))</f>
        <v>246.59447135626942</v>
      </c>
      <c r="BJ54" s="59">
        <f t="shared" si="38"/>
        <v>262.00382544285367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7.1781584500912263</v>
      </c>
      <c r="BR54" s="21">
        <f>EXP(-LN(2)/2)*BR53+(1-EXP(-LN(2)/2))/(LN(2)/2)*BL54*BO54*VLOOKUP('Données projet'!$B$11,Paramètres!$A$1:$I$89,3,0)*0.475*44/12</f>
        <v>1.6385928984368508E-2</v>
      </c>
      <c r="BS54" s="22">
        <f t="shared" si="9"/>
        <v>7.1945443790755945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5.5</v>
      </c>
      <c r="BY54" s="12">
        <f>IF('Données projet'!$A$114&gt;35,BY53+BX54-CG53,IF(A54&lt;'Données projet'!$A$114,$BV$205^A54,IF(A54='Données projet'!$A$114,'Données projet'!$B$114,BY53+BX54-CG53)))</f>
        <v>112.50000000000004</v>
      </c>
      <c r="BZ54" s="13">
        <f>BY54*VLOOKUP('Données projet'!$B$12,Paramètres!$A$1:$I$89,3,0)*VLOOKUP('Données projet'!$B$12,Paramètres!$A$1:$I$89,5,0)</f>
        <v>101.79000000000002</v>
      </c>
      <c r="CA54" s="13">
        <f t="shared" si="39"/>
        <v>27.387999036835105</v>
      </c>
      <c r="CB54" s="20">
        <f t="shared" si="10"/>
        <v>224.98501498915451</v>
      </c>
      <c r="CC54" s="59">
        <f t="shared" si="11"/>
        <v>518.31834832248785</v>
      </c>
      <c r="CD54" s="59">
        <f ca="1">AVERAGE(OFFSET($CC$3,0,0,'Données projet'!$E$12+1,1))-AVERAGE(OFFSET($H$3,0,0,'Données projet'!$E$12+1,1))</f>
        <v>169.62156467157178</v>
      </c>
      <c r="CE54" s="59">
        <f t="shared" si="40"/>
        <v>85.631326020763254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207.59999999999974</v>
      </c>
      <c r="CU54" s="17">
        <f>CT54*VLOOKUP('Données projet'!$B$13,Paramètres!$A$1:$I$89,3,0)*VLOOKUP('Données projet'!$B$13,Paramètres!$A$1:$I$89,5,0)</f>
        <v>168.40511999999981</v>
      </c>
      <c r="CV54" s="13">
        <f t="shared" si="41"/>
        <v>42.732627800243563</v>
      </c>
      <c r="CW54" s="20">
        <f t="shared" si="13"/>
        <v>367.73157741875724</v>
      </c>
      <c r="CX54" s="59">
        <f t="shared" si="14"/>
        <v>661.06491075209055</v>
      </c>
      <c r="CY54" s="59">
        <f ca="1">AVERAGE(OFFSET($CX$3,0,0,'Données projet'!$E$13+1,1))-AVERAGE(OFFSET($H$3,0,0,'Données projet'!$E$13+1,1))</f>
        <v>234.59657655504111</v>
      </c>
      <c r="CZ54" s="59">
        <f t="shared" si="42"/>
        <v>285.10598666479211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4.7520324667839962</v>
      </c>
      <c r="DH54" s="21">
        <f>EXP(-LN(2)/2)*DH53+(1-EXP(-LN(2)/2))/(LN(2)/2)*DB54*DE54*VLOOKUP('Données projet'!$B$13,Paramètres!$A$1:$I$89,3,0)*0.475*44/12</f>
        <v>7.5769318250423811E-3</v>
      </c>
      <c r="DI54" s="22">
        <f t="shared" si="15"/>
        <v>4.7596093986090384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5.5</v>
      </c>
      <c r="DO54" s="12">
        <f>IF('Données projet'!$A$166&gt;35,DO53+DN54-DW53,IF(A54&lt;'Données projet'!$A$166,$DL$205^A54,IF(A54='Données projet'!$A$166,'Données projet'!$B$166,DO53+DN54-DW53)))</f>
        <v>112.50000000000004</v>
      </c>
      <c r="DP54" s="17">
        <f>DO54*VLOOKUP('Données projet'!$B$14,Paramètres!$A$1:$I$89,3,0)*VLOOKUP('Données projet'!$B$14,Paramètres!$A$1:$I$89,5,0)</f>
        <v>108.81000000000004</v>
      </c>
      <c r="DQ54" s="13">
        <f t="shared" si="43"/>
        <v>29.05043404802263</v>
      </c>
      <c r="DR54" s="20">
        <f t="shared" si="16"/>
        <v>240.10692263363947</v>
      </c>
      <c r="DS54" s="59">
        <f t="shared" si="17"/>
        <v>533.44025596697281</v>
      </c>
      <c r="DT54" s="59">
        <f ca="1">AVERAGE(OFFSET($DS$3,0,0,'Données projet'!$E$14+1,1))-AVERAGE(OFFSET($H$3,0,0,'Données projet'!$E$14+1,1))</f>
        <v>186.90852124957956</v>
      </c>
      <c r="DU54" s="59">
        <f t="shared" si="44"/>
        <v>93.013797128776446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5.5</v>
      </c>
      <c r="EJ54" s="12">
        <f>IF('Données projet'!$A$192&gt;35,EJ53+EI54-ER53,IF(A54&lt;'Données projet'!$A$192,$EG$205^A54,IF(A54='Données projet'!$A$192,'Données projet'!$B$192,EJ53+EI54-ER53)))</f>
        <v>112.50000000000004</v>
      </c>
      <c r="EK54" s="17">
        <f>EJ54*VLOOKUP('Données projet'!$B$15,Paramètres!$A$1:$I$89,3,0)*VLOOKUP('Données projet'!$B$15,Paramètres!$A$1:$I$89,5,0)</f>
        <v>121.09500000000004</v>
      </c>
      <c r="EL54" s="13">
        <f t="shared" si="45"/>
        <v>31.930254888885127</v>
      </c>
      <c r="EM54" s="20">
        <f t="shared" si="19"/>
        <v>266.51898559814168</v>
      </c>
      <c r="EN54" s="59">
        <f t="shared" si="20"/>
        <v>559.852318931475</v>
      </c>
      <c r="EO54" s="59">
        <f ca="1">AVERAGE(OFFSET($EN$3,0,0,'Données projet'!$E$15+1,1))-AVERAGE(OFFSET($H$3,0,0,'Données projet'!$E$15+1,1))</f>
        <v>217.10418688911096</v>
      </c>
      <c r="EP54" s="59">
        <f t="shared" si="46"/>
        <v>105.90631421515786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5.125</v>
      </c>
      <c r="N55" s="13">
        <f>IF('Données projet'!$A$36&gt;35,N54+M55-V54,IF(A55&lt;'Données projet'!$A$36,$K$205^A55,IF(A55='Données projet'!$A$36,'Données projet'!$B$36,N54+M55-V54)))</f>
        <v>235.75</v>
      </c>
      <c r="O55" s="13">
        <f>N55*VLOOKUP('Données projet'!$B$9,Paramètres!$A$1:$I$89,3,0)*VLOOKUP('Données projet'!$B$9,Paramètres!$A$1:$I$89,5,0)</f>
        <v>140.97850000000003</v>
      </c>
      <c r="P55" s="13">
        <f t="shared" si="33"/>
        <v>36.521075157496767</v>
      </c>
      <c r="Q55" s="20">
        <f t="shared" si="53"/>
        <v>309.14509339930686</v>
      </c>
      <c r="R55" s="59">
        <f t="shared" si="0"/>
        <v>602.47842673264017</v>
      </c>
      <c r="S55" s="59">
        <f ca="1">AVERAGE(OFFSET($R$3,0,0,'Données projet'!$E$9+1,1))-AVERAGE(OFFSET($H$3,0,0,'Données projet'!$E$9+1,1))</f>
        <v>145.19188637714888</v>
      </c>
      <c r="T55" s="59">
        <f t="shared" si="34"/>
        <v>169.74069292032493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1.4309514742028129</v>
      </c>
      <c r="AA55" s="21">
        <f>EXP(-LN(2)/25)*AA54+(1-EXP(-LN(2)/25))/(LN(2)/25)*Calculateur!V55*Calculateur!X55*VLOOKUP('Données projet'!$B$9,Paramètres!$A$1:$I$89,3,0)*0.475*44/12</f>
        <v>4.703165271239393</v>
      </c>
      <c r="AB55" s="21">
        <f>EXP(-LN(2)/2)*AB54+(1-EXP(-LN(2)/2))/(LN(2)/2)*V55*Y55*VLOOKUP('Données projet'!$B$9,Paramètres!$A$1:$I$89,3,0)*0.475*44/12</f>
        <v>1.9753528372445997E-3</v>
      </c>
      <c r="AC55" s="22">
        <f t="shared" si="3"/>
        <v>6.1360920982794509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6.4</v>
      </c>
      <c r="AI55" s="13">
        <f>IF('Données projet'!$A$62&gt;35,AI54+AH55-AQ54,IF(A55&lt;'Données projet'!$A$62,$AF$205^A55,IF(A55='Données projet'!$A$62,'Données projet'!$B$62,AI54+AH55-AQ54)))</f>
        <v>193.79999999999993</v>
      </c>
      <c r="AJ55" s="13">
        <f>AI55*VLOOKUP('Données projet'!$B$10,Paramètres!$A$1:$I$89,3,0)*VLOOKUP('Données projet'!$B$10,Paramètres!$A$1:$I$89,5,0)</f>
        <v>169.30367999999996</v>
      </c>
      <c r="AK55" s="13">
        <f t="shared" si="35"/>
        <v>42.934033834973214</v>
      </c>
      <c r="AL55" s="20">
        <f t="shared" si="4"/>
        <v>369.64735159591163</v>
      </c>
      <c r="AM55" s="59">
        <f t="shared" si="5"/>
        <v>662.98068492924494</v>
      </c>
      <c r="AN55" s="59">
        <f ca="1">AVERAGE(OFFSET($AM$3,0,0,'Données projet'!$E$10+1,1))-AVERAGE(OFFSET($H$3,0,0,'Données projet'!$E$10+1,1))</f>
        <v>254.24072778190163</v>
      </c>
      <c r="AO55" s="59">
        <f t="shared" si="36"/>
        <v>356.78706780980383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1.987655234006902</v>
      </c>
      <c r="AV55" s="21">
        <f>EXP(-LN(2)/25)*AV54+(1-EXP(-LN(2)/25))/(LN(2)/25)*Calculateur!AQ55*Calculateur!AS55*VLOOKUP('Données projet'!$B$10,Paramètres!$A$1:$I$89,3,0)*0.475*44/12</f>
        <v>9.6134765045503983</v>
      </c>
      <c r="AW55" s="21">
        <f>EXP(-LN(2)/2)*AW54+(1-EXP(-LN(2)/2))/(LN(2)/2)*AQ55*AT55*VLOOKUP('Données projet'!$B$10,Paramètres!$A$1:$I$89,3,0)*0.475*44/12</f>
        <v>1.3559573637287459E-2</v>
      </c>
      <c r="AX55" s="21">
        <f t="shared" si="6"/>
        <v>11.614691312194587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11.4</v>
      </c>
      <c r="BD55" s="12">
        <f>IF('Données projet'!$A$88&gt;35,BD54+BC55-BL54,IF(A55&lt;'Données projet'!$A$88,$BA$205^A55,IF(A55='Données projet'!$A$88,'Données projet'!$B$88,BD54+BC55-BL54)))</f>
        <v>295.79999999999995</v>
      </c>
      <c r="BE55" s="13">
        <f>BD55*VLOOKUP('Données projet'!$B$11,Paramètres!$A$1:$I$89,3,0)*VLOOKUP('Données projet'!$B$11,Paramètres!$A$1:$I$89,5,0)</f>
        <v>176.88839999999999</v>
      </c>
      <c r="BF55" s="13">
        <f t="shared" si="37"/>
        <v>44.629211487047861</v>
      </c>
      <c r="BG55" s="20">
        <f t="shared" si="7"/>
        <v>385.80984000660828</v>
      </c>
      <c r="BH55" s="59">
        <f t="shared" si="8"/>
        <v>679.14317333994154</v>
      </c>
      <c r="BI55" s="59">
        <f ca="1">AVERAGE(OFFSET($BH$3,0,0,'Données projet'!$E$11+1,1))-AVERAGE(OFFSET($H$3,0,0,'Données projet'!$E$11+1,1))</f>
        <v>246.59447135626942</v>
      </c>
      <c r="BJ55" s="59">
        <f t="shared" si="38"/>
        <v>262.00382544285367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6.9818713297905344</v>
      </c>
      <c r="BR55" s="21">
        <f>EXP(-LN(2)/2)*BR54+(1-EXP(-LN(2)/2))/(LN(2)/2)*BL55*BO55*VLOOKUP('Données projet'!$B$11,Paramètres!$A$1:$I$89,3,0)*0.475*44/12</f>
        <v>1.158660150088817E-2</v>
      </c>
      <c r="BS55" s="22">
        <f t="shared" si="9"/>
        <v>6.9934579312914229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5.5</v>
      </c>
      <c r="BY55" s="12">
        <f>IF('Données projet'!$A$114&gt;35,BY54+BX55-CG54,IF(A55&lt;'Données projet'!$A$114,$BV$205^A55,IF(A55='Données projet'!$A$114,'Données projet'!$B$114,BY54+BX55-CG54)))</f>
        <v>118.00000000000004</v>
      </c>
      <c r="BZ55" s="13">
        <f>BY55*VLOOKUP('Données projet'!$B$12,Paramètres!$A$1:$I$89,3,0)*VLOOKUP('Données projet'!$B$12,Paramètres!$A$1:$I$89,5,0)</f>
        <v>106.76640000000005</v>
      </c>
      <c r="CA55" s="13">
        <f t="shared" si="39"/>
        <v>28.5678052620942</v>
      </c>
      <c r="CB55" s="20">
        <f t="shared" si="10"/>
        <v>235.70707416481414</v>
      </c>
      <c r="CC55" s="59">
        <f t="shared" si="11"/>
        <v>529.04040749814749</v>
      </c>
      <c r="CD55" s="59">
        <f ca="1">AVERAGE(OFFSET($CC$3,0,0,'Données projet'!$E$12+1,1))-AVERAGE(OFFSET($H$3,0,0,'Données projet'!$E$12+1,1))</f>
        <v>169.62156467157178</v>
      </c>
      <c r="CE55" s="59">
        <f t="shared" si="40"/>
        <v>85.631326020763254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213.19999999999973</v>
      </c>
      <c r="CU55" s="17">
        <f>CT55*VLOOKUP('Données projet'!$B$13,Paramètres!$A$1:$I$89,3,0)*VLOOKUP('Données projet'!$B$13,Paramètres!$A$1:$I$89,5,0)</f>
        <v>172.94783999999979</v>
      </c>
      <c r="CV55" s="13">
        <f t="shared" si="41"/>
        <v>43.749579650767998</v>
      </c>
      <c r="CW55" s="20">
        <f t="shared" si="13"/>
        <v>377.41467255842053</v>
      </c>
      <c r="CX55" s="59">
        <f t="shared" si="14"/>
        <v>670.74800589175379</v>
      </c>
      <c r="CY55" s="59">
        <f ca="1">AVERAGE(OFFSET($CX$3,0,0,'Données projet'!$E$13+1,1))-AVERAGE(OFFSET($H$3,0,0,'Données projet'!$E$13+1,1))</f>
        <v>234.59657655504111</v>
      </c>
      <c r="CZ55" s="59">
        <f t="shared" si="42"/>
        <v>285.10598666479211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4.6220878890812616</v>
      </c>
      <c r="DH55" s="21">
        <f>EXP(-LN(2)/2)*DH54+(1-EXP(-LN(2)/2))/(LN(2)/2)*DB55*DE55*VLOOKUP('Données projet'!$B$13,Paramètres!$A$1:$I$89,3,0)*0.475*44/12</f>
        <v>5.3576998740756318E-3</v>
      </c>
      <c r="DI55" s="22">
        <f t="shared" si="15"/>
        <v>4.6274455889553368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5.5</v>
      </c>
      <c r="DO55" s="12">
        <f>IF('Données projet'!$A$166&gt;35,DO54+DN55-DW54,IF(A55&lt;'Données projet'!$A$166,$DL$205^A55,IF(A55='Données projet'!$A$166,'Données projet'!$B$166,DO54+DN55-DW54)))</f>
        <v>118.00000000000004</v>
      </c>
      <c r="DP55" s="17">
        <f>DO55*VLOOKUP('Données projet'!$B$14,Paramètres!$A$1:$I$89,3,0)*VLOOKUP('Données projet'!$B$14,Paramètres!$A$1:$I$89,5,0)</f>
        <v>114.12960000000004</v>
      </c>
      <c r="DQ55" s="13">
        <f t="shared" si="43"/>
        <v>30.301853799069086</v>
      </c>
      <c r="DR55" s="20">
        <f t="shared" si="16"/>
        <v>251.55144870004537</v>
      </c>
      <c r="DS55" s="59">
        <f t="shared" si="17"/>
        <v>544.88478203337866</v>
      </c>
      <c r="DT55" s="59">
        <f ca="1">AVERAGE(OFFSET($DS$3,0,0,'Données projet'!$E$14+1,1))-AVERAGE(OFFSET($H$3,0,0,'Données projet'!$E$14+1,1))</f>
        <v>186.90852124957956</v>
      </c>
      <c r="DU55" s="59">
        <f t="shared" si="44"/>
        <v>93.013797128776446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5.5</v>
      </c>
      <c r="EJ55" s="12">
        <f>IF('Données projet'!$A$192&gt;35,EJ54+EI55-ER54,IF(A55&lt;'Données projet'!$A$192,$EG$205^A55,IF(A55='Données projet'!$A$192,'Données projet'!$B$192,EJ54+EI55-ER54)))</f>
        <v>118.00000000000004</v>
      </c>
      <c r="EK55" s="17">
        <f>EJ55*VLOOKUP('Données projet'!$B$15,Paramètres!$A$1:$I$89,3,0)*VLOOKUP('Données projet'!$B$15,Paramètres!$A$1:$I$89,5,0)</f>
        <v>127.01520000000005</v>
      </c>
      <c r="EL55" s="13">
        <f t="shared" si="45"/>
        <v>33.305730090317383</v>
      </c>
      <c r="EM55" s="20">
        <f t="shared" si="19"/>
        <v>279.22561990730281</v>
      </c>
      <c r="EN55" s="59">
        <f t="shared" si="20"/>
        <v>572.55895324063613</v>
      </c>
      <c r="EO55" s="59">
        <f ca="1">AVERAGE(OFFSET($EN$3,0,0,'Données projet'!$E$15+1,1))-AVERAGE(OFFSET($H$3,0,0,'Données projet'!$E$15+1,1))</f>
        <v>217.10418688911096</v>
      </c>
      <c r="EP55" s="59">
        <f t="shared" si="46"/>
        <v>105.90631421515786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5.125</v>
      </c>
      <c r="N56" s="13">
        <f>IF('Données projet'!$A$36&gt;35,N55+M56-V55,IF(A56&lt;'Données projet'!$A$36,$K$205^A56,IF(A56='Données projet'!$A$36,'Données projet'!$B$36,N55+M56-V55)))</f>
        <v>240.875</v>
      </c>
      <c r="O56" s="13">
        <f>N56*VLOOKUP('Données projet'!$B$9,Paramètres!$A$1:$I$89,3,0)*VLOOKUP('Données projet'!$B$9,Paramètres!$A$1:$I$89,5,0)</f>
        <v>144.04325000000003</v>
      </c>
      <c r="P56" s="13">
        <f t="shared" si="33"/>
        <v>37.221716895868184</v>
      </c>
      <c r="Q56" s="20">
        <f t="shared" si="53"/>
        <v>315.70315067697044</v>
      </c>
      <c r="R56" s="59">
        <f t="shared" si="0"/>
        <v>609.03648401030375</v>
      </c>
      <c r="S56" s="59">
        <f ca="1">AVERAGE(OFFSET($R$3,0,0,'Données projet'!$E$9+1,1))-AVERAGE(OFFSET($H$3,0,0,'Données projet'!$E$9+1,1))</f>
        <v>145.19188637714888</v>
      </c>
      <c r="T56" s="59">
        <f t="shared" si="34"/>
        <v>169.74069292032493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1.4028913885879137</v>
      </c>
      <c r="AA56" s="21">
        <f>EXP(-LN(2)/25)*AA55+(1-EXP(-LN(2)/25))/(LN(2)/25)*Calculateur!V56*Calculateur!X56*VLOOKUP('Données projet'!$B$9,Paramètres!$A$1:$I$89,3,0)*0.475*44/12</f>
        <v>4.574556969568639</v>
      </c>
      <c r="AB56" s="21">
        <f>EXP(-LN(2)/2)*AB55+(1-EXP(-LN(2)/2))/(LN(2)/2)*V56*Y56*VLOOKUP('Données projet'!$B$9,Paramètres!$A$1:$I$89,3,0)*0.475*44/12</f>
        <v>1.396785386451743E-3</v>
      </c>
      <c r="AC56" s="22">
        <f t="shared" si="3"/>
        <v>5.9788451435430039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6.4</v>
      </c>
      <c r="AI56" s="13">
        <f>IF('Données projet'!$A$62&gt;35,AI55+AH56-AQ55,IF(A56&lt;'Données projet'!$A$62,$AF$205^A56,IF(A56='Données projet'!$A$62,'Données projet'!$B$62,AI55+AH56-AQ55)))</f>
        <v>200.19999999999993</v>
      </c>
      <c r="AJ56" s="13">
        <f>AI56*VLOOKUP('Données projet'!$B$10,Paramètres!$A$1:$I$89,3,0)*VLOOKUP('Données projet'!$B$10,Paramètres!$A$1:$I$89,5,0)</f>
        <v>174.89471999999995</v>
      </c>
      <c r="AK56" s="13">
        <f t="shared" si="35"/>
        <v>44.184460410211564</v>
      </c>
      <c r="AL56" s="20">
        <f t="shared" si="4"/>
        <v>381.56290588111841</v>
      </c>
      <c r="AM56" s="59">
        <f t="shared" si="5"/>
        <v>674.89623921445173</v>
      </c>
      <c r="AN56" s="59">
        <f ca="1">AVERAGE(OFFSET($AM$3,0,0,'Données projet'!$E$10+1,1))-AVERAGE(OFFSET($H$3,0,0,'Données projet'!$E$10+1,1))</f>
        <v>254.24072778190163</v>
      </c>
      <c r="AO56" s="59">
        <f t="shared" si="36"/>
        <v>356.78706780980383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1.9486785272180098</v>
      </c>
      <c r="AV56" s="21">
        <f>EXP(-LN(2)/25)*AV55+(1-EXP(-LN(2)/25))/(LN(2)/25)*Calculateur!AQ56*Calculateur!AS56*VLOOKUP('Données projet'!$B$10,Paramètres!$A$1:$I$89,3,0)*0.475*44/12</f>
        <v>9.3505954839827101</v>
      </c>
      <c r="AW56" s="21">
        <f>EXP(-LN(2)/2)*AW55+(1-EXP(-LN(2)/2))/(LN(2)/2)*AQ56*AT56*VLOOKUP('Données projet'!$B$10,Paramètres!$A$1:$I$89,3,0)*0.475*44/12</f>
        <v>9.5880664689243014E-3</v>
      </c>
      <c r="AX56" s="21">
        <f t="shared" si="6"/>
        <v>11.308862077669643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11.4</v>
      </c>
      <c r="BD56" s="12">
        <f>IF('Données projet'!$A$88&gt;35,BD55+BC56-BL55,IF(A56&lt;'Données projet'!$A$88,$BA$205^A56,IF(A56='Données projet'!$A$88,'Données projet'!$B$88,BD55+BC56-BL55)))</f>
        <v>307.19999999999993</v>
      </c>
      <c r="BE56" s="13">
        <f>BD56*VLOOKUP('Données projet'!$B$11,Paramètres!$A$1:$I$89,3,0)*VLOOKUP('Données projet'!$B$11,Paramètres!$A$1:$I$89,5,0)</f>
        <v>183.70559999999998</v>
      </c>
      <c r="BF56" s="13">
        <f t="shared" si="37"/>
        <v>46.145633597806309</v>
      </c>
      <c r="BG56" s="20">
        <f t="shared" si="7"/>
        <v>400.32423184951267</v>
      </c>
      <c r="BH56" s="59">
        <f t="shared" si="8"/>
        <v>693.65756518284593</v>
      </c>
      <c r="BI56" s="59">
        <f ca="1">AVERAGE(OFFSET($BH$3,0,0,'Données projet'!$E$11+1,1))-AVERAGE(OFFSET($H$3,0,0,'Données projet'!$E$11+1,1))</f>
        <v>246.59447135626942</v>
      </c>
      <c r="BJ56" s="59">
        <f t="shared" si="38"/>
        <v>262.00382544285367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6.7909516911167565</v>
      </c>
      <c r="BR56" s="21">
        <f>EXP(-LN(2)/2)*BR55+(1-EXP(-LN(2)/2))/(LN(2)/2)*BL56*BO56*VLOOKUP('Données projet'!$B$11,Paramètres!$A$1:$I$89,3,0)*0.475*44/12</f>
        <v>8.1929644921842539E-3</v>
      </c>
      <c r="BS56" s="22">
        <f t="shared" si="9"/>
        <v>6.7991446556089405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5.5</v>
      </c>
      <c r="BY56" s="12">
        <f>IF('Données projet'!$A$114&gt;35,BY55+BX56-CG55,IF(A56&lt;'Données projet'!$A$114,$BV$205^A56,IF(A56='Données projet'!$A$114,'Données projet'!$B$114,BY55+BX56-CG55)))</f>
        <v>123.50000000000004</v>
      </c>
      <c r="BZ56" s="13">
        <f>BY56*VLOOKUP('Données projet'!$B$12,Paramètres!$A$1:$I$89,3,0)*VLOOKUP('Données projet'!$B$12,Paramètres!$A$1:$I$89,5,0)</f>
        <v>111.74280000000005</v>
      </c>
      <c r="CA56" s="13">
        <f t="shared" si="39"/>
        <v>29.741225429709573</v>
      </c>
      <c r="CB56" s="20">
        <f t="shared" si="10"/>
        <v>246.41801095674421</v>
      </c>
      <c r="CC56" s="59">
        <f t="shared" si="11"/>
        <v>539.75134429007755</v>
      </c>
      <c r="CD56" s="59">
        <f ca="1">AVERAGE(OFFSET($CC$3,0,0,'Données projet'!$E$12+1,1))-AVERAGE(OFFSET($H$3,0,0,'Données projet'!$E$12+1,1))</f>
        <v>169.62156467157178</v>
      </c>
      <c r="CE56" s="59">
        <f t="shared" si="40"/>
        <v>85.631326020763254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218.79999999999973</v>
      </c>
      <c r="CU56" s="17">
        <f>CT56*VLOOKUP('Données projet'!$B$13,Paramètres!$A$1:$I$89,3,0)*VLOOKUP('Données projet'!$B$13,Paramètres!$A$1:$I$89,5,0)</f>
        <v>177.49055999999979</v>
      </c>
      <c r="CV56" s="13">
        <f t="shared" si="41"/>
        <v>44.763426632624252</v>
      </c>
      <c r="CW56" s="20">
        <f t="shared" si="13"/>
        <v>387.09236005182021</v>
      </c>
      <c r="CX56" s="59">
        <f t="shared" si="14"/>
        <v>680.42569338515352</v>
      </c>
      <c r="CY56" s="59">
        <f ca="1">AVERAGE(OFFSET($CX$3,0,0,'Données projet'!$E$13+1,1))-AVERAGE(OFFSET($H$3,0,0,'Données projet'!$E$13+1,1))</f>
        <v>234.59657655504111</v>
      </c>
      <c r="CZ56" s="59">
        <f t="shared" si="42"/>
        <v>285.10598666479211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4.4956966526892961</v>
      </c>
      <c r="DH56" s="21">
        <f>EXP(-LN(2)/2)*DH55+(1-EXP(-LN(2)/2))/(LN(2)/2)*DB56*DE56*VLOOKUP('Données projet'!$B$13,Paramètres!$A$1:$I$89,3,0)*0.475*44/12</f>
        <v>3.7884659125211914E-3</v>
      </c>
      <c r="DI56" s="22">
        <f t="shared" si="15"/>
        <v>4.4994851186018172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5.5</v>
      </c>
      <c r="DO56" s="12">
        <f>IF('Données projet'!$A$166&gt;35,DO55+DN56-DW55,IF(A56&lt;'Données projet'!$A$166,$DL$205^A56,IF(A56='Données projet'!$A$166,'Données projet'!$B$166,DO55+DN56-DW55)))</f>
        <v>123.50000000000004</v>
      </c>
      <c r="DP56" s="17">
        <f>DO56*VLOOKUP('Données projet'!$B$14,Paramètres!$A$1:$I$89,3,0)*VLOOKUP('Données projet'!$B$14,Paramètres!$A$1:$I$89,5,0)</f>
        <v>119.44920000000003</v>
      </c>
      <c r="DQ56" s="13">
        <f t="shared" si="43"/>
        <v>31.54649986262719</v>
      </c>
      <c r="DR56" s="20">
        <f t="shared" si="16"/>
        <v>262.9841772607424</v>
      </c>
      <c r="DS56" s="59">
        <f t="shared" si="17"/>
        <v>556.31751059407566</v>
      </c>
      <c r="DT56" s="59">
        <f ca="1">AVERAGE(OFFSET($DS$3,0,0,'Données projet'!$E$14+1,1))-AVERAGE(OFFSET($H$3,0,0,'Données projet'!$E$14+1,1))</f>
        <v>186.90852124957956</v>
      </c>
      <c r="DU56" s="59">
        <f t="shared" si="44"/>
        <v>93.013797128776446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5.5</v>
      </c>
      <c r="EJ56" s="12">
        <f>IF('Données projet'!$A$192&gt;35,EJ55+EI56-ER55,IF(A56&lt;'Données projet'!$A$192,$EG$205^A56,IF(A56='Données projet'!$A$192,'Données projet'!$B$192,EJ55+EI56-ER55)))</f>
        <v>123.50000000000004</v>
      </c>
      <c r="EK56" s="17">
        <f>EJ56*VLOOKUP('Données projet'!$B$15,Paramètres!$A$1:$I$89,3,0)*VLOOKUP('Données projet'!$B$15,Paramètres!$A$1:$I$89,5,0)</f>
        <v>132.93540000000004</v>
      </c>
      <c r="EL56" s="13">
        <f t="shared" si="45"/>
        <v>34.673760116655764</v>
      </c>
      <c r="EM56" s="20">
        <f t="shared" si="19"/>
        <v>291.91928720317554</v>
      </c>
      <c r="EN56" s="59">
        <f t="shared" si="20"/>
        <v>585.25262053650886</v>
      </c>
      <c r="EO56" s="59">
        <f ca="1">AVERAGE(OFFSET($EN$3,0,0,'Données projet'!$E$15+1,1))-AVERAGE(OFFSET($H$3,0,0,'Données projet'!$E$15+1,1))</f>
        <v>217.10418688911096</v>
      </c>
      <c r="EP56" s="59">
        <f t="shared" si="46"/>
        <v>105.90631421515786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246</v>
      </c>
      <c r="L57" s="12">
        <f>VLOOKUP(A57,'Données projet'!$A$35:$I$55,9,0)</f>
        <v>5.125</v>
      </c>
      <c r="M57" s="12">
        <f t="array" ref="M57">INDEX(L:L,MIN(IF(ISNUMBER(L57:L253),ROW(L57:L253),"")))</f>
        <v>5.125</v>
      </c>
      <c r="N57" s="13">
        <f>IF('Données projet'!$A$36&gt;35,N56+M57-V56,IF(A57&lt;'Données projet'!$A$36,$K$205^A57,IF(A57='Données projet'!$A$36,'Données projet'!$B$36,N56+M57-V56)))</f>
        <v>246</v>
      </c>
      <c r="O57" s="13">
        <f>N57*VLOOKUP('Données projet'!$B$9,Paramètres!$A$1:$I$89,3,0)*VLOOKUP('Données projet'!$B$9,Paramètres!$A$1:$I$89,5,0)</f>
        <v>147.10800000000003</v>
      </c>
      <c r="P57" s="13">
        <f t="shared" si="33"/>
        <v>37.920625436598897</v>
      </c>
      <c r="Q57" s="20">
        <f t="shared" si="53"/>
        <v>322.25818930207646</v>
      </c>
      <c r="R57" s="59">
        <f t="shared" si="0"/>
        <v>615.59152263540977</v>
      </c>
      <c r="S57" s="59">
        <f ca="1">AVERAGE(OFFSET($R$3,0,0,'Données projet'!$E$9+1,1))-AVERAGE(OFFSET($H$3,0,0,'Données projet'!$E$9+1,1))</f>
        <v>145.19188637714888</v>
      </c>
      <c r="T57" s="59">
        <f t="shared" si="34"/>
        <v>169.74069292032493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22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1.3753815441369606</v>
      </c>
      <c r="AA57" s="21">
        <f>EXP(-LN(2)/25)*AA56+(1-EXP(-LN(2)/25))/(LN(2)/25)*Calculateur!V57*Calculateur!X57*VLOOKUP('Données projet'!$B$9,Paramètres!$A$1:$I$89,3,0)*0.475*44/12</f>
        <v>4.4494654686702892</v>
      </c>
      <c r="AB57" s="21">
        <f>EXP(-LN(2)/2)*AB56+(1-EXP(-LN(2)/2))/(LN(2)/2)*V57*Y57*VLOOKUP('Données projet'!$B$9,Paramètres!$A$1:$I$89,3,0)*0.475*44/12</f>
        <v>9.8767641862229985E-4</v>
      </c>
      <c r="AC57" s="22">
        <f t="shared" si="3"/>
        <v>5.8258346892258723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6.4</v>
      </c>
      <c r="AI57" s="13">
        <f>IF('Données projet'!$A$62&gt;35,AI56+AH57-AQ56,IF(A57&lt;'Données projet'!$A$62,$AF$205^A57,IF(A57='Données projet'!$A$62,'Données projet'!$B$62,AI56+AH57-AQ56)))</f>
        <v>206.59999999999994</v>
      </c>
      <c r="AJ57" s="13">
        <f>AI57*VLOOKUP('Données projet'!$B$10,Paramètres!$A$1:$I$89,3,0)*VLOOKUP('Données projet'!$B$10,Paramètres!$A$1:$I$89,5,0)</f>
        <v>180.48575999999997</v>
      </c>
      <c r="AK57" s="13">
        <f t="shared" si="35"/>
        <v>45.430241859839398</v>
      </c>
      <c r="AL57" s="20">
        <f t="shared" si="4"/>
        <v>393.47036990588686</v>
      </c>
      <c r="AM57" s="59">
        <f t="shared" si="5"/>
        <v>686.80370323922011</v>
      </c>
      <c r="AN57" s="59">
        <f ca="1">AVERAGE(OFFSET($AM$3,0,0,'Données projet'!$E$10+1,1))-AVERAGE(OFFSET($H$3,0,0,'Données projet'!$E$10+1,1))</f>
        <v>254.24072778190163</v>
      </c>
      <c r="AO57" s="59">
        <f t="shared" si="36"/>
        <v>356.78706780980383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1.9104661298758041</v>
      </c>
      <c r="AV57" s="21">
        <f>EXP(-LN(2)/25)*AV56+(1-EXP(-LN(2)/25))/(LN(2)/25)*Calculateur!AQ57*Calculateur!AS57*VLOOKUP('Données projet'!$B$10,Paramètres!$A$1:$I$89,3,0)*0.475*44/12</f>
        <v>9.0949029587467578</v>
      </c>
      <c r="AW57" s="21">
        <f>EXP(-LN(2)/2)*AW56+(1-EXP(-LN(2)/2))/(LN(2)/2)*AQ57*AT57*VLOOKUP('Données projet'!$B$10,Paramètres!$A$1:$I$89,3,0)*0.475*44/12</f>
        <v>6.7797868186437295E-3</v>
      </c>
      <c r="AX57" s="21">
        <f t="shared" si="6"/>
        <v>11.012148875441206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11.4</v>
      </c>
      <c r="BD57" s="12">
        <f>IF('Données projet'!$A$88&gt;35,BD56+BC57-BL56,IF(A57&lt;'Données projet'!$A$88,$BA$205^A57,IF(A57='Données projet'!$A$88,'Données projet'!$B$88,BD56+BC57-BL56)))</f>
        <v>318.59999999999991</v>
      </c>
      <c r="BE57" s="13">
        <f>BD57*VLOOKUP('Données projet'!$B$11,Paramètres!$A$1:$I$89,3,0)*VLOOKUP('Données projet'!$B$11,Paramètres!$A$1:$I$89,5,0)</f>
        <v>190.52279999999996</v>
      </c>
      <c r="BF57" s="13">
        <f t="shared" si="37"/>
        <v>47.655518017541539</v>
      </c>
      <c r="BG57" s="20">
        <f t="shared" si="7"/>
        <v>414.82723721388476</v>
      </c>
      <c r="BH57" s="59">
        <f t="shared" si="8"/>
        <v>708.16057054721807</v>
      </c>
      <c r="BI57" s="59">
        <f ca="1">AVERAGE(OFFSET($BH$3,0,0,'Données projet'!$E$11+1,1))-AVERAGE(OFFSET($H$3,0,0,'Données projet'!$E$11+1,1))</f>
        <v>246.59447135626942</v>
      </c>
      <c r="BJ57" s="59">
        <f t="shared" si="38"/>
        <v>262.00382544285367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6.6052527600025401</v>
      </c>
      <c r="BR57" s="21">
        <f>EXP(-LN(2)/2)*BR56+(1-EXP(-LN(2)/2))/(LN(2)/2)*BL57*BO57*VLOOKUP('Données projet'!$B$11,Paramètres!$A$1:$I$89,3,0)*0.475*44/12</f>
        <v>5.7933007504440848E-3</v>
      </c>
      <c r="BS57" s="22">
        <f t="shared" si="9"/>
        <v>6.611046060752984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5.5</v>
      </c>
      <c r="BY57" s="12">
        <f>IF('Données projet'!$A$114&gt;35,BY56+BX57-CG56,IF(A57&lt;'Données projet'!$A$114,$BV$205^A57,IF(A57='Données projet'!$A$114,'Données projet'!$B$114,BY56+BX57-CG56)))</f>
        <v>129.00000000000006</v>
      </c>
      <c r="BZ57" s="13">
        <f>BY57*VLOOKUP('Données projet'!$B$12,Paramètres!$A$1:$I$89,3,0)*VLOOKUP('Données projet'!$B$12,Paramètres!$A$1:$I$89,5,0)</f>
        <v>116.71920000000004</v>
      </c>
      <c r="CA57" s="13">
        <f t="shared" si="39"/>
        <v>30.908576435525916</v>
      </c>
      <c r="CB57" s="20">
        <f t="shared" si="10"/>
        <v>257.11837729187437</v>
      </c>
      <c r="CC57" s="59">
        <f t="shared" si="11"/>
        <v>550.45171062520762</v>
      </c>
      <c r="CD57" s="59">
        <f ca="1">AVERAGE(OFFSET($CC$3,0,0,'Données projet'!$E$12+1,1))-AVERAGE(OFFSET($H$3,0,0,'Données projet'!$E$12+1,1))</f>
        <v>169.62156467157178</v>
      </c>
      <c r="CE57" s="59">
        <f t="shared" si="40"/>
        <v>85.631326020763254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224.39999999999972</v>
      </c>
      <c r="CU57" s="17">
        <f>CT57*VLOOKUP('Données projet'!$B$13,Paramètres!$A$1:$I$89,3,0)*VLOOKUP('Données projet'!$B$13,Paramètres!$A$1:$I$89,5,0)</f>
        <v>182.03327999999979</v>
      </c>
      <c r="CV57" s="13">
        <f t="shared" si="41"/>
        <v>45.774257349740196</v>
      </c>
      <c r="CW57" s="20">
        <f t="shared" si="13"/>
        <v>396.76479421746376</v>
      </c>
      <c r="CX57" s="59">
        <f t="shared" si="14"/>
        <v>690.09812755079702</v>
      </c>
      <c r="CY57" s="59">
        <f ca="1">AVERAGE(OFFSET($CX$3,0,0,'Données projet'!$E$13+1,1))-AVERAGE(OFFSET($H$3,0,0,'Données projet'!$E$13+1,1))</f>
        <v>234.59657655504111</v>
      </c>
      <c r="CZ57" s="59">
        <f t="shared" si="42"/>
        <v>285.10598666479211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4.3727615913030951</v>
      </c>
      <c r="DH57" s="21">
        <f>EXP(-LN(2)/2)*DH56+(1-EXP(-LN(2)/2))/(LN(2)/2)*DB57*DE57*VLOOKUP('Données projet'!$B$13,Paramètres!$A$1:$I$89,3,0)*0.475*44/12</f>
        <v>2.6788499370378163E-3</v>
      </c>
      <c r="DI57" s="22">
        <f t="shared" si="15"/>
        <v>4.3754404412401326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5.5</v>
      </c>
      <c r="DO57" s="12">
        <f>IF('Données projet'!$A$166&gt;35,DO56+DN57-DW56,IF(A57&lt;'Données projet'!$A$166,$DL$205^A57,IF(A57='Données projet'!$A$166,'Données projet'!$B$166,DO56+DN57-DW56)))</f>
        <v>129.00000000000006</v>
      </c>
      <c r="DP57" s="17">
        <f>DO57*VLOOKUP('Données projet'!$B$14,Paramètres!$A$1:$I$89,3,0)*VLOOKUP('Données projet'!$B$14,Paramètres!$A$1:$I$89,5,0)</f>
        <v>124.76880000000006</v>
      </c>
      <c r="DQ57" s="13">
        <f t="shared" si="43"/>
        <v>32.784708369928126</v>
      </c>
      <c r="DR57" s="20">
        <f t="shared" si="16"/>
        <v>274.40569374429157</v>
      </c>
      <c r="DS57" s="59">
        <f t="shared" si="17"/>
        <v>567.73902707762488</v>
      </c>
      <c r="DT57" s="59">
        <f ca="1">AVERAGE(OFFSET($DS$3,0,0,'Données projet'!$E$14+1,1))-AVERAGE(OFFSET($H$3,0,0,'Données projet'!$E$14+1,1))</f>
        <v>186.90852124957956</v>
      </c>
      <c r="DU57" s="59">
        <f t="shared" si="44"/>
        <v>93.013797128776446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5.5</v>
      </c>
      <c r="EJ57" s="12">
        <f>IF('Données projet'!$A$192&gt;35,EJ56+EI57-ER56,IF(A57&lt;'Données projet'!$A$192,$EG$205^A57,IF(A57='Données projet'!$A$192,'Données projet'!$B$192,EJ56+EI57-ER56)))</f>
        <v>129.00000000000006</v>
      </c>
      <c r="EK57" s="17">
        <f>EJ57*VLOOKUP('Données projet'!$B$15,Paramètres!$A$1:$I$89,3,0)*VLOOKUP('Données projet'!$B$15,Paramètres!$A$1:$I$89,5,0)</f>
        <v>138.85560000000007</v>
      </c>
      <c r="EL57" s="13">
        <f t="shared" si="45"/>
        <v>36.034714420414154</v>
      </c>
      <c r="EM57" s="20">
        <f t="shared" si="19"/>
        <v>304.60063094888807</v>
      </c>
      <c r="EN57" s="59">
        <f t="shared" si="20"/>
        <v>597.93396428222138</v>
      </c>
      <c r="EO57" s="59">
        <f ca="1">AVERAGE(OFFSET($EN$3,0,0,'Données projet'!$E$15+1,1))-AVERAGE(OFFSET($H$3,0,0,'Données projet'!$E$15+1,1))</f>
        <v>217.10418688911096</v>
      </c>
      <c r="EP57" s="59">
        <f t="shared" si="46"/>
        <v>105.90631421515786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2.125</v>
      </c>
      <c r="N58" s="13">
        <f>IF('Données projet'!$A$36&gt;35,N57+M58-V57,IF(A58&lt;'Données projet'!$A$36,$K$205^A58,IF(A58='Données projet'!$A$36,'Données projet'!$B$36,N57+M58-V57)))</f>
        <v>226.125</v>
      </c>
      <c r="O58" s="13">
        <f>N58*VLOOKUP('Données projet'!$B$9,Paramètres!$A$1:$I$89,3,0)*VLOOKUP('Données projet'!$B$9,Paramètres!$A$1:$I$89,5,0)</f>
        <v>135.22274999999999</v>
      </c>
      <c r="P58" s="13">
        <f t="shared" si="33"/>
        <v>35.200403047414646</v>
      </c>
      <c r="Q58" s="20">
        <f t="shared" si="53"/>
        <v>296.82032489091381</v>
      </c>
      <c r="R58" s="59">
        <f t="shared" si="0"/>
        <v>590.15365822424712</v>
      </c>
      <c r="S58" s="59">
        <f ca="1">AVERAGE(OFFSET($R$3,0,0,'Données projet'!$E$9+1,1))-AVERAGE(OFFSET($H$3,0,0,'Données projet'!$E$9+1,1))</f>
        <v>145.19188637714888</v>
      </c>
      <c r="T58" s="59">
        <f t="shared" si="34"/>
        <v>169.74069292032493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1.3484111509563421</v>
      </c>
      <c r="AA58" s="21">
        <f>EXP(-LN(2)/25)*AA57+(1-EXP(-LN(2)/25))/(LN(2)/25)*Calculateur!V58*Calculateur!X58*VLOOKUP('Données projet'!$B$9,Paramètres!$A$1:$I$89,3,0)*0.475*44/12</f>
        <v>4.3277946014422808</v>
      </c>
      <c r="AB58" s="21">
        <f>EXP(-LN(2)/2)*AB57+(1-EXP(-LN(2)/2))/(LN(2)/2)*V58*Y58*VLOOKUP('Données projet'!$B$9,Paramètres!$A$1:$I$89,3,0)*0.475*44/12</f>
        <v>6.983926932258715E-4</v>
      </c>
      <c r="AC58" s="22">
        <f t="shared" si="3"/>
        <v>5.6769041450918492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6.4</v>
      </c>
      <c r="AI58" s="13">
        <f>IF('Données projet'!$A$62&gt;35,AI57+AH58-AQ57,IF(A58&lt;'Données projet'!$A$62,$AF$205^A58,IF(A58='Données projet'!$A$62,'Données projet'!$B$62,AI57+AH58-AQ57)))</f>
        <v>212.99999999999994</v>
      </c>
      <c r="AJ58" s="13">
        <f>AI58*VLOOKUP('Données projet'!$B$10,Paramètres!$A$1:$I$89,3,0)*VLOOKUP('Données projet'!$B$10,Paramètres!$A$1:$I$89,5,0)</f>
        <v>186.07679999999996</v>
      </c>
      <c r="AK58" s="13">
        <f t="shared" si="35"/>
        <v>46.671538591528673</v>
      </c>
      <c r="AL58" s="20">
        <f t="shared" si="4"/>
        <v>405.37002304691237</v>
      </c>
      <c r="AM58" s="59">
        <f t="shared" si="5"/>
        <v>698.70335638024562</v>
      </c>
      <c r="AN58" s="59">
        <f ca="1">AVERAGE(OFFSET($AM$3,0,0,'Données projet'!$E$10+1,1))-AVERAGE(OFFSET($H$3,0,0,'Données projet'!$E$10+1,1))</f>
        <v>254.24072778190163</v>
      </c>
      <c r="AO58" s="59">
        <f t="shared" si="36"/>
        <v>356.78706780980383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1.8730030543382181</v>
      </c>
      <c r="AV58" s="21">
        <f>EXP(-LN(2)/25)*AV57+(1-EXP(-LN(2)/25))/(LN(2)/25)*Calculateur!AQ58*Calculateur!AS58*VLOOKUP('Données projet'!$B$10,Paramètres!$A$1:$I$89,3,0)*0.475*44/12</f>
        <v>8.8462023590596672</v>
      </c>
      <c r="AW58" s="21">
        <f>EXP(-LN(2)/2)*AW57+(1-EXP(-LN(2)/2))/(LN(2)/2)*AQ58*AT58*VLOOKUP('Données projet'!$B$10,Paramètres!$A$1:$I$89,3,0)*0.475*44/12</f>
        <v>4.7940332344621507E-3</v>
      </c>
      <c r="AX58" s="21">
        <f t="shared" si="6"/>
        <v>10.723999446632348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11.4</v>
      </c>
      <c r="BD58" s="12">
        <f>IF('Données projet'!$A$88&gt;35,BD57+BC58-BL57,IF(A58&lt;'Données projet'!$A$88,$BA$205^A58,IF(A58='Données projet'!$A$88,'Données projet'!$B$88,BD57+BC58-BL57)))</f>
        <v>329.99999999999989</v>
      </c>
      <c r="BE58" s="13">
        <f>BD58*VLOOKUP('Données projet'!$B$11,Paramètres!$A$1:$I$89,3,0)*VLOOKUP('Données projet'!$B$11,Paramètres!$A$1:$I$89,5,0)</f>
        <v>197.33999999999995</v>
      </c>
      <c r="BF58" s="13">
        <f t="shared" si="37"/>
        <v>49.159125474269977</v>
      </c>
      <c r="BG58" s="20">
        <f t="shared" si="7"/>
        <v>429.31931020102019</v>
      </c>
      <c r="BH58" s="59">
        <f t="shared" si="8"/>
        <v>722.6526435343535</v>
      </c>
      <c r="BI58" s="59">
        <f ca="1">AVERAGE(OFFSET($BH$3,0,0,'Données projet'!$E$11+1,1))-AVERAGE(OFFSET($H$3,0,0,'Données projet'!$E$11+1,1))</f>
        <v>246.59447135626942</v>
      </c>
      <c r="BJ58" s="59">
        <f t="shared" si="38"/>
        <v>262.00382544285367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6.4246317759251248</v>
      </c>
      <c r="BR58" s="21">
        <f>EXP(-LN(2)/2)*BR57+(1-EXP(-LN(2)/2))/(LN(2)/2)*BL58*BO58*VLOOKUP('Données projet'!$B$11,Paramètres!$A$1:$I$89,3,0)*0.475*44/12</f>
        <v>4.096482246092127E-3</v>
      </c>
      <c r="BS58" s="22">
        <f t="shared" si="9"/>
        <v>6.4287282581712173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5.5</v>
      </c>
      <c r="BY58" s="12">
        <f>IF('Données projet'!$A$114&gt;35,BY57+BX58-CG57,IF(A58&lt;'Données projet'!$A$114,$BV$205^A58,IF(A58='Données projet'!$A$114,'Données projet'!$B$114,BY57+BX58-CG57)))</f>
        <v>134.50000000000006</v>
      </c>
      <c r="BZ58" s="13">
        <f>BY58*VLOOKUP('Données projet'!$B$12,Paramètres!$A$1:$I$89,3,0)*VLOOKUP('Données projet'!$B$12,Paramètres!$A$1:$I$89,5,0)</f>
        <v>121.69560000000006</v>
      </c>
      <c r="CA58" s="13">
        <f t="shared" si="39"/>
        <v>32.070146624846814</v>
      </c>
      <c r="CB58" s="20">
        <f t="shared" si="10"/>
        <v>267.80867537160833</v>
      </c>
      <c r="CC58" s="59">
        <f t="shared" si="11"/>
        <v>561.14200870494165</v>
      </c>
      <c r="CD58" s="59">
        <f ca="1">AVERAGE(OFFSET($CC$3,0,0,'Données projet'!$E$12+1,1))-AVERAGE(OFFSET($H$3,0,0,'Données projet'!$E$12+1,1))</f>
        <v>169.62156467157178</v>
      </c>
      <c r="CE58" s="59">
        <f t="shared" si="40"/>
        <v>85.631326020763254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229.99999999999972</v>
      </c>
      <c r="CU58" s="17">
        <f>CT58*VLOOKUP('Données projet'!$B$13,Paramètres!$A$1:$I$89,3,0)*VLOOKUP('Données projet'!$B$13,Paramètres!$A$1:$I$89,5,0)</f>
        <v>186.57599999999977</v>
      </c>
      <c r="CV58" s="13">
        <f t="shared" si="41"/>
        <v>46.782155731694232</v>
      </c>
      <c r="CW58" s="20">
        <f t="shared" si="13"/>
        <v>406.43212123270035</v>
      </c>
      <c r="CX58" s="59">
        <f t="shared" si="14"/>
        <v>699.76545456603367</v>
      </c>
      <c r="CY58" s="59">
        <f ca="1">AVERAGE(OFFSET($CX$3,0,0,'Données projet'!$E$13+1,1))-AVERAGE(OFFSET($H$3,0,0,'Données projet'!$E$13+1,1))</f>
        <v>234.59657655504111</v>
      </c>
      <c r="CZ58" s="59">
        <f t="shared" si="42"/>
        <v>285.10598666479211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4.2531881956353743</v>
      </c>
      <c r="DH58" s="21">
        <f>EXP(-LN(2)/2)*DH57+(1-EXP(-LN(2)/2))/(LN(2)/2)*DB58*DE58*VLOOKUP('Données projet'!$B$13,Paramètres!$A$1:$I$89,3,0)*0.475*44/12</f>
        <v>1.8942329562605959E-3</v>
      </c>
      <c r="DI58" s="22">
        <f t="shared" si="15"/>
        <v>4.2550824285916349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5.5</v>
      </c>
      <c r="DO58" s="12">
        <f>IF('Données projet'!$A$166&gt;35,DO57+DN58-DW57,IF(A58&lt;'Données projet'!$A$166,$DL$205^A58,IF(A58='Données projet'!$A$166,'Données projet'!$B$166,DO57+DN58-DW57)))</f>
        <v>134.50000000000006</v>
      </c>
      <c r="DP58" s="17">
        <f>DO58*VLOOKUP('Données projet'!$B$14,Paramètres!$A$1:$I$89,3,0)*VLOOKUP('Données projet'!$B$14,Paramètres!$A$1:$I$89,5,0)</f>
        <v>130.08840000000004</v>
      </c>
      <c r="DQ58" s="13">
        <f t="shared" si="43"/>
        <v>34.016785168661507</v>
      </c>
      <c r="DR58" s="20">
        <f t="shared" si="16"/>
        <v>285.81653083541886</v>
      </c>
      <c r="DS58" s="59">
        <f t="shared" si="17"/>
        <v>579.14986416875217</v>
      </c>
      <c r="DT58" s="59">
        <f ca="1">AVERAGE(OFFSET($DS$3,0,0,'Données projet'!$E$14+1,1))-AVERAGE(OFFSET($H$3,0,0,'Données projet'!$E$14+1,1))</f>
        <v>186.90852124957956</v>
      </c>
      <c r="DU58" s="59">
        <f t="shared" si="44"/>
        <v>93.013797128776446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5.5</v>
      </c>
      <c r="EJ58" s="12">
        <f>IF('Données projet'!$A$192&gt;35,EJ57+EI58-ER57,IF(A58&lt;'Données projet'!$A$192,$EG$205^A58,IF(A58='Données projet'!$A$192,'Données projet'!$B$192,EJ57+EI58-ER57)))</f>
        <v>134.50000000000006</v>
      </c>
      <c r="EK58" s="17">
        <f>EJ58*VLOOKUP('Données projet'!$B$15,Paramètres!$A$1:$I$89,3,0)*VLOOKUP('Données projet'!$B$15,Paramètres!$A$1:$I$89,5,0)</f>
        <v>144.77580000000006</v>
      </c>
      <c r="EL58" s="13">
        <f t="shared" si="45"/>
        <v>37.388929168503786</v>
      </c>
      <c r="EM58" s="20">
        <f t="shared" si="19"/>
        <v>317.27023663514416</v>
      </c>
      <c r="EN58" s="59">
        <f t="shared" si="20"/>
        <v>610.60356996847747</v>
      </c>
      <c r="EO58" s="59">
        <f ca="1">AVERAGE(OFFSET($EN$3,0,0,'Données projet'!$E$15+1,1))-AVERAGE(OFFSET($H$3,0,0,'Données projet'!$E$15+1,1))</f>
        <v>217.10418688911096</v>
      </c>
      <c r="EP58" s="59">
        <f t="shared" si="46"/>
        <v>105.90631421515786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2.125</v>
      </c>
      <c r="N59" s="13">
        <f>IF('Données projet'!$A$36&gt;35,N58+M59-V58,IF(A59&lt;'Données projet'!$A$36,$K$205^A59,IF(A59='Données projet'!$A$36,'Données projet'!$B$36,N58+M59-V58)))</f>
        <v>228.25</v>
      </c>
      <c r="O59" s="13">
        <f>N59*VLOOKUP('Données projet'!$B$9,Paramètres!$A$1:$I$89,3,0)*VLOOKUP('Données projet'!$B$9,Paramètres!$A$1:$I$89,5,0)</f>
        <v>136.49350000000001</v>
      </c>
      <c r="P59" s="13">
        <f t="shared" si="33"/>
        <v>35.492533566506438</v>
      </c>
      <c r="Q59" s="20">
        <f t="shared" si="53"/>
        <v>299.54234179499872</v>
      </c>
      <c r="R59" s="59">
        <f t="shared" si="0"/>
        <v>592.87567512833198</v>
      </c>
      <c r="S59" s="59">
        <f ca="1">AVERAGE(OFFSET($R$3,0,0,'Données projet'!$E$9+1,1))-AVERAGE(OFFSET($H$3,0,0,'Données projet'!$E$9+1,1))</f>
        <v>145.19188637714888</v>
      </c>
      <c r="T59" s="59">
        <f t="shared" si="34"/>
        <v>169.74069292032493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1.3219696307356801</v>
      </c>
      <c r="AA59" s="21">
        <f>EXP(-LN(2)/25)*AA58+(1-EXP(-LN(2)/25))/(LN(2)/25)*Calculateur!V59*Calculateur!X59*VLOOKUP('Données projet'!$B$9,Paramètres!$A$1:$I$89,3,0)*0.475*44/12</f>
        <v>4.2094508304770146</v>
      </c>
      <c r="AB59" s="21">
        <f>EXP(-LN(2)/2)*AB58+(1-EXP(-LN(2)/2))/(LN(2)/2)*V59*Y59*VLOOKUP('Données projet'!$B$9,Paramètres!$A$1:$I$89,3,0)*0.475*44/12</f>
        <v>4.9383820931114993E-4</v>
      </c>
      <c r="AC59" s="22">
        <f t="shared" si="3"/>
        <v>5.5319142994220059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6.4</v>
      </c>
      <c r="AI59" s="13">
        <f>IF('Données projet'!$A$62&gt;35,AI58+AH59-AQ58,IF(A59&lt;'Données projet'!$A$62,$AF$205^A59,IF(A59='Données projet'!$A$62,'Données projet'!$B$62,AI58+AH59-AQ58)))</f>
        <v>219.39999999999995</v>
      </c>
      <c r="AJ59" s="13">
        <f>AI59*VLOOKUP('Données projet'!$B$10,Paramètres!$A$1:$I$89,3,0)*VLOOKUP('Données projet'!$B$10,Paramètres!$A$1:$I$89,5,0)</f>
        <v>191.66783999999998</v>
      </c>
      <c r="AK59" s="13">
        <f t="shared" si="35"/>
        <v>47.908500825580958</v>
      </c>
      <c r="AL59" s="20">
        <f t="shared" si="4"/>
        <v>417.26212693788676</v>
      </c>
      <c r="AM59" s="59">
        <f t="shared" si="5"/>
        <v>710.59546027122008</v>
      </c>
      <c r="AN59" s="59">
        <f ca="1">AVERAGE(OFFSET($AM$3,0,0,'Données projet'!$E$10+1,1))-AVERAGE(OFFSET($H$3,0,0,'Données projet'!$E$10+1,1))</f>
        <v>254.24072778190163</v>
      </c>
      <c r="AO59" s="59">
        <f t="shared" si="36"/>
        <v>356.78706780980383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1.8362746068617044</v>
      </c>
      <c r="AV59" s="21">
        <f>EXP(-LN(2)/25)*AV58+(1-EXP(-LN(2)/25))/(LN(2)/25)*Calculateur!AQ59*Calculateur!AS59*VLOOKUP('Données projet'!$B$10,Paramètres!$A$1:$I$89,3,0)*0.475*44/12</f>
        <v>8.6043024903496175</v>
      </c>
      <c r="AW59" s="21">
        <f>EXP(-LN(2)/2)*AW58+(1-EXP(-LN(2)/2))/(LN(2)/2)*AQ59*AT59*VLOOKUP('Données projet'!$B$10,Paramètres!$A$1:$I$89,3,0)*0.475*44/12</f>
        <v>3.3898934093218648E-3</v>
      </c>
      <c r="AX59" s="21">
        <f t="shared" si="6"/>
        <v>10.443966990620643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11.4</v>
      </c>
      <c r="BD59" s="12">
        <f>IF('Données projet'!$A$88&gt;35,BD58+BC59-BL58,IF(A59&lt;'Données projet'!$A$88,$BA$205^A59,IF(A59='Données projet'!$A$88,'Données projet'!$B$88,BD58+BC59-BL58)))</f>
        <v>341.39999999999986</v>
      </c>
      <c r="BE59" s="13">
        <f>BD59*VLOOKUP('Données projet'!$B$11,Paramètres!$A$1:$I$89,3,0)*VLOOKUP('Données projet'!$B$11,Paramètres!$A$1:$I$89,5,0)</f>
        <v>204.15719999999996</v>
      </c>
      <c r="BF59" s="13">
        <f t="shared" si="37"/>
        <v>50.656697660408256</v>
      </c>
      <c r="BG59" s="20">
        <f t="shared" si="7"/>
        <v>443.80087175854425</v>
      </c>
      <c r="BH59" s="59">
        <f t="shared" si="8"/>
        <v>737.13420509187756</v>
      </c>
      <c r="BI59" s="59">
        <f ca="1">AVERAGE(OFFSET($BH$3,0,0,'Données projet'!$E$11+1,1))-AVERAGE(OFFSET($H$3,0,0,'Données projet'!$E$11+1,1))</f>
        <v>246.59447135626942</v>
      </c>
      <c r="BJ59" s="59">
        <f t="shared" si="38"/>
        <v>262.00382544285367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6.2489498821557508</v>
      </c>
      <c r="BR59" s="21">
        <f>EXP(-LN(2)/2)*BR58+(1-EXP(-LN(2)/2))/(LN(2)/2)*BL59*BO59*VLOOKUP('Données projet'!$B$11,Paramètres!$A$1:$I$89,3,0)*0.475*44/12</f>
        <v>2.8966503752220424E-3</v>
      </c>
      <c r="BS59" s="22">
        <f t="shared" si="9"/>
        <v>6.2518465325309727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5.5</v>
      </c>
      <c r="BY59" s="12">
        <f>IF('Données projet'!$A$114&gt;35,BY58+BX59-CG58,IF(A59&lt;'Données projet'!$A$114,$BV$205^A59,IF(A59='Données projet'!$A$114,'Données projet'!$B$114,BY58+BX59-CG58)))</f>
        <v>140.00000000000006</v>
      </c>
      <c r="BZ59" s="13">
        <f>BY59*VLOOKUP('Données projet'!$B$12,Paramètres!$A$1:$I$89,3,0)*VLOOKUP('Données projet'!$B$12,Paramètres!$A$1:$I$89,5,0)</f>
        <v>126.67200000000005</v>
      </c>
      <c r="CA59" s="13">
        <f t="shared" si="39"/>
        <v>33.226199426361347</v>
      </c>
      <c r="CB59" s="20">
        <f t="shared" si="10"/>
        <v>278.48936400091276</v>
      </c>
      <c r="CC59" s="59">
        <f t="shared" si="11"/>
        <v>571.82269733424607</v>
      </c>
      <c r="CD59" s="59">
        <f ca="1">AVERAGE(OFFSET($CC$3,0,0,'Données projet'!$E$12+1,1))-AVERAGE(OFFSET($H$3,0,0,'Données projet'!$E$12+1,1))</f>
        <v>169.62156467157178</v>
      </c>
      <c r="CE59" s="59">
        <f t="shared" si="40"/>
        <v>85.631326020763254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5.6</v>
      </c>
      <c r="CT59" s="12">
        <f>IF('Données projet'!$A$140&gt;35,CT58+CS59-DB58,IF(A59&lt;'Données projet'!$A$140,$CQ$205^A59,IF(A59='Données projet'!$A$140,'Données projet'!$B$140,CT58+CS59-DB58)))</f>
        <v>235.59999999999971</v>
      </c>
      <c r="CU59" s="17">
        <f>CT59*VLOOKUP('Données projet'!$B$13,Paramètres!$A$1:$I$89,3,0)*VLOOKUP('Données projet'!$B$13,Paramètres!$A$1:$I$89,5,0)</f>
        <v>191.1187199999998</v>
      </c>
      <c r="CV59" s="13">
        <f t="shared" si="41"/>
        <v>47.787201388032102</v>
      </c>
      <c r="CW59" s="20">
        <f t="shared" si="13"/>
        <v>416.09447975082225</v>
      </c>
      <c r="CX59" s="59">
        <f t="shared" si="14"/>
        <v>709.42781308415556</v>
      </c>
      <c r="CY59" s="59">
        <f ca="1">AVERAGE(OFFSET($CX$3,0,0,'Données projet'!$E$13+1,1))-AVERAGE(OFFSET($H$3,0,0,'Données projet'!$E$13+1,1))</f>
        <v>234.59657655504111</v>
      </c>
      <c r="CZ59" s="59">
        <f t="shared" si="42"/>
        <v>285.10598666479211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4.1368845407602786</v>
      </c>
      <c r="DH59" s="21">
        <f>EXP(-LN(2)/2)*DH58+(1-EXP(-LN(2)/2))/(LN(2)/2)*DB59*DE59*VLOOKUP('Données projet'!$B$13,Paramètres!$A$1:$I$89,3,0)*0.475*44/12</f>
        <v>1.3394249685189084E-3</v>
      </c>
      <c r="DI59" s="22">
        <f t="shared" si="15"/>
        <v>4.1382239657287974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5.5</v>
      </c>
      <c r="DO59" s="12">
        <f>IF('Données projet'!$A$166&gt;35,DO58+DN59-DW58,IF(A59&lt;'Données projet'!$A$166,$DL$205^A59,IF(A59='Données projet'!$A$166,'Données projet'!$B$166,DO58+DN59-DW58)))</f>
        <v>140.00000000000006</v>
      </c>
      <c r="DP59" s="17">
        <f>DO59*VLOOKUP('Données projet'!$B$14,Paramètres!$A$1:$I$89,3,0)*VLOOKUP('Données projet'!$B$14,Paramètres!$A$1:$I$89,5,0)</f>
        <v>135.40800000000007</v>
      </c>
      <c r="DQ59" s="13">
        <f t="shared" si="43"/>
        <v>35.243009677478732</v>
      </c>
      <c r="DR59" s="20">
        <f t="shared" si="16"/>
        <v>297.21717518827558</v>
      </c>
      <c r="DS59" s="59">
        <f t="shared" si="17"/>
        <v>590.55050852160889</v>
      </c>
      <c r="DT59" s="59">
        <f ca="1">AVERAGE(OFFSET($DS$3,0,0,'Données projet'!$E$14+1,1))-AVERAGE(OFFSET($H$3,0,0,'Données projet'!$E$14+1,1))</f>
        <v>186.90852124957956</v>
      </c>
      <c r="DU59" s="59">
        <f t="shared" si="44"/>
        <v>93.013797128776446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5.5</v>
      </c>
      <c r="EJ59" s="12">
        <f>IF('Données projet'!$A$192&gt;35,EJ58+EI59-ER58,IF(A59&lt;'Données projet'!$A$192,$EG$205^A59,IF(A59='Données projet'!$A$192,'Données projet'!$B$192,EJ58+EI59-ER58)))</f>
        <v>140.00000000000006</v>
      </c>
      <c r="EK59" s="17">
        <f>EJ59*VLOOKUP('Données projet'!$B$15,Paramètres!$A$1:$I$89,3,0)*VLOOKUP('Données projet'!$B$15,Paramètres!$A$1:$I$89,5,0)</f>
        <v>150.69600000000005</v>
      </c>
      <c r="EL59" s="13">
        <f t="shared" si="45"/>
        <v>38.736711478840633</v>
      </c>
      <c r="EM59" s="20">
        <f t="shared" si="19"/>
        <v>329.92863915898084</v>
      </c>
      <c r="EN59" s="59">
        <f t="shared" si="20"/>
        <v>623.26197249231416</v>
      </c>
      <c r="EO59" s="59">
        <f ca="1">AVERAGE(OFFSET($EN$3,0,0,'Données projet'!$E$15+1,1))-AVERAGE(OFFSET($H$3,0,0,'Données projet'!$E$15+1,1))</f>
        <v>217.10418688911096</v>
      </c>
      <c r="EP59" s="59">
        <f t="shared" si="46"/>
        <v>105.90631421515786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2.125</v>
      </c>
      <c r="N60" s="13">
        <f>IF('Données projet'!$A$36&gt;35,N59+M60-V59,IF(A60&lt;'Données projet'!$A$36,$K$205^A60,IF(A60='Données projet'!$A$36,'Données projet'!$B$36,N59+M60-V59)))</f>
        <v>230.375</v>
      </c>
      <c r="O60" s="13">
        <f>N60*VLOOKUP('Données projet'!$B$9,Paramètres!$A$1:$I$89,3,0)*VLOOKUP('Données projet'!$B$9,Paramètres!$A$1:$I$89,5,0)</f>
        <v>137.76425000000003</v>
      </c>
      <c r="P60" s="13">
        <f t="shared" si="33"/>
        <v>35.784347676183451</v>
      </c>
      <c r="Q60" s="20">
        <f t="shared" si="53"/>
        <v>302.26380761935292</v>
      </c>
      <c r="R60" s="59">
        <f t="shared" si="0"/>
        <v>595.59714095268623</v>
      </c>
      <c r="S60" s="59">
        <f ca="1">AVERAGE(OFFSET($R$3,0,0,'Données projet'!$E$9+1,1))-AVERAGE(OFFSET($H$3,0,0,'Données projet'!$E$9+1,1))</f>
        <v>145.19188637714888</v>
      </c>
      <c r="T60" s="59">
        <f t="shared" si="34"/>
        <v>169.74069292032493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1.2960466125988104</v>
      </c>
      <c r="AA60" s="21">
        <f>EXP(-LN(2)/25)*AA59+(1-EXP(-LN(2)/25))/(LN(2)/25)*Calculateur!V60*Calculateur!X60*VLOOKUP('Données projet'!$B$9,Paramètres!$A$1:$I$89,3,0)*0.475*44/12</f>
        <v>4.094343176152222</v>
      </c>
      <c r="AB60" s="21">
        <f>EXP(-LN(2)/2)*AB59+(1-EXP(-LN(2)/2))/(LN(2)/2)*V60*Y60*VLOOKUP('Données projet'!$B$9,Paramètres!$A$1:$I$89,3,0)*0.475*44/12</f>
        <v>3.4919634661293575E-4</v>
      </c>
      <c r="AC60" s="22">
        <f t="shared" si="3"/>
        <v>5.390738985097645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6.4</v>
      </c>
      <c r="AI60" s="13">
        <f>IF('Données projet'!$A$62&gt;35,AI59+AH60-AQ59,IF(A60&lt;'Données projet'!$A$62,$AF$205^A60,IF(A60='Données projet'!$A$62,'Données projet'!$B$62,AI59+AH60-AQ59)))</f>
        <v>225.79999999999995</v>
      </c>
      <c r="AJ60" s="13">
        <f>AI60*VLOOKUP('Données projet'!$B$10,Paramètres!$A$1:$I$89,3,0)*VLOOKUP('Données projet'!$B$10,Paramètres!$A$1:$I$89,5,0)</f>
        <v>197.25888</v>
      </c>
      <c r="AK60" s="13">
        <f t="shared" si="35"/>
        <v>49.141269519991567</v>
      </c>
      <c r="AL60" s="20">
        <f t="shared" si="4"/>
        <v>429.14692708065195</v>
      </c>
      <c r="AM60" s="59">
        <f t="shared" si="5"/>
        <v>722.48026041398521</v>
      </c>
      <c r="AN60" s="59">
        <f ca="1">AVERAGE(OFFSET($AM$3,0,0,'Données projet'!$E$10+1,1))-AVERAGE(OFFSET($H$3,0,0,'Données projet'!$E$10+1,1))</f>
        <v>254.24072778190163</v>
      </c>
      <c r="AO60" s="59">
        <f t="shared" si="36"/>
        <v>356.78706780980383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1.800266381838064</v>
      </c>
      <c r="AV60" s="21">
        <f>EXP(-LN(2)/25)*AV59+(1-EXP(-LN(2)/25))/(LN(2)/25)*Calculateur!AQ60*Calculateur!AS60*VLOOKUP('Données projet'!$B$10,Paramètres!$A$1:$I$89,3,0)*0.475*44/12</f>
        <v>8.3690173862704054</v>
      </c>
      <c r="AW60" s="21">
        <f>EXP(-LN(2)/2)*AW59+(1-EXP(-LN(2)/2))/(LN(2)/2)*AQ60*AT60*VLOOKUP('Données projet'!$B$10,Paramètres!$A$1:$I$89,3,0)*0.475*44/12</f>
        <v>2.3970166172310754E-3</v>
      </c>
      <c r="AX60" s="21">
        <f t="shared" si="6"/>
        <v>10.1716807847257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11.4</v>
      </c>
      <c r="BD60" s="12">
        <f>IF('Données projet'!$A$88&gt;35,BD59+BC60-BL59,IF(A60&lt;'Données projet'!$A$88,$BA$205^A60,IF(A60='Données projet'!$A$88,'Données projet'!$B$88,BD59+BC60-BL59)))</f>
        <v>352.79999999999984</v>
      </c>
      <c r="BE60" s="13">
        <f>BD60*VLOOKUP('Données projet'!$B$11,Paramètres!$A$1:$I$89,3,0)*VLOOKUP('Données projet'!$B$11,Paramètres!$A$1:$I$89,5,0)</f>
        <v>210.97439999999992</v>
      </c>
      <c r="BF60" s="13">
        <f t="shared" si="37"/>
        <v>52.148459211324706</v>
      </c>
      <c r="BG60" s="20">
        <f t="shared" si="7"/>
        <v>458.27231312639037</v>
      </c>
      <c r="BH60" s="59">
        <f t="shared" si="8"/>
        <v>751.60564645972363</v>
      </c>
      <c r="BI60" s="59">
        <f ca="1">AVERAGE(OFFSET($BH$3,0,0,'Données projet'!$E$11+1,1))-AVERAGE(OFFSET($H$3,0,0,'Données projet'!$E$11+1,1))</f>
        <v>246.59447135626942</v>
      </c>
      <c r="BJ60" s="59">
        <f t="shared" si="38"/>
        <v>262.00382544285367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6.07807201901021</v>
      </c>
      <c r="BR60" s="21">
        <f>EXP(-LN(2)/2)*BR59+(1-EXP(-LN(2)/2))/(LN(2)/2)*BL60*BO60*VLOOKUP('Données projet'!$B$11,Paramètres!$A$1:$I$89,3,0)*0.475*44/12</f>
        <v>2.0482411230460635E-3</v>
      </c>
      <c r="BS60" s="22">
        <f t="shared" si="9"/>
        <v>6.0801202601332562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5.5</v>
      </c>
      <c r="BY60" s="12">
        <f>IF('Données projet'!$A$114&gt;35,BY59+BX60-CG59,IF(A60&lt;'Données projet'!$A$114,$BV$205^A60,IF(A60='Données projet'!$A$114,'Données projet'!$B$114,BY59+BX60-CG59)))</f>
        <v>145.50000000000006</v>
      </c>
      <c r="BZ60" s="13">
        <f>BY60*VLOOKUP('Données projet'!$B$12,Paramètres!$A$1:$I$89,3,0)*VLOOKUP('Données projet'!$B$12,Paramètres!$A$1:$I$89,5,0)</f>
        <v>131.64840000000004</v>
      </c>
      <c r="CA60" s="13">
        <f t="shared" si="39"/>
        <v>34.376976398956401</v>
      </c>
      <c r="CB60" s="20">
        <f t="shared" si="10"/>
        <v>289.16086389484911</v>
      </c>
      <c r="CC60" s="59">
        <f t="shared" si="11"/>
        <v>582.49419722818243</v>
      </c>
      <c r="CD60" s="59">
        <f ca="1">AVERAGE(OFFSET($CC$3,0,0,'Données projet'!$E$12+1,1))-AVERAGE(OFFSET($H$3,0,0,'Données projet'!$E$12+1,1))</f>
        <v>169.62156467157178</v>
      </c>
      <c r="CE60" s="59">
        <f t="shared" si="40"/>
        <v>85.631326020763254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5.6</v>
      </c>
      <c r="CT60" s="12">
        <f>IF('Données projet'!$A$140&gt;35,CT59+CS60-DB59,IF(A60&lt;'Données projet'!$A$140,$CQ$205^A60,IF(A60='Données projet'!$A$140,'Données projet'!$B$140,CT59+CS60-DB59)))</f>
        <v>241.1999999999997</v>
      </c>
      <c r="CU60" s="17">
        <f>CT60*VLOOKUP('Données projet'!$B$13,Paramètres!$A$1:$I$89,3,0)*VLOOKUP('Données projet'!$B$13,Paramètres!$A$1:$I$89,5,0)</f>
        <v>195.66143999999977</v>
      </c>
      <c r="CV60" s="13">
        <f t="shared" si="41"/>
        <v>48.789469927948474</v>
      </c>
      <c r="CW60" s="20">
        <f t="shared" si="13"/>
        <v>425.75200145784316</v>
      </c>
      <c r="CX60" s="59">
        <f t="shared" si="14"/>
        <v>719.08533479117648</v>
      </c>
      <c r="CY60" s="59">
        <f ca="1">AVERAGE(OFFSET($CX$3,0,0,'Données projet'!$E$13+1,1))-AVERAGE(OFFSET($H$3,0,0,'Données projet'!$E$13+1,1))</f>
        <v>234.59657655504111</v>
      </c>
      <c r="CZ60" s="59">
        <f t="shared" si="42"/>
        <v>285.10598666479211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4.0237612154438853</v>
      </c>
      <c r="DH60" s="21">
        <f>EXP(-LN(2)/2)*DH59+(1-EXP(-LN(2)/2))/(LN(2)/2)*DB60*DE60*VLOOKUP('Données projet'!$B$13,Paramètres!$A$1:$I$89,3,0)*0.475*44/12</f>
        <v>9.4711647813029817E-4</v>
      </c>
      <c r="DI60" s="22">
        <f t="shared" si="15"/>
        <v>4.0247083319220156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5.5</v>
      </c>
      <c r="DO60" s="12">
        <f>IF('Données projet'!$A$166&gt;35,DO59+DN60-DW59,IF(A60&lt;'Données projet'!$A$166,$DL$205^A60,IF(A60='Données projet'!$A$166,'Données projet'!$B$166,DO59+DN60-DW59)))</f>
        <v>145.50000000000006</v>
      </c>
      <c r="DP60" s="17">
        <f>DO60*VLOOKUP('Données projet'!$B$14,Paramètres!$A$1:$I$89,3,0)*VLOOKUP('Données projet'!$B$14,Paramètres!$A$1:$I$89,5,0)</f>
        <v>140.72760000000005</v>
      </c>
      <c r="DQ60" s="13">
        <f t="shared" si="43"/>
        <v>36.463638117745354</v>
      </c>
      <c r="DR60" s="20">
        <f t="shared" si="16"/>
        <v>308.60807305507319</v>
      </c>
      <c r="DS60" s="59">
        <f t="shared" si="17"/>
        <v>601.94140638840645</v>
      </c>
      <c r="DT60" s="59">
        <f ca="1">AVERAGE(OFFSET($DS$3,0,0,'Données projet'!$E$14+1,1))-AVERAGE(OFFSET($H$3,0,0,'Données projet'!$E$14+1,1))</f>
        <v>186.90852124957956</v>
      </c>
      <c r="DU60" s="59">
        <f t="shared" si="44"/>
        <v>93.013797128776446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5.5</v>
      </c>
      <c r="EJ60" s="12">
        <f>IF('Données projet'!$A$192&gt;35,EJ59+EI60-ER59,IF(A60&lt;'Données projet'!$A$192,$EG$205^A60,IF(A60='Données projet'!$A$192,'Données projet'!$B$192,EJ59+EI60-ER59)))</f>
        <v>145.50000000000006</v>
      </c>
      <c r="EK60" s="17">
        <f>EJ60*VLOOKUP('Données projet'!$B$15,Paramètres!$A$1:$I$89,3,0)*VLOOKUP('Données projet'!$B$15,Paramètres!$A$1:$I$89,5,0)</f>
        <v>156.61620000000005</v>
      </c>
      <c r="EL60" s="13">
        <f t="shared" si="45"/>
        <v>40.078342972466785</v>
      </c>
      <c r="EM60" s="20">
        <f t="shared" si="19"/>
        <v>342.57632901037965</v>
      </c>
      <c r="EN60" s="59">
        <f t="shared" si="20"/>
        <v>635.90966234371297</v>
      </c>
      <c r="EO60" s="59">
        <f ca="1">AVERAGE(OFFSET($EN$3,0,0,'Données projet'!$E$15+1,1))-AVERAGE(OFFSET($H$3,0,0,'Données projet'!$E$15+1,1))</f>
        <v>217.10418688911096</v>
      </c>
      <c r="EP60" s="59">
        <f t="shared" si="46"/>
        <v>105.90631421515786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2.125</v>
      </c>
      <c r="N61" s="13">
        <f>IF('Données projet'!$A$36&gt;35,N60+M61-V60,IF(A61&lt;'Données projet'!$A$36,$K$205^A61,IF(A61='Données projet'!$A$36,'Données projet'!$B$36,N60+M61-V60)))</f>
        <v>232.5</v>
      </c>
      <c r="O61" s="13">
        <f>N61*VLOOKUP('Données projet'!$B$9,Paramètres!$A$1:$I$89,3,0)*VLOOKUP('Données projet'!$B$9,Paramètres!$A$1:$I$89,5,0)</f>
        <v>139.035</v>
      </c>
      <c r="P61" s="13">
        <f t="shared" si="33"/>
        <v>36.0758486331029</v>
      </c>
      <c r="Q61" s="20">
        <f t="shared" si="53"/>
        <v>304.98472803598753</v>
      </c>
      <c r="R61" s="59">
        <f t="shared" si="0"/>
        <v>598.31806136932084</v>
      </c>
      <c r="S61" s="59">
        <f ca="1">AVERAGE(OFFSET($R$3,0,0,'Données projet'!$E$9+1,1))-AVERAGE(OFFSET($H$3,0,0,'Données projet'!$E$9+1,1))</f>
        <v>145.19188637714888</v>
      </c>
      <c r="T61" s="59">
        <f t="shared" si="34"/>
        <v>169.74069292032493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1.270631929036125</v>
      </c>
      <c r="AA61" s="21">
        <f>EXP(-LN(2)/25)*AA60+(1-EXP(-LN(2)/25))/(LN(2)/25)*Calculateur!V61*Calculateur!X61*VLOOKUP('Données projet'!$B$9,Paramètres!$A$1:$I$89,3,0)*0.475*44/12</f>
        <v>3.9823831466881896</v>
      </c>
      <c r="AB61" s="21">
        <f>EXP(-LN(2)/2)*AB60+(1-EXP(-LN(2)/2))/(LN(2)/2)*V61*Y61*VLOOKUP('Données projet'!$B$9,Paramètres!$A$1:$I$89,3,0)*0.475*44/12</f>
        <v>2.4691910465557496E-4</v>
      </c>
      <c r="AC61" s="22">
        <f t="shared" si="3"/>
        <v>5.2532619948289696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6.4</v>
      </c>
      <c r="AI61" s="13">
        <f>IF('Données projet'!$A$62&gt;35,AI60+AH61-AQ60,IF(A61&lt;'Données projet'!$A$62,$AF$205^A61,IF(A61='Données projet'!$A$62,'Données projet'!$B$62,AI60+AH61-AQ60)))</f>
        <v>232.19999999999996</v>
      </c>
      <c r="AJ61" s="13">
        <f>AI61*VLOOKUP('Données projet'!$B$10,Paramètres!$A$1:$I$89,3,0)*VLOOKUP('Données projet'!$B$10,Paramètres!$A$1:$I$89,5,0)</f>
        <v>202.84991999999997</v>
      </c>
      <c r="AK61" s="13">
        <f t="shared" si="35"/>
        <v>50.369977187686075</v>
      </c>
      <c r="AL61" s="20">
        <f t="shared" si="4"/>
        <v>441.02465426855321</v>
      </c>
      <c r="AM61" s="59">
        <f t="shared" si="5"/>
        <v>734.35798760188652</v>
      </c>
      <c r="AN61" s="59">
        <f ca="1">AVERAGE(OFFSET($AM$3,0,0,'Données projet'!$E$10+1,1))-AVERAGE(OFFSET($H$3,0,0,'Données projet'!$E$10+1,1))</f>
        <v>254.24072778190163</v>
      </c>
      <c r="AO61" s="59">
        <f t="shared" si="36"/>
        <v>356.78706780980383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1.7649642561442886</v>
      </c>
      <c r="AV61" s="21">
        <f>EXP(-LN(2)/25)*AV60+(1-EXP(-LN(2)/25))/(LN(2)/25)*Calculateur!AQ61*Calculateur!AS61*VLOOKUP('Données projet'!$B$10,Paramètres!$A$1:$I$89,3,0)*0.475*44/12</f>
        <v>8.1401661657353444</v>
      </c>
      <c r="AW61" s="21">
        <f>EXP(-LN(2)/2)*AW60+(1-EXP(-LN(2)/2))/(LN(2)/2)*AQ61*AT61*VLOOKUP('Données projet'!$B$10,Paramètres!$A$1:$I$89,3,0)*0.475*44/12</f>
        <v>1.6949467046609324E-3</v>
      </c>
      <c r="AX61" s="21">
        <f t="shared" si="6"/>
        <v>9.9068253685842933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11.4</v>
      </c>
      <c r="BD61" s="12">
        <f>IF('Données projet'!$A$88&gt;35,BD60+BC61-BL60,IF(A61&lt;'Données projet'!$A$88,$BA$205^A61,IF(A61='Données projet'!$A$88,'Données projet'!$B$88,BD60+BC61-BL60)))</f>
        <v>364.19999999999982</v>
      </c>
      <c r="BE61" s="13">
        <f>BD61*VLOOKUP('Données projet'!$B$11,Paramètres!$A$1:$I$89,3,0)*VLOOKUP('Données projet'!$B$11,Paramètres!$A$1:$I$89,5,0)</f>
        <v>217.7915999999999</v>
      </c>
      <c r="BF61" s="13">
        <f t="shared" si="37"/>
        <v>53.634619420976641</v>
      </c>
      <c r="BG61" s="20">
        <f t="shared" si="7"/>
        <v>472.73399882486751</v>
      </c>
      <c r="BH61" s="59">
        <f t="shared" si="8"/>
        <v>766.06733215820077</v>
      </c>
      <c r="BI61" s="59">
        <f ca="1">AVERAGE(OFFSET($BH$3,0,0,'Données projet'!$E$11+1,1))-AVERAGE(OFFSET($H$3,0,0,'Données projet'!$E$11+1,1))</f>
        <v>246.59447135626942</v>
      </c>
      <c r="BJ61" s="59">
        <f t="shared" si="38"/>
        <v>262.00382544285367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5.9118668200184601</v>
      </c>
      <c r="BR61" s="21">
        <f>EXP(-LN(2)/2)*BR60+(1-EXP(-LN(2)/2))/(LN(2)/2)*BL61*BO61*VLOOKUP('Données projet'!$B$11,Paramètres!$A$1:$I$89,3,0)*0.475*44/12</f>
        <v>1.4483251876110212E-3</v>
      </c>
      <c r="BS61" s="22">
        <f t="shared" si="9"/>
        <v>5.913315145206071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5.5</v>
      </c>
      <c r="BY61" s="12">
        <f>IF('Données projet'!$A$114&gt;35,BY60+BX61-CG60,IF(A61&lt;'Données projet'!$A$114,$BV$205^A61,IF(A61='Données projet'!$A$114,'Données projet'!$B$114,BY60+BX61-CG60)))</f>
        <v>151.00000000000006</v>
      </c>
      <c r="BZ61" s="13">
        <f>BY61*VLOOKUP('Données projet'!$B$12,Paramètres!$A$1:$I$89,3,0)*VLOOKUP('Données projet'!$B$12,Paramètres!$A$1:$I$89,5,0)</f>
        <v>136.62480000000005</v>
      </c>
      <c r="CA61" s="13">
        <f t="shared" si="39"/>
        <v>35.522699804888632</v>
      </c>
      <c r="CB61" s="20">
        <f t="shared" si="10"/>
        <v>299.82356216018115</v>
      </c>
      <c r="CC61" s="59">
        <f t="shared" si="11"/>
        <v>593.15689549351441</v>
      </c>
      <c r="CD61" s="59">
        <f ca="1">AVERAGE(OFFSET($CC$3,0,0,'Données projet'!$E$12+1,1))-AVERAGE(OFFSET($H$3,0,0,'Données projet'!$E$12+1,1))</f>
        <v>169.62156467157178</v>
      </c>
      <c r="CE61" s="59">
        <f t="shared" si="40"/>
        <v>85.631326020763254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5.6</v>
      </c>
      <c r="CT61" s="12">
        <f>IF('Données projet'!$A$140&gt;35,CT60+CS61-DB60,IF(A61&lt;'Données projet'!$A$140,$CQ$205^A61,IF(A61='Données projet'!$A$140,'Données projet'!$B$140,CT60+CS61-DB60)))</f>
        <v>246.7999999999997</v>
      </c>
      <c r="CU61" s="17">
        <f>CT61*VLOOKUP('Données projet'!$B$13,Paramètres!$A$1:$I$89,3,0)*VLOOKUP('Données projet'!$B$13,Paramètres!$A$1:$I$89,5,0)</f>
        <v>200.20415999999977</v>
      </c>
      <c r="CV61" s="13">
        <f t="shared" si="41"/>
        <v>49.789033249442454</v>
      </c>
      <c r="CW61" s="20">
        <f t="shared" si="13"/>
        <v>435.40481157611185</v>
      </c>
      <c r="CX61" s="59">
        <f t="shared" si="14"/>
        <v>728.73814490944517</v>
      </c>
      <c r="CY61" s="59">
        <f ca="1">AVERAGE(OFFSET($CX$3,0,0,'Données projet'!$E$13+1,1))-AVERAGE(OFFSET($H$3,0,0,'Données projet'!$E$13+1,1))</f>
        <v>234.59657655504111</v>
      </c>
      <c r="CZ61" s="59">
        <f t="shared" si="42"/>
        <v>285.10598666479211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3.9137312534071662</v>
      </c>
      <c r="DH61" s="21">
        <f>EXP(-LN(2)/2)*DH60+(1-EXP(-LN(2)/2))/(LN(2)/2)*DB61*DE61*VLOOKUP('Données projet'!$B$13,Paramètres!$A$1:$I$89,3,0)*0.475*44/12</f>
        <v>6.697124842594543E-4</v>
      </c>
      <c r="DI61" s="22">
        <f t="shared" si="15"/>
        <v>3.9144009658914256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5.5</v>
      </c>
      <c r="DO61" s="12">
        <f>IF('Données projet'!$A$166&gt;35,DO60+DN61-DW60,IF(A61&lt;'Données projet'!$A$166,$DL$205^A61,IF(A61='Données projet'!$A$166,'Données projet'!$B$166,DO60+DN61-DW60)))</f>
        <v>151.00000000000006</v>
      </c>
      <c r="DP61" s="17">
        <f>DO61*VLOOKUP('Données projet'!$B$14,Paramètres!$A$1:$I$89,3,0)*VLOOKUP('Données projet'!$B$14,Paramètres!$A$1:$I$89,5,0)</f>
        <v>146.04720000000006</v>
      </c>
      <c r="DQ61" s="13">
        <f t="shared" si="43"/>
        <v>37.678906242902855</v>
      </c>
      <c r="DR61" s="20">
        <f t="shared" si="16"/>
        <v>319.9896350397226</v>
      </c>
      <c r="DS61" s="59">
        <f t="shared" si="17"/>
        <v>613.32296837305591</v>
      </c>
      <c r="DT61" s="59">
        <f ca="1">AVERAGE(OFFSET($DS$3,0,0,'Données projet'!$E$14+1,1))-AVERAGE(OFFSET($H$3,0,0,'Données projet'!$E$14+1,1))</f>
        <v>186.90852124957956</v>
      </c>
      <c r="DU61" s="59">
        <f t="shared" si="44"/>
        <v>93.013797128776446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5.5</v>
      </c>
      <c r="EJ61" s="12">
        <f>IF('Données projet'!$A$192&gt;35,EJ60+EI61-ER60,IF(A61&lt;'Données projet'!$A$192,$EG$205^A61,IF(A61='Données projet'!$A$192,'Données projet'!$B$192,EJ60+EI61-ER60)))</f>
        <v>151.00000000000006</v>
      </c>
      <c r="EK61" s="17">
        <f>EJ61*VLOOKUP('Données projet'!$B$15,Paramètres!$A$1:$I$89,3,0)*VLOOKUP('Données projet'!$B$15,Paramètres!$A$1:$I$89,5,0)</f>
        <v>162.53640000000004</v>
      </c>
      <c r="EL61" s="13">
        <f t="shared" si="45"/>
        <v>41.414082773478739</v>
      </c>
      <c r="EM61" s="20">
        <f t="shared" si="19"/>
        <v>355.21375749714224</v>
      </c>
      <c r="EN61" s="59">
        <f t="shared" si="20"/>
        <v>648.54709083047555</v>
      </c>
      <c r="EO61" s="59">
        <f ca="1">AVERAGE(OFFSET($EN$3,0,0,'Données projet'!$E$15+1,1))-AVERAGE(OFFSET($H$3,0,0,'Données projet'!$E$15+1,1))</f>
        <v>217.10418688911096</v>
      </c>
      <c r="EP61" s="59">
        <f t="shared" si="46"/>
        <v>105.90631421515786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2.125</v>
      </c>
      <c r="N62" s="13">
        <f>IF('Données projet'!$A$36&gt;35,N61+M62-V61,IF(A62&lt;'Données projet'!$A$36,$K$205^A62,IF(A62='Données projet'!$A$36,'Données projet'!$B$36,N61+M62-V61)))</f>
        <v>234.625</v>
      </c>
      <c r="O62" s="13">
        <f>N62*VLOOKUP('Données projet'!$B$9,Paramètres!$A$1:$I$89,3,0)*VLOOKUP('Données projet'!$B$9,Paramètres!$A$1:$I$89,5,0)</f>
        <v>140.30575000000002</v>
      </c>
      <c r="P62" s="13">
        <f t="shared" si="33"/>
        <v>36.367039630957962</v>
      </c>
      <c r="Q62" s="20">
        <f t="shared" si="53"/>
        <v>307.70510860725182</v>
      </c>
      <c r="R62" s="59">
        <f t="shared" si="0"/>
        <v>601.03844194058513</v>
      </c>
      <c r="S62" s="59">
        <f ca="1">AVERAGE(OFFSET($R$3,0,0,'Données projet'!$E$9+1,1))-AVERAGE(OFFSET($H$3,0,0,'Données projet'!$E$9+1,1))</f>
        <v>145.19188637714888</v>
      </c>
      <c r="T62" s="59">
        <f t="shared" si="34"/>
        <v>169.74069292032493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1.2457156119166775</v>
      </c>
      <c r="AA62" s="21">
        <f>EXP(-LN(2)/25)*AA61+(1-EXP(-LN(2)/25))/(LN(2)/25)*Calculateur!V62*Calculateur!X62*VLOOKUP('Données projet'!$B$9,Paramètres!$A$1:$I$89,3,0)*0.475*44/12</f>
        <v>3.8734846701175734</v>
      </c>
      <c r="AB62" s="21">
        <f>EXP(-LN(2)/2)*AB61+(1-EXP(-LN(2)/2))/(LN(2)/2)*V62*Y62*VLOOKUP('Données projet'!$B$9,Paramètres!$A$1:$I$89,3,0)*0.475*44/12</f>
        <v>1.7459817330646787E-4</v>
      </c>
      <c r="AC62" s="22">
        <f t="shared" si="3"/>
        <v>5.119374880207558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6.4</v>
      </c>
      <c r="AI62" s="13">
        <f>IF('Données projet'!$A$62&gt;35,AI61+AH62-AQ61,IF(A62&lt;'Données projet'!$A$62,$AF$205^A62,IF(A62='Données projet'!$A$62,'Données projet'!$B$62,AI61+AH62-AQ61)))</f>
        <v>238.59999999999997</v>
      </c>
      <c r="AJ62" s="13">
        <f>AI62*VLOOKUP('Données projet'!$B$10,Paramètres!$A$1:$I$89,3,0)*VLOOKUP('Données projet'!$B$10,Paramètres!$A$1:$I$89,5,0)</f>
        <v>208.44095999999999</v>
      </c>
      <c r="AK62" s="13">
        <f t="shared" si="35"/>
        <v>51.594748621124211</v>
      </c>
      <c r="AL62" s="20">
        <f t="shared" si="4"/>
        <v>452.89552584845791</v>
      </c>
      <c r="AM62" s="59">
        <f t="shared" si="5"/>
        <v>746.22885918179122</v>
      </c>
      <c r="AN62" s="59">
        <f ca="1">AVERAGE(OFFSET($AM$3,0,0,'Données projet'!$E$10+1,1))-AVERAGE(OFFSET($H$3,0,0,'Données projet'!$E$10+1,1))</f>
        <v>254.24072778190163</v>
      </c>
      <c r="AO62" s="59">
        <f t="shared" si="36"/>
        <v>356.78706780980383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1.7303543836031976</v>
      </c>
      <c r="AV62" s="21">
        <f>EXP(-LN(2)/25)*AV61+(1-EXP(-LN(2)/25))/(LN(2)/25)*Calculateur!AQ62*Calculateur!AS62*VLOOKUP('Données projet'!$B$10,Paramètres!$A$1:$I$89,3,0)*0.475*44/12</f>
        <v>7.9175728938605774</v>
      </c>
      <c r="AW62" s="21">
        <f>EXP(-LN(2)/2)*AW61+(1-EXP(-LN(2)/2))/(LN(2)/2)*AQ62*AT62*VLOOKUP('Données projet'!$B$10,Paramètres!$A$1:$I$89,3,0)*0.475*44/12</f>
        <v>1.1985083086155377E-3</v>
      </c>
      <c r="AX62" s="21">
        <f t="shared" si="6"/>
        <v>9.6491257857723909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11.4</v>
      </c>
      <c r="BD62" s="12">
        <f>IF('Données projet'!$A$88&gt;35,BD61+BC62-BL61,IF(A62&lt;'Données projet'!$A$88,$BA$205^A62,IF(A62='Données projet'!$A$88,'Données projet'!$B$88,BD61+BC62-BL61)))</f>
        <v>375.5999999999998</v>
      </c>
      <c r="BE62" s="13">
        <f>BD62*VLOOKUP('Données projet'!$B$11,Paramètres!$A$1:$I$89,3,0)*VLOOKUP('Données projet'!$B$11,Paramètres!$A$1:$I$89,5,0)</f>
        <v>224.60879999999992</v>
      </c>
      <c r="BF62" s="13">
        <f t="shared" si="37"/>
        <v>55.11537373670501</v>
      </c>
      <c r="BG62" s="20">
        <f t="shared" si="7"/>
        <v>487.1862692580944</v>
      </c>
      <c r="BH62" s="59">
        <f t="shared" si="8"/>
        <v>780.51960259142766</v>
      </c>
      <c r="BI62" s="59">
        <f ca="1">AVERAGE(OFFSET($BH$3,0,0,'Données projet'!$E$11+1,1))-AVERAGE(OFFSET($H$3,0,0,'Données projet'!$E$11+1,1))</f>
        <v>246.59447135626942</v>
      </c>
      <c r="BJ62" s="59">
        <f t="shared" si="38"/>
        <v>262.00382544285367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5.7502065109334906</v>
      </c>
      <c r="BR62" s="21">
        <f>EXP(-LN(2)/2)*BR61+(1-EXP(-LN(2)/2))/(LN(2)/2)*BL62*BO62*VLOOKUP('Données projet'!$B$11,Paramètres!$A$1:$I$89,3,0)*0.475*44/12</f>
        <v>1.0241205615230317E-3</v>
      </c>
      <c r="BS62" s="22">
        <f t="shared" si="9"/>
        <v>5.7512306314950132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5.5</v>
      </c>
      <c r="BY62" s="12">
        <f>IF('Données projet'!$A$114&gt;35,BY61+BX62-CG61,IF(A62&lt;'Données projet'!$A$114,$BV$205^A62,IF(A62='Données projet'!$A$114,'Données projet'!$B$114,BY61+BX62-CG61)))</f>
        <v>156.50000000000006</v>
      </c>
      <c r="BZ62" s="13">
        <f>BY62*VLOOKUP('Données projet'!$B$12,Paramètres!$A$1:$I$89,3,0)*VLOOKUP('Données projet'!$B$12,Paramètres!$A$1:$I$89,5,0)</f>
        <v>141.60120000000003</v>
      </c>
      <c r="CA62" s="13">
        <f t="shared" si="39"/>
        <v>36.66357479752002</v>
      </c>
      <c r="CB62" s="20">
        <f t="shared" si="10"/>
        <v>310.47781610568074</v>
      </c>
      <c r="CC62" s="59">
        <f t="shared" si="11"/>
        <v>603.81114943901412</v>
      </c>
      <c r="CD62" s="59">
        <f ca="1">AVERAGE(OFFSET($CC$3,0,0,'Données projet'!$E$12+1,1))-AVERAGE(OFFSET($H$3,0,0,'Données projet'!$E$12+1,1))</f>
        <v>169.62156467157178</v>
      </c>
      <c r="CE62" s="59">
        <f t="shared" si="40"/>
        <v>85.631326020763254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5.6</v>
      </c>
      <c r="CT62" s="12">
        <f>IF('Données projet'!$A$140&gt;35,CT61+CS62-DB61,IF(A62&lt;'Données projet'!$A$140,$CQ$205^A62,IF(A62='Données projet'!$A$140,'Données projet'!$B$140,CT61+CS62-DB61)))</f>
        <v>252.39999999999969</v>
      </c>
      <c r="CU62" s="17">
        <f>CT62*VLOOKUP('Données projet'!$B$13,Paramètres!$A$1:$I$89,3,0)*VLOOKUP('Données projet'!$B$13,Paramètres!$A$1:$I$89,5,0)</f>
        <v>204.74687999999978</v>
      </c>
      <c r="CV62" s="13">
        <f t="shared" si="41"/>
        <v>50.785959801489938</v>
      </c>
      <c r="CW62" s="20">
        <f t="shared" si="13"/>
        <v>445.05302932092792</v>
      </c>
      <c r="CX62" s="59">
        <f t="shared" si="14"/>
        <v>738.38636265426123</v>
      </c>
      <c r="CY62" s="59">
        <f ca="1">AVERAGE(OFFSET($CX$3,0,0,'Données projet'!$E$13+1,1))-AVERAGE(OFFSET($H$3,0,0,'Données projet'!$E$13+1,1))</f>
        <v>234.59657655504111</v>
      </c>
      <c r="CZ62" s="59">
        <f t="shared" si="42"/>
        <v>285.10598666479211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3.8067100664685656</v>
      </c>
      <c r="DH62" s="21">
        <f>EXP(-LN(2)/2)*DH61+(1-EXP(-LN(2)/2))/(LN(2)/2)*DB62*DE62*VLOOKUP('Données projet'!$B$13,Paramètres!$A$1:$I$89,3,0)*0.475*44/12</f>
        <v>4.7355823906514914E-4</v>
      </c>
      <c r="DI62" s="22">
        <f t="shared" si="15"/>
        <v>3.8071836247076307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5.5</v>
      </c>
      <c r="DO62" s="12">
        <f>IF('Données projet'!$A$166&gt;35,DO61+DN62-DW61,IF(A62&lt;'Données projet'!$A$166,$DL$205^A62,IF(A62='Données projet'!$A$166,'Données projet'!$B$166,DO61+DN62-DW61)))</f>
        <v>156.50000000000006</v>
      </c>
      <c r="DP62" s="17">
        <f>DO62*VLOOKUP('Données projet'!$B$14,Paramètres!$A$1:$I$89,3,0)*VLOOKUP('Données projet'!$B$14,Paramètres!$A$1:$I$89,5,0)</f>
        <v>151.36680000000004</v>
      </c>
      <c r="DQ62" s="13">
        <f t="shared" si="43"/>
        <v>38.889031658998512</v>
      </c>
      <c r="DR62" s="20">
        <f t="shared" si="16"/>
        <v>331.36224013942245</v>
      </c>
      <c r="DS62" s="59">
        <f t="shared" si="17"/>
        <v>624.69557347275577</v>
      </c>
      <c r="DT62" s="59">
        <f ca="1">AVERAGE(OFFSET($DS$3,0,0,'Données projet'!$E$14+1,1))-AVERAGE(OFFSET($H$3,0,0,'Données projet'!$E$14+1,1))</f>
        <v>186.90852124957956</v>
      </c>
      <c r="DU62" s="59">
        <f t="shared" si="44"/>
        <v>93.013797128776446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5.5</v>
      </c>
      <c r="EJ62" s="12">
        <f>IF('Données projet'!$A$192&gt;35,EJ61+EI62-ER61,IF(A62&lt;'Données projet'!$A$192,$EG$205^A62,IF(A62='Données projet'!$A$192,'Données projet'!$B$192,EJ61+EI62-ER61)))</f>
        <v>156.50000000000006</v>
      </c>
      <c r="EK62" s="17">
        <f>EJ62*VLOOKUP('Données projet'!$B$15,Paramètres!$A$1:$I$89,3,0)*VLOOKUP('Données projet'!$B$15,Paramètres!$A$1:$I$89,5,0)</f>
        <v>168.45660000000004</v>
      </c>
      <c r="EL62" s="13">
        <f t="shared" si="45"/>
        <v>42.744170059595596</v>
      </c>
      <c r="EM62" s="20">
        <f t="shared" si="19"/>
        <v>367.84134118712905</v>
      </c>
      <c r="EN62" s="59">
        <f t="shared" si="20"/>
        <v>661.1746745204623</v>
      </c>
      <c r="EO62" s="59">
        <f ca="1">AVERAGE(OFFSET($EN$3,0,0,'Données projet'!$E$15+1,1))-AVERAGE(OFFSET($H$3,0,0,'Données projet'!$E$15+1,1))</f>
        <v>217.10418688911096</v>
      </c>
      <c r="EP62" s="59">
        <f t="shared" si="46"/>
        <v>105.90631421515786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2.125</v>
      </c>
      <c r="N63" s="13">
        <f>IF('Données projet'!$A$36&gt;35,N62+M63-V62,IF(A63&lt;'Données projet'!$A$36,$K$205^A63,IF(A63='Données projet'!$A$36,'Données projet'!$B$36,N62+M63-V62)))</f>
        <v>236.75</v>
      </c>
      <c r="O63" s="13">
        <f>N63*VLOOKUP('Données projet'!$B$9,Paramètres!$A$1:$I$89,3,0)*VLOOKUP('Données projet'!$B$9,Paramètres!$A$1:$I$89,5,0)</f>
        <v>141.57650000000001</v>
      </c>
      <c r="P63" s="13">
        <f t="shared" si="33"/>
        <v>36.657923802254089</v>
      </c>
      <c r="Q63" s="20">
        <f t="shared" si="53"/>
        <v>310.4249547889259</v>
      </c>
      <c r="R63" s="59">
        <f t="shared" si="0"/>
        <v>603.75828812225927</v>
      </c>
      <c r="S63" s="59">
        <f ca="1">AVERAGE(OFFSET($R$3,0,0,'Données projet'!$E$9+1,1))-AVERAGE(OFFSET($H$3,0,0,'Données projet'!$E$9+1,1))</f>
        <v>145.19188637714888</v>
      </c>
      <c r="T63" s="59">
        <f t="shared" si="34"/>
        <v>169.74069292032493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1.2212878885784895</v>
      </c>
      <c r="AA63" s="21">
        <f>EXP(-LN(2)/25)*AA62+(1-EXP(-LN(2)/25))/(LN(2)/25)*Calculateur!V63*Calculateur!X63*VLOOKUP('Données projet'!$B$9,Paramètres!$A$1:$I$89,3,0)*0.475*44/12</f>
        <v>3.7675640281155025</v>
      </c>
      <c r="AB63" s="21">
        <f>EXP(-LN(2)/2)*AB62+(1-EXP(-LN(2)/2))/(LN(2)/2)*V63*Y63*VLOOKUP('Données projet'!$B$9,Paramètres!$A$1:$I$89,3,0)*0.475*44/12</f>
        <v>1.2345955232778748E-4</v>
      </c>
      <c r="AC63" s="22">
        <f t="shared" si="3"/>
        <v>4.9889753762463203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245</v>
      </c>
      <c r="AG63" s="12">
        <f>VLOOKUP(A63,'Données projet'!$A$61:$I$81,9,0)</f>
        <v>6.4</v>
      </c>
      <c r="AH63" s="12">
        <f t="array" ref="AH63">INDEX(AG:AG,MIN(IF(ISNUMBER(AG63:AG259),ROW(AG63:AG259),"")))</f>
        <v>6.4</v>
      </c>
      <c r="AI63" s="13">
        <f>IF('Données projet'!$A$62&gt;35,AI62+AH63-AQ62,IF(A63&lt;'Données projet'!$A$62,$AF$205^A63,IF(A63='Données projet'!$A$62,'Données projet'!$B$62,AI62+AH63-AQ62)))</f>
        <v>244.99999999999997</v>
      </c>
      <c r="AJ63" s="13">
        <f>AI63*VLOOKUP('Données projet'!$B$10,Paramètres!$A$1:$I$89,3,0)*VLOOKUP('Données projet'!$B$10,Paramètres!$A$1:$I$89,5,0)</f>
        <v>214.03199999999998</v>
      </c>
      <c r="AK63" s="13">
        <f t="shared" si="35"/>
        <v>52.815701536972242</v>
      </c>
      <c r="AL63" s="20">
        <f t="shared" si="4"/>
        <v>464.75974684355998</v>
      </c>
      <c r="AM63" s="59">
        <f t="shared" si="5"/>
        <v>758.0930801768933</v>
      </c>
      <c r="AN63" s="59">
        <f ca="1">AVERAGE(OFFSET($AM$3,0,0,'Données projet'!$E$10+1,1))-AVERAGE(OFFSET($H$3,0,0,'Données projet'!$E$10+1,1))</f>
        <v>254.24072778190163</v>
      </c>
      <c r="AO63" s="59">
        <f t="shared" si="36"/>
        <v>356.78706780980383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1.6964231895526996</v>
      </c>
      <c r="AV63" s="21">
        <f>EXP(-LN(2)/25)*AV62+(1-EXP(-LN(2)/25))/(LN(2)/25)*Calculateur!AQ63*Calculateur!AS63*VLOOKUP('Données projet'!$B$10,Paramètres!$A$1:$I$89,3,0)*0.475*44/12</f>
        <v>7.7010664467108976</v>
      </c>
      <c r="AW63" s="21">
        <f>EXP(-LN(2)/2)*AW62+(1-EXP(-LN(2)/2))/(LN(2)/2)*AQ63*AT63*VLOOKUP('Données projet'!$B$10,Paramètres!$A$1:$I$89,3,0)*0.475*44/12</f>
        <v>8.4747335233046619E-4</v>
      </c>
      <c r="AX63" s="21">
        <f t="shared" si="6"/>
        <v>9.3983371096159267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387</v>
      </c>
      <c r="BB63" s="12">
        <f>VLOOKUP(A63,'Données projet'!$A$87:$I$107,9,0)</f>
        <v>11.4</v>
      </c>
      <c r="BC63" s="12">
        <f t="array" ref="BC63">INDEX(BB:BB,MIN(IF(ISNUMBER(BB63:BB259),ROW(BB63:BB259),"")))</f>
        <v>11.4</v>
      </c>
      <c r="BD63" s="12">
        <f>IF('Données projet'!$A$88&gt;35,BD62+BC63-BL62,IF(A63&lt;'Données projet'!$A$88,$BA$205^A63,IF(A63='Données projet'!$A$88,'Données projet'!$B$88,BD62+BC63-BL62)))</f>
        <v>386.99999999999977</v>
      </c>
      <c r="BE63" s="13">
        <f>BD63*VLOOKUP('Données projet'!$B$11,Paramètres!$A$1:$I$89,3,0)*VLOOKUP('Données projet'!$B$11,Paramètres!$A$1:$I$89,5,0)</f>
        <v>231.42599999999987</v>
      </c>
      <c r="BF63" s="13">
        <f t="shared" si="37"/>
        <v>56.590905067453171</v>
      </c>
      <c r="BG63" s="20">
        <f t="shared" si="7"/>
        <v>501.62944299248062</v>
      </c>
      <c r="BH63" s="59">
        <f t="shared" si="8"/>
        <v>794.96277632581393</v>
      </c>
      <c r="BI63" s="59">
        <f ca="1">AVERAGE(OFFSET($BH$3,0,0,'Données projet'!$E$11+1,1))-AVERAGE(OFFSET($H$3,0,0,'Données projet'!$E$11+1,1))</f>
        <v>246.59447135626942</v>
      </c>
      <c r="BJ63" s="59">
        <f t="shared" si="38"/>
        <v>262.00382544285367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5.5929668115017961</v>
      </c>
      <c r="BR63" s="21">
        <f>EXP(-LN(2)/2)*BR62+(1-EXP(-LN(2)/2))/(LN(2)/2)*BL63*BO63*VLOOKUP('Données projet'!$B$11,Paramètres!$A$1:$I$89,3,0)*0.475*44/12</f>
        <v>7.241625938055106E-4</v>
      </c>
      <c r="BS63" s="22">
        <f t="shared" si="9"/>
        <v>5.593690974095602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162</v>
      </c>
      <c r="BW63" s="12">
        <f>VLOOKUP(A63,'Données projet'!$A$113:$I$133,9,0)</f>
        <v>5.5</v>
      </c>
      <c r="BX63" s="12">
        <f t="array" ref="BX63">INDEX(BW:BW,MIN(IF(ISNUMBER(BW63:BW259),ROW(BW63:BW259),"")))</f>
        <v>5.5</v>
      </c>
      <c r="BY63" s="12">
        <f>IF('Données projet'!$A$114&gt;35,BY62+BX63-CG62,IF(A63&lt;'Données projet'!$A$114,$BV$205^A63,IF(A63='Données projet'!$A$114,'Données projet'!$B$114,BY62+BX63-CG62)))</f>
        <v>162.00000000000006</v>
      </c>
      <c r="BZ63" s="13">
        <f>BY63*VLOOKUP('Données projet'!$B$12,Paramètres!$A$1:$I$89,3,0)*VLOOKUP('Données projet'!$B$12,Paramètres!$A$1:$I$89,5,0)</f>
        <v>146.57760000000005</v>
      </c>
      <c r="CA63" s="13">
        <f t="shared" si="39"/>
        <v>37.799791292871248</v>
      </c>
      <c r="CB63" s="20">
        <f t="shared" si="10"/>
        <v>321.1239565017508</v>
      </c>
      <c r="CC63" s="59">
        <f t="shared" si="11"/>
        <v>614.45728983508411</v>
      </c>
      <c r="CD63" s="59">
        <f ca="1">AVERAGE(OFFSET($CC$3,0,0,'Données projet'!$E$12+1,1))-AVERAGE(OFFSET($H$3,0,0,'Données projet'!$E$12+1,1))</f>
        <v>169.62156467157178</v>
      </c>
      <c r="CE63" s="59">
        <f t="shared" si="40"/>
        <v>85.631326020763254</v>
      </c>
      <c r="CF63" s="15">
        <f>IF(ISNA(VLOOKUP(A63,'Données projet'!$A$113:$I$133,3,0)),0,VLOOKUP(A63,'Données projet'!$A$113:$I$133,3,0))</f>
        <v>3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258</v>
      </c>
      <c r="CR63" s="12">
        <f>VLOOKUP(A63,'Données projet'!$A$139:$I$159,9,0)</f>
        <v>5.6</v>
      </c>
      <c r="CS63" s="12">
        <f t="array" ref="CS63">INDEX(CR:CR,MIN(IF(ISNUMBER(CR63:CR259),ROW(CR63:CR259),"")))</f>
        <v>5.6</v>
      </c>
      <c r="CT63" s="12">
        <f>IF('Données projet'!$A$140&gt;35,CT62+CS63-DB62,IF(A63&lt;'Données projet'!$A$140,$CQ$205^A63,IF(A63='Données projet'!$A$140,'Données projet'!$B$140,CT62+CS63-DB62)))</f>
        <v>257.99999999999972</v>
      </c>
      <c r="CU63" s="17">
        <f>CT63*VLOOKUP('Données projet'!$B$13,Paramètres!$A$1:$I$89,3,0)*VLOOKUP('Données projet'!$B$13,Paramètres!$A$1:$I$89,5,0)</f>
        <v>209.28959999999978</v>
      </c>
      <c r="CV63" s="13">
        <f t="shared" si="41"/>
        <v>51.780314822292119</v>
      </c>
      <c r="CW63" s="20">
        <f t="shared" si="13"/>
        <v>454.69676831549168</v>
      </c>
      <c r="CX63" s="59">
        <f t="shared" si="14"/>
        <v>748.03010164882494</v>
      </c>
      <c r="CY63" s="59">
        <f ca="1">AVERAGE(OFFSET($CX$3,0,0,'Données projet'!$E$13+1,1))-AVERAGE(OFFSET($H$3,0,0,'Données projet'!$E$13+1,1))</f>
        <v>234.59657655504111</v>
      </c>
      <c r="CZ63" s="59">
        <f t="shared" si="42"/>
        <v>285.10598666479211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25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3.7026153795148007</v>
      </c>
      <c r="DH63" s="21">
        <f>EXP(-LN(2)/2)*DH62+(1-EXP(-LN(2)/2))/(LN(2)/2)*DB63*DE63*VLOOKUP('Données projet'!$B$13,Paramètres!$A$1:$I$89,3,0)*0.475*44/12</f>
        <v>3.348562421297272E-4</v>
      </c>
      <c r="DI63" s="22">
        <f t="shared" si="15"/>
        <v>3.7029502357569304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162</v>
      </c>
      <c r="DM63" s="12">
        <f>VLOOKUP(A63,'Données projet'!$A$165:$I$185,9,0)</f>
        <v>5.5</v>
      </c>
      <c r="DN63" s="12">
        <f t="array" ref="DN63">INDEX(DM:DM,MIN(IF(ISNUMBER(DM63:DM259),ROW(DM63:DM259),"")))</f>
        <v>5.5</v>
      </c>
      <c r="DO63" s="12">
        <f>IF('Données projet'!$A$166&gt;35,DO62+DN63-DW62,IF(A63&lt;'Données projet'!$A$166,$DL$205^A63,IF(A63='Données projet'!$A$166,'Données projet'!$B$166,DO62+DN63-DW62)))</f>
        <v>162.00000000000006</v>
      </c>
      <c r="DP63" s="17">
        <f>DO63*VLOOKUP('Données projet'!$B$14,Paramètres!$A$1:$I$89,3,0)*VLOOKUP('Données projet'!$B$14,Paramètres!$A$1:$I$89,5,0)</f>
        <v>156.68640000000008</v>
      </c>
      <c r="DQ63" s="13">
        <f t="shared" si="43"/>
        <v>40.094215809840748</v>
      </c>
      <c r="DR63" s="20">
        <f t="shared" si="16"/>
        <v>342.72623920213937</v>
      </c>
      <c r="DS63" s="59">
        <f t="shared" si="17"/>
        <v>636.05957253547263</v>
      </c>
      <c r="DT63" s="59">
        <f ca="1">AVERAGE(OFFSET($DS$3,0,0,'Données projet'!$E$14+1,1))-AVERAGE(OFFSET($H$3,0,0,'Données projet'!$E$14+1,1))</f>
        <v>186.90852124957956</v>
      </c>
      <c r="DU63" s="59">
        <f t="shared" si="44"/>
        <v>93.013797128776446</v>
      </c>
      <c r="DV63" s="15">
        <f>IF(ISNA(VLOOKUP(A63,'Données projet'!$A$165:$I$185,3,0)),0,VLOOKUP(A63,'Données projet'!$A$165:$I$185,3,0))</f>
        <v>3</v>
      </c>
      <c r="DW63" s="15">
        <f>IF(ISNA(VLOOKUP(A63,'Données projet'!$A$165:$I$185,4,0)),0,VLOOKUP(A63,'Données projet'!$A$165:$I$185,4,0))</f>
        <v>28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162</v>
      </c>
      <c r="EH63" s="12">
        <f>VLOOKUP(A63,'Données projet'!$A$191:$I$211,9,0)</f>
        <v>5.5</v>
      </c>
      <c r="EI63" s="12">
        <f t="array" ref="EI63">INDEX(EH:EH,MIN(IF(ISNUMBER(EH63:EH259),ROW(EH63:EH259),"")))</f>
        <v>5.5</v>
      </c>
      <c r="EJ63" s="12">
        <f>IF('Données projet'!$A$192&gt;35,EJ62+EI63-ER62,IF(A63&lt;'Données projet'!$A$192,$EG$205^A63,IF(A63='Données projet'!$A$192,'Données projet'!$B$192,EJ62+EI63-ER62)))</f>
        <v>162.00000000000006</v>
      </c>
      <c r="EK63" s="17">
        <f>EJ63*VLOOKUP('Données projet'!$B$15,Paramètres!$A$1:$I$89,3,0)*VLOOKUP('Données projet'!$B$15,Paramètres!$A$1:$I$89,5,0)</f>
        <v>174.37680000000006</v>
      </c>
      <c r="EL63" s="13">
        <f t="shared" si="45"/>
        <v>44.06882624410639</v>
      </c>
      <c r="EM63" s="20">
        <f t="shared" si="19"/>
        <v>380.45946570848537</v>
      </c>
      <c r="EN63" s="59">
        <f t="shared" si="20"/>
        <v>673.79279904181863</v>
      </c>
      <c r="EO63" s="59">
        <f ca="1">AVERAGE(OFFSET($EN$3,0,0,'Données projet'!$E$15+1,1))-AVERAGE(OFFSET($H$3,0,0,'Données projet'!$E$15+1,1))</f>
        <v>217.10418688911096</v>
      </c>
      <c r="EP63" s="59">
        <f t="shared" si="46"/>
        <v>105.90631421515786</v>
      </c>
      <c r="EQ63" s="15">
        <f>IF(ISNA(VLOOKUP(A63,'Données projet'!$A$191:$I$211,3,0)),0,VLOOKUP(A63,'Données projet'!$A$191:$I$211,3,0))</f>
        <v>3</v>
      </c>
      <c r="ER63" s="15">
        <f>IF(ISNA(VLOOKUP(A63,'Données projet'!$A$191:$I$211,4,0)),0,VLOOKUP(A63,'Données projet'!$A$191:$I$211,4,0))</f>
        <v>28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2.125</v>
      </c>
      <c r="N64" s="13">
        <f>IF('Données projet'!$A$36&gt;35,N63+M64-V63,IF(A64&lt;'Données projet'!$A$36,$K$205^A64,IF(A64='Données projet'!$A$36,'Données projet'!$B$36,N63+M64-V63)))</f>
        <v>238.875</v>
      </c>
      <c r="O64" s="13">
        <f>N64*VLOOKUP('Données projet'!$B$9,Paramètres!$A$1:$I$89,3,0)*VLOOKUP('Données projet'!$B$9,Paramètres!$A$1:$I$89,5,0)</f>
        <v>142.84725</v>
      </c>
      <c r="P64" s="13">
        <f t="shared" si="33"/>
        <v>36.948504220019856</v>
      </c>
      <c r="Q64" s="20">
        <f t="shared" si="53"/>
        <v>313.1442719332012</v>
      </c>
      <c r="R64" s="59">
        <f t="shared" si="0"/>
        <v>606.47760526653451</v>
      </c>
      <c r="S64" s="59">
        <f ca="1">AVERAGE(OFFSET($R$3,0,0,'Données projet'!$E$9+1,1))-AVERAGE(OFFSET($H$3,0,0,'Données projet'!$E$9+1,1))</f>
        <v>145.19188637714888</v>
      </c>
      <c r="T64" s="59">
        <f t="shared" si="34"/>
        <v>169.74069292032493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1.1973391779955234</v>
      </c>
      <c r="AA64" s="21">
        <f>EXP(-LN(2)/25)*AA63+(1-EXP(-LN(2)/25))/(LN(2)/25)*Calculateur!V64*Calculateur!X64*VLOOKUP('Données projet'!$B$9,Paramètres!$A$1:$I$89,3,0)*0.475*44/12</f>
        <v>3.6645397916391027</v>
      </c>
      <c r="AB64" s="21">
        <f>EXP(-LN(2)/2)*AB63+(1-EXP(-LN(2)/2))/(LN(2)/2)*V64*Y64*VLOOKUP('Données projet'!$B$9,Paramètres!$A$1:$I$89,3,0)*0.475*44/12</f>
        <v>8.7299086653233937E-5</v>
      </c>
      <c r="AC64" s="22">
        <f t="shared" si="3"/>
        <v>4.8619662687212788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4.9000000000000004</v>
      </c>
      <c r="AI64" s="13">
        <f>IF('Données projet'!$A$62&gt;35,AI63+AH64-AQ63,IF(A64&lt;'Données projet'!$A$62,$AF$205^A64,IF(A64='Données projet'!$A$62,'Données projet'!$B$62,AI63+AH64-AQ63)))</f>
        <v>202.89999999999998</v>
      </c>
      <c r="AJ64" s="13">
        <f>AI64*VLOOKUP('Données projet'!$B$10,Paramètres!$A$1:$I$89,3,0)*VLOOKUP('Données projet'!$B$10,Paramètres!$A$1:$I$89,5,0)</f>
        <v>177.25344000000001</v>
      </c>
      <c r="AK64" s="13">
        <f t="shared" si="35"/>
        <v>44.710581408854637</v>
      </c>
      <c r="AL64" s="20">
        <f t="shared" si="4"/>
        <v>386.58733728708853</v>
      </c>
      <c r="AM64" s="59">
        <f t="shared" si="5"/>
        <v>679.92067062042179</v>
      </c>
      <c r="AN64" s="59">
        <f ca="1">AVERAGE(OFFSET($AM$3,0,0,'Données projet'!$E$10+1,1))-AVERAGE(OFFSET($H$3,0,0,'Données projet'!$E$10+1,1))</f>
        <v>254.24072778190163</v>
      </c>
      <c r="AO64" s="59">
        <f t="shared" si="36"/>
        <v>356.78706780980383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1.663157365521547</v>
      </c>
      <c r="AV64" s="21">
        <f>EXP(-LN(2)/25)*AV63+(1-EXP(-LN(2)/25))/(LN(2)/25)*Calculateur!AQ64*Calculateur!AS64*VLOOKUP('Données projet'!$B$10,Paramètres!$A$1:$I$89,3,0)*0.475*44/12</f>
        <v>7.4904803797441044</v>
      </c>
      <c r="AW64" s="21">
        <f>EXP(-LN(2)/2)*AW63+(1-EXP(-LN(2)/2))/(LN(2)/2)*AQ64*AT64*VLOOKUP('Données projet'!$B$10,Paramètres!$A$1:$I$89,3,0)*0.475*44/12</f>
        <v>5.9925415430776884E-4</v>
      </c>
      <c r="AX64" s="21">
        <f t="shared" si="6"/>
        <v>9.1542369994199593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9.1999999999999993</v>
      </c>
      <c r="BD64" s="12">
        <f>IF('Données projet'!$A$88&gt;35,BD63+BC64-BL63,IF(A64&lt;'Données projet'!$A$88,$BA$205^A64,IF(A64='Données projet'!$A$88,'Données projet'!$B$88,BD63+BC64-BL63)))</f>
        <v>339.19999999999976</v>
      </c>
      <c r="BE64" s="13">
        <f>BD64*VLOOKUP('Données projet'!$B$11,Paramètres!$A$1:$I$89,3,0)*VLOOKUP('Données projet'!$B$11,Paramètres!$A$1:$I$89,5,0)</f>
        <v>202.84159999999989</v>
      </c>
      <c r="BF64" s="13">
        <f t="shared" si="37"/>
        <v>50.368151708087709</v>
      </c>
      <c r="BG64" s="20">
        <f t="shared" si="7"/>
        <v>441.00698422491922</v>
      </c>
      <c r="BH64" s="59">
        <f t="shared" si="8"/>
        <v>734.34031755825254</v>
      </c>
      <c r="BI64" s="59">
        <f ca="1">AVERAGE(OFFSET($BH$3,0,0,'Données projet'!$E$11+1,1))-AVERAGE(OFFSET($H$3,0,0,'Données projet'!$E$11+1,1))</f>
        <v>246.59447135626942</v>
      </c>
      <c r="BJ64" s="59">
        <f t="shared" si="38"/>
        <v>262.00382544285367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5.4400268399199376</v>
      </c>
      <c r="BR64" s="21">
        <f>EXP(-LN(2)/2)*BR63+(1-EXP(-LN(2)/2))/(LN(2)/2)*BL64*BO64*VLOOKUP('Données projet'!$B$11,Paramètres!$A$1:$I$89,3,0)*0.475*44/12</f>
        <v>5.1206028076151587E-4</v>
      </c>
      <c r="BS64" s="22">
        <f t="shared" si="9"/>
        <v>5.440538900200699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139.20000000000005</v>
      </c>
      <c r="BZ64" s="13">
        <f>BY64*VLOOKUP('Données projet'!$B$12,Paramètres!$A$1:$I$89,3,0)*VLOOKUP('Données projet'!$B$12,Paramètres!$A$1:$I$89,5,0)</f>
        <v>125.94816000000003</v>
      </c>
      <c r="CA64" s="13">
        <f t="shared" si="39"/>
        <v>33.058379686398482</v>
      </c>
      <c r="CB64" s="20">
        <f t="shared" si="10"/>
        <v>276.93638995381076</v>
      </c>
      <c r="CC64" s="59">
        <f t="shared" si="11"/>
        <v>570.26972328714407</v>
      </c>
      <c r="CD64" s="59">
        <f ca="1">AVERAGE(OFFSET($CC$3,0,0,'Données projet'!$E$12+1,1))-AVERAGE(OFFSET($H$3,0,0,'Données projet'!$E$12+1,1))</f>
        <v>169.62156467157178</v>
      </c>
      <c r="CE64" s="59">
        <f t="shared" si="40"/>
        <v>85.631326020763254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4.0999999999999996</v>
      </c>
      <c r="CT64" s="12">
        <f>IF('Données projet'!$A$140&gt;35,CT63+CS64-DB63,IF(A64&lt;'Données projet'!$A$140,$CQ$205^A64,IF(A64='Données projet'!$A$140,'Données projet'!$B$140,CT63+CS64-DB63)))</f>
        <v>237.09999999999974</v>
      </c>
      <c r="CU64" s="17">
        <f>CT64*VLOOKUP('Données projet'!$B$13,Paramètres!$A$1:$I$89,3,0)*VLOOKUP('Données projet'!$B$13,Paramètres!$A$1:$I$89,5,0)</f>
        <v>192.3355199999998</v>
      </c>
      <c r="CV64" s="13">
        <f t="shared" si="41"/>
        <v>48.055935441424452</v>
      </c>
      <c r="CW64" s="20">
        <f t="shared" si="13"/>
        <v>418.68178489381393</v>
      </c>
      <c r="CX64" s="59">
        <f t="shared" si="14"/>
        <v>712.01511822714724</v>
      </c>
      <c r="CY64" s="59">
        <f ca="1">AVERAGE(OFFSET($CX$3,0,0,'Données projet'!$E$13+1,1))-AVERAGE(OFFSET($H$3,0,0,'Données projet'!$E$13+1,1))</f>
        <v>234.59657655504111</v>
      </c>
      <c r="CZ64" s="59">
        <f t="shared" si="42"/>
        <v>285.10598666479211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3.6013671672498879</v>
      </c>
      <c r="DH64" s="21">
        <f>EXP(-LN(2)/2)*DH63+(1-EXP(-LN(2)/2))/(LN(2)/2)*DB64*DE64*VLOOKUP('Données projet'!$B$13,Paramètres!$A$1:$I$89,3,0)*0.475*44/12</f>
        <v>2.367791195325746E-4</v>
      </c>
      <c r="DI64" s="22">
        <f t="shared" si="15"/>
        <v>3.6016039463694205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139.20000000000005</v>
      </c>
      <c r="DP64" s="17">
        <f>DO64*VLOOKUP('Données projet'!$B$14,Paramètres!$A$1:$I$89,3,0)*VLOOKUP('Données projet'!$B$14,Paramètres!$A$1:$I$89,5,0)</f>
        <v>134.63424000000006</v>
      </c>
      <c r="DQ64" s="13">
        <f t="shared" si="43"/>
        <v>35.065003380589729</v>
      </c>
      <c r="DR64" s="20">
        <f t="shared" si="16"/>
        <v>295.5595155545272</v>
      </c>
      <c r="DS64" s="59">
        <f t="shared" si="17"/>
        <v>588.89284888786051</v>
      </c>
      <c r="DT64" s="59">
        <f ca="1">AVERAGE(OFFSET($DS$3,0,0,'Données projet'!$E$14+1,1))-AVERAGE(OFFSET($H$3,0,0,'Données projet'!$E$14+1,1))</f>
        <v>186.90852124957956</v>
      </c>
      <c r="DU64" s="59">
        <f t="shared" si="44"/>
        <v>93.013797128776446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139.20000000000005</v>
      </c>
      <c r="EK64" s="17">
        <f>EJ64*VLOOKUP('Données projet'!$B$15,Paramètres!$A$1:$I$89,3,0)*VLOOKUP('Données projet'!$B$15,Paramètres!$A$1:$I$89,5,0)</f>
        <v>149.83488000000006</v>
      </c>
      <c r="EL64" s="13">
        <f t="shared" si="45"/>
        <v>38.541059103316854</v>
      </c>
      <c r="EM64" s="20">
        <f t="shared" si="19"/>
        <v>328.08809393827693</v>
      </c>
      <c r="EN64" s="59">
        <f t="shared" si="20"/>
        <v>621.42142727161024</v>
      </c>
      <c r="EO64" s="59">
        <f ca="1">AVERAGE(OFFSET($EN$3,0,0,'Données projet'!$E$15+1,1))-AVERAGE(OFFSET($H$3,0,0,'Données projet'!$E$15+1,1))</f>
        <v>217.10418688911096</v>
      </c>
      <c r="EP64" s="59">
        <f t="shared" si="46"/>
        <v>105.90631421515786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241</v>
      </c>
      <c r="L65" s="12">
        <f>VLOOKUP(A65,'Données projet'!$A$35:$I$55,9,0)</f>
        <v>2.125</v>
      </c>
      <c r="M65" s="12">
        <f t="array" ref="M65">INDEX(L:L,MIN(IF(ISNUMBER(L65:L261),ROW(L65:L261),"")))</f>
        <v>2.125</v>
      </c>
      <c r="N65" s="13">
        <f>IF('Données projet'!$A$36&gt;35,N64+M65-V64,IF(A65&lt;'Données projet'!$A$36,$K$205^A65,IF(A65='Données projet'!$A$36,'Données projet'!$B$36,N64+M65-V64)))</f>
        <v>241</v>
      </c>
      <c r="O65" s="13">
        <f>N65*VLOOKUP('Données projet'!$B$9,Paramètres!$A$1:$I$89,3,0)*VLOOKUP('Données projet'!$B$9,Paramètres!$A$1:$I$89,5,0)</f>
        <v>144.11799999999999</v>
      </c>
      <c r="P65" s="13">
        <f t="shared" si="33"/>
        <v>37.238783899454731</v>
      </c>
      <c r="Q65" s="20">
        <f t="shared" si="53"/>
        <v>315.8630652915503</v>
      </c>
      <c r="R65" s="59">
        <f t="shared" si="0"/>
        <v>609.19639862488361</v>
      </c>
      <c r="S65" s="59">
        <f ca="1">AVERAGE(OFFSET($R$3,0,0,'Données projet'!$E$9+1,1))-AVERAGE(OFFSET($H$3,0,0,'Données projet'!$E$9+1,1))</f>
        <v>145.19188637714888</v>
      </c>
      <c r="T65" s="59">
        <f t="shared" si="34"/>
        <v>169.74069292032493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241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1.1738600870198181</v>
      </c>
      <c r="AA65" s="21">
        <f>EXP(-LN(2)/25)*AA64+(1-EXP(-LN(2)/25))/(LN(2)/25)*Calculateur!V65*Calculateur!X65*VLOOKUP('Données projet'!$B$9,Paramètres!$A$1:$I$89,3,0)*0.475*44/12</f>
        <v>3.5643327583269593</v>
      </c>
      <c r="AB65" s="21">
        <f>EXP(-LN(2)/2)*AB64+(1-EXP(-LN(2)/2))/(LN(2)/2)*V65*Y65*VLOOKUP('Données projet'!$B$9,Paramètres!$A$1:$I$89,3,0)*0.475*44/12</f>
        <v>6.1729776163893741E-5</v>
      </c>
      <c r="AC65" s="22">
        <f t="shared" si="3"/>
        <v>4.7382545751229408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4.9000000000000004</v>
      </c>
      <c r="AI65" s="13">
        <f>IF('Données projet'!$A$62&gt;35,AI64+AH65-AQ64,IF(A65&lt;'Données projet'!$A$62,$AF$205^A65,IF(A65='Données projet'!$A$62,'Données projet'!$B$62,AI64+AH65-AQ64)))</f>
        <v>207.79999999999998</v>
      </c>
      <c r="AJ65" s="13">
        <f>AI65*VLOOKUP('Données projet'!$B$10,Paramètres!$A$1:$I$89,3,0)*VLOOKUP('Données projet'!$B$10,Paramètres!$A$1:$I$89,5,0)</f>
        <v>181.53407999999999</v>
      </c>
      <c r="AK65" s="13">
        <f t="shared" si="35"/>
        <v>45.663321943731901</v>
      </c>
      <c r="AL65" s="20">
        <f t="shared" si="4"/>
        <v>395.70214171866638</v>
      </c>
      <c r="AM65" s="59">
        <f t="shared" si="5"/>
        <v>689.0354750519997</v>
      </c>
      <c r="AN65" s="59">
        <f ca="1">AVERAGE(OFFSET($AM$3,0,0,'Données projet'!$E$10+1,1))-AVERAGE(OFFSET($H$3,0,0,'Données projet'!$E$10+1,1))</f>
        <v>254.24072778190163</v>
      </c>
      <c r="AO65" s="59">
        <f t="shared" si="36"/>
        <v>356.78706780980383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1.6305438640094962</v>
      </c>
      <c r="AV65" s="21">
        <f>EXP(-LN(2)/25)*AV64+(1-EXP(-LN(2)/25))/(LN(2)/25)*Calculateur!AQ65*Calculateur!AS65*VLOOKUP('Données projet'!$B$10,Paramètres!$A$1:$I$89,3,0)*0.475*44/12</f>
        <v>7.285652799852758</v>
      </c>
      <c r="AW65" s="21">
        <f>EXP(-LN(2)/2)*AW64+(1-EXP(-LN(2)/2))/(LN(2)/2)*AQ65*AT65*VLOOKUP('Données projet'!$B$10,Paramètres!$A$1:$I$89,3,0)*0.475*44/12</f>
        <v>4.2373667616523309E-4</v>
      </c>
      <c r="AX65" s="21">
        <f t="shared" si="6"/>
        <v>8.9166204005384202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9.1999999999999993</v>
      </c>
      <c r="BD65" s="12">
        <f>IF('Données projet'!$A$88&gt;35,BD64+BC65-BL64,IF(A65&lt;'Données projet'!$A$88,$BA$205^A65,IF(A65='Données projet'!$A$88,'Données projet'!$B$88,BD64+BC65-BL64)))</f>
        <v>348.39999999999975</v>
      </c>
      <c r="BE65" s="13">
        <f>BD65*VLOOKUP('Données projet'!$B$11,Paramètres!$A$1:$I$89,3,0)*VLOOKUP('Données projet'!$B$11,Paramètres!$A$1:$I$89,5,0)</f>
        <v>208.34319999999988</v>
      </c>
      <c r="BF65" s="13">
        <f t="shared" si="37"/>
        <v>51.573366479945882</v>
      </c>
      <c r="BG65" s="20">
        <f t="shared" si="7"/>
        <v>452.68801995257218</v>
      </c>
      <c r="BH65" s="59">
        <f t="shared" si="8"/>
        <v>746.02135328590543</v>
      </c>
      <c r="BI65" s="59">
        <f ca="1">AVERAGE(OFFSET($BH$3,0,0,'Données projet'!$E$11+1,1))-AVERAGE(OFFSET($H$3,0,0,'Données projet'!$E$11+1,1))</f>
        <v>246.59447135626942</v>
      </c>
      <c r="BJ65" s="59">
        <f t="shared" si="38"/>
        <v>262.00382544285367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5.2912690199037486</v>
      </c>
      <c r="BR65" s="21">
        <f>EXP(-LN(2)/2)*BR64+(1-EXP(-LN(2)/2))/(LN(2)/2)*BL65*BO65*VLOOKUP('Données projet'!$B$11,Paramètres!$A$1:$I$89,3,0)*0.475*44/12</f>
        <v>3.620812969027553E-4</v>
      </c>
      <c r="BS65" s="22">
        <f t="shared" si="9"/>
        <v>5.2916311012006512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144.40000000000003</v>
      </c>
      <c r="BZ65" s="13">
        <f>BY65*VLOOKUP('Données projet'!$B$12,Paramètres!$A$1:$I$89,3,0)*VLOOKUP('Données projet'!$B$12,Paramètres!$A$1:$I$89,5,0)</f>
        <v>130.65312000000003</v>
      </c>
      <c r="CA65" s="13">
        <f t="shared" si="39"/>
        <v>34.147232142951147</v>
      </c>
      <c r="CB65" s="20">
        <f t="shared" si="10"/>
        <v>287.0272799823066</v>
      </c>
      <c r="CC65" s="59">
        <f t="shared" si="11"/>
        <v>580.36061331563997</v>
      </c>
      <c r="CD65" s="59">
        <f ca="1">AVERAGE(OFFSET($CC$3,0,0,'Données projet'!$E$12+1,1))-AVERAGE(OFFSET($H$3,0,0,'Données projet'!$E$12+1,1))</f>
        <v>169.62156467157178</v>
      </c>
      <c r="CE65" s="59">
        <f t="shared" si="40"/>
        <v>85.631326020763254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4.0999999999999996</v>
      </c>
      <c r="CT65" s="12">
        <f>IF('Données projet'!$A$140&gt;35,CT64+CS65-DB64,IF(A65&lt;'Données projet'!$A$140,$CQ$205^A65,IF(A65='Données projet'!$A$140,'Données projet'!$B$140,CT64+CS65-DB64)))</f>
        <v>241.19999999999973</v>
      </c>
      <c r="CU65" s="17">
        <f>CT65*VLOOKUP('Données projet'!$B$13,Paramètres!$A$1:$I$89,3,0)*VLOOKUP('Données projet'!$B$13,Paramètres!$A$1:$I$89,5,0)</f>
        <v>195.6614399999998</v>
      </c>
      <c r="CV65" s="13">
        <f t="shared" si="41"/>
        <v>48.789469927948474</v>
      </c>
      <c r="CW65" s="20">
        <f t="shared" si="13"/>
        <v>425.75200145784316</v>
      </c>
      <c r="CX65" s="59">
        <f t="shared" si="14"/>
        <v>719.08533479117648</v>
      </c>
      <c r="CY65" s="59">
        <f ca="1">AVERAGE(OFFSET($CX$3,0,0,'Données projet'!$E$13+1,1))-AVERAGE(OFFSET($H$3,0,0,'Données projet'!$E$13+1,1))</f>
        <v>234.59657655504111</v>
      </c>
      <c r="CZ65" s="59">
        <f t="shared" si="42"/>
        <v>285.10598666479211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3.5028875926737713</v>
      </c>
      <c r="DH65" s="21">
        <f>EXP(-LN(2)/2)*DH64+(1-EXP(-LN(2)/2))/(LN(2)/2)*DB65*DE65*VLOOKUP('Données projet'!$B$13,Paramètres!$A$1:$I$89,3,0)*0.475*44/12</f>
        <v>1.6742812106486363E-4</v>
      </c>
      <c r="DI65" s="22">
        <f t="shared" si="15"/>
        <v>3.5030550207948363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144.40000000000003</v>
      </c>
      <c r="DP65" s="17">
        <f>DO65*VLOOKUP('Données projet'!$B$14,Paramètres!$A$1:$I$89,3,0)*VLOOKUP('Données projet'!$B$14,Paramètres!$A$1:$I$89,5,0)</f>
        <v>139.66368000000003</v>
      </c>
      <c r="DQ65" s="13">
        <f t="shared" si="43"/>
        <v>36.219948524065451</v>
      </c>
      <c r="DR65" s="20">
        <f t="shared" si="16"/>
        <v>306.33065301274729</v>
      </c>
      <c r="DS65" s="59">
        <f t="shared" si="17"/>
        <v>599.66398634608061</v>
      </c>
      <c r="DT65" s="59">
        <f ca="1">AVERAGE(OFFSET($DS$3,0,0,'Données projet'!$E$14+1,1))-AVERAGE(OFFSET($H$3,0,0,'Données projet'!$E$14+1,1))</f>
        <v>186.90852124957956</v>
      </c>
      <c r="DU65" s="59">
        <f t="shared" si="44"/>
        <v>93.013797128776446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144.40000000000003</v>
      </c>
      <c r="EK65" s="17">
        <f>EJ65*VLOOKUP('Données projet'!$B$15,Paramètres!$A$1:$I$89,3,0)*VLOOKUP('Données projet'!$B$15,Paramètres!$A$1:$I$89,5,0)</f>
        <v>155.43216000000001</v>
      </c>
      <c r="EL65" s="13">
        <f t="shared" si="45"/>
        <v>39.810495998920487</v>
      </c>
      <c r="EM65" s="20">
        <f t="shared" si="19"/>
        <v>340.04762586478648</v>
      </c>
      <c r="EN65" s="59">
        <f t="shared" si="20"/>
        <v>633.38095919811985</v>
      </c>
      <c r="EO65" s="59">
        <f ca="1">AVERAGE(OFFSET($EN$3,0,0,'Données projet'!$E$15+1,1))-AVERAGE(OFFSET($H$3,0,0,'Données projet'!$E$15+1,1))</f>
        <v>217.10418688911096</v>
      </c>
      <c r="EP65" s="59">
        <f t="shared" si="46"/>
        <v>105.90631421515786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145.19188637714888</v>
      </c>
      <c r="T66" s="59">
        <f t="shared" si="34"/>
        <v>169.74069292032493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1.1508414066973149</v>
      </c>
      <c r="AA66" s="21">
        <f>EXP(-LN(2)/25)*AA65+(1-EXP(-LN(2)/25))/(LN(2)/25)*Calculateur!V66*Calculateur!X66*VLOOKUP('Données projet'!$B$9,Paramètres!$A$1:$I$89,3,0)*0.475*44/12</f>
        <v>3.4668658916103952</v>
      </c>
      <c r="AB66" s="21">
        <f>EXP(-LN(2)/2)*AB65+(1-EXP(-LN(2)/2))/(LN(2)/2)*V66*Y66*VLOOKUP('Données projet'!$B$9,Paramètres!$A$1:$I$89,3,0)*0.475*44/12</f>
        <v>4.3649543326616969E-5</v>
      </c>
      <c r="AC66" s="22">
        <f t="shared" si="3"/>
        <v>4.6177509478510368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4.9000000000000004</v>
      </c>
      <c r="AI66" s="13">
        <f>IF('Données projet'!$A$62&gt;35,AI65+AH66-AQ65,IF(A66&lt;'Données projet'!$A$62,$AF$205^A66,IF(A66='Données projet'!$A$62,'Données projet'!$B$62,AI65+AH66-AQ65)))</f>
        <v>212.7</v>
      </c>
      <c r="AJ66" s="13">
        <f>AI66*VLOOKUP('Données projet'!$B$10,Paramètres!$A$1:$I$89,3,0)*VLOOKUP('Données projet'!$B$10,Paramètres!$A$1:$I$89,5,0)</f>
        <v>185.81472000000002</v>
      </c>
      <c r="AK66" s="13">
        <f t="shared" si="35"/>
        <v>46.613450769406725</v>
      </c>
      <c r="AL66" s="20">
        <f t="shared" si="4"/>
        <v>404.81239742338335</v>
      </c>
      <c r="AM66" s="59">
        <f t="shared" si="5"/>
        <v>698.1457307567166</v>
      </c>
      <c r="AN66" s="59">
        <f ca="1">AVERAGE(OFFSET($AM$3,0,0,'Données projet'!$E$10+1,1))-AVERAGE(OFFSET($H$3,0,0,'Données projet'!$E$10+1,1))</f>
        <v>254.24072778190163</v>
      </c>
      <c r="AO66" s="59">
        <f t="shared" si="36"/>
        <v>356.78706780980383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1.5985698933698251</v>
      </c>
      <c r="AV66" s="21">
        <f>EXP(-LN(2)/25)*AV65+(1-EXP(-LN(2)/25))/(LN(2)/25)*Calculateur!AQ66*Calculateur!AS66*VLOOKUP('Données projet'!$B$10,Paramètres!$A$1:$I$89,3,0)*0.475*44/12</f>
        <v>7.086426240904955</v>
      </c>
      <c r="AW66" s="21">
        <f>EXP(-LN(2)/2)*AW65+(1-EXP(-LN(2)/2))/(LN(2)/2)*AQ66*AT66*VLOOKUP('Données projet'!$B$10,Paramètres!$A$1:$I$89,3,0)*0.475*44/12</f>
        <v>2.9962707715388442E-4</v>
      </c>
      <c r="AX66" s="21">
        <f t="shared" si="6"/>
        <v>8.6852957613519344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9.1999999999999993</v>
      </c>
      <c r="BD66" s="12">
        <f>IF('Données projet'!$A$88&gt;35,BD65+BC66-BL65,IF(A66&lt;'Données projet'!$A$88,$BA$205^A66,IF(A66='Données projet'!$A$88,'Données projet'!$B$88,BD65+BC66-BL65)))</f>
        <v>357.59999999999974</v>
      </c>
      <c r="BE66" s="13">
        <f>BD66*VLOOKUP('Données projet'!$B$11,Paramètres!$A$1:$I$89,3,0)*VLOOKUP('Données projet'!$B$11,Paramètres!$A$1:$I$89,5,0)</f>
        <v>213.84479999999988</v>
      </c>
      <c r="BF66" s="13">
        <f t="shared" si="37"/>
        <v>52.774882006161135</v>
      </c>
      <c r="BG66" s="20">
        <f t="shared" si="7"/>
        <v>464.36261282739719</v>
      </c>
      <c r="BH66" s="59">
        <f t="shared" si="8"/>
        <v>757.6959461607305</v>
      </c>
      <c r="BI66" s="59">
        <f ca="1">AVERAGE(OFFSET($BH$3,0,0,'Données projet'!$E$11+1,1))-AVERAGE(OFFSET($H$3,0,0,'Données projet'!$E$11+1,1))</f>
        <v>246.59447135626942</v>
      </c>
      <c r="BJ66" s="59">
        <f t="shared" si="38"/>
        <v>262.00382544285367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5.1465789902987362</v>
      </c>
      <c r="BR66" s="21">
        <f>EXP(-LN(2)/2)*BR65+(1-EXP(-LN(2)/2))/(LN(2)/2)*BL66*BO66*VLOOKUP('Données projet'!$B$11,Paramètres!$A$1:$I$89,3,0)*0.475*44/12</f>
        <v>2.5603014038075793E-4</v>
      </c>
      <c r="BS66" s="22">
        <f t="shared" si="9"/>
        <v>5.1468350204391173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149.60000000000002</v>
      </c>
      <c r="BZ66" s="13">
        <f>BY66*VLOOKUP('Données projet'!$B$12,Paramètres!$A$1:$I$89,3,0)*VLOOKUP('Données projet'!$B$12,Paramètres!$A$1:$I$89,5,0)</f>
        <v>135.35808</v>
      </c>
      <c r="CA66" s="13">
        <f t="shared" si="39"/>
        <v>35.231528980112834</v>
      </c>
      <c r="CB66" s="20">
        <f t="shared" si="10"/>
        <v>297.11023564036316</v>
      </c>
      <c r="CC66" s="59">
        <f t="shared" si="11"/>
        <v>590.44356897369653</v>
      </c>
      <c r="CD66" s="59">
        <f ca="1">AVERAGE(OFFSET($CC$3,0,0,'Données projet'!$E$12+1,1))-AVERAGE(OFFSET($H$3,0,0,'Données projet'!$E$12+1,1))</f>
        <v>169.62156467157178</v>
      </c>
      <c r="CE66" s="59">
        <f t="shared" si="40"/>
        <v>85.631326020763254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4.0999999999999996</v>
      </c>
      <c r="CT66" s="12">
        <f>IF('Données projet'!$A$140&gt;35,CT65+CS66-DB65,IF(A66&lt;'Données projet'!$A$140,$CQ$205^A66,IF(A66='Données projet'!$A$140,'Données projet'!$B$140,CT65+CS66-DB65)))</f>
        <v>245.29999999999973</v>
      </c>
      <c r="CU66" s="17">
        <f>CT66*VLOOKUP('Données projet'!$B$13,Paramètres!$A$1:$I$89,3,0)*VLOOKUP('Données projet'!$B$13,Paramètres!$A$1:$I$89,5,0)</f>
        <v>198.9873599999998</v>
      </c>
      <c r="CV66" s="13">
        <f t="shared" si="41"/>
        <v>49.521554399108588</v>
      </c>
      <c r="CW66" s="20">
        <f t="shared" si="13"/>
        <v>432.81969257844707</v>
      </c>
      <c r="CX66" s="59">
        <f t="shared" si="14"/>
        <v>726.15302591178033</v>
      </c>
      <c r="CY66" s="59">
        <f ca="1">AVERAGE(OFFSET($CX$3,0,0,'Données projet'!$E$13+1,1))-AVERAGE(OFFSET($H$3,0,0,'Données projet'!$E$13+1,1))</f>
        <v>234.59657655504111</v>
      </c>
      <c r="CZ66" s="59">
        <f t="shared" si="42"/>
        <v>285.10598666479211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3.4071009472432543</v>
      </c>
      <c r="DH66" s="21">
        <f>EXP(-LN(2)/2)*DH65+(1-EXP(-LN(2)/2))/(LN(2)/2)*DB66*DE66*VLOOKUP('Données projet'!$B$13,Paramètres!$A$1:$I$89,3,0)*0.475*44/12</f>
        <v>1.1838955976628733E-4</v>
      </c>
      <c r="DI66" s="22">
        <f t="shared" si="15"/>
        <v>3.4072193368030206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149.60000000000002</v>
      </c>
      <c r="DP66" s="17">
        <f>DO66*VLOOKUP('Données projet'!$B$14,Paramètres!$A$1:$I$89,3,0)*VLOOKUP('Données projet'!$B$14,Paramètres!$A$1:$I$89,5,0)</f>
        <v>144.69312000000002</v>
      </c>
      <c r="DQ66" s="13">
        <f t="shared" si="43"/>
        <v>37.370061524802772</v>
      </c>
      <c r="DR66" s="20">
        <f t="shared" si="16"/>
        <v>317.09337448903148</v>
      </c>
      <c r="DS66" s="59">
        <f t="shared" si="17"/>
        <v>610.42670782236473</v>
      </c>
      <c r="DT66" s="59">
        <f ca="1">AVERAGE(OFFSET($DS$3,0,0,'Données projet'!$E$14+1,1))-AVERAGE(OFFSET($H$3,0,0,'Données projet'!$E$14+1,1))</f>
        <v>186.90852124957956</v>
      </c>
      <c r="DU66" s="59">
        <f t="shared" si="44"/>
        <v>93.013797128776446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149.60000000000002</v>
      </c>
      <c r="EK66" s="17">
        <f>EJ66*VLOOKUP('Données projet'!$B$15,Paramètres!$A$1:$I$89,3,0)*VLOOKUP('Données projet'!$B$15,Paramètres!$A$1:$I$89,5,0)</f>
        <v>161.02944000000002</v>
      </c>
      <c r="EL66" s="13">
        <f t="shared" si="45"/>
        <v>41.074621732940685</v>
      </c>
      <c r="EM66" s="20">
        <f t="shared" si="19"/>
        <v>351.99790751820501</v>
      </c>
      <c r="EN66" s="59">
        <f t="shared" si="20"/>
        <v>645.33124085153827</v>
      </c>
      <c r="EO66" s="59">
        <f ca="1">AVERAGE(OFFSET($EN$3,0,0,'Données projet'!$E$15+1,1))-AVERAGE(OFFSET($H$3,0,0,'Données projet'!$E$15+1,1))</f>
        <v>217.10418688911096</v>
      </c>
      <c r="EP66" s="59">
        <f t="shared" si="46"/>
        <v>105.90631421515786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145.19188637714888</v>
      </c>
      <c r="T67" s="59">
        <f t="shared" si="34"/>
        <v>169.74069292032493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1.1282741086559274</v>
      </c>
      <c r="AA67" s="21">
        <f>EXP(-LN(2)/25)*AA66+(1-EXP(-LN(2)/25))/(LN(2)/25)*Calculateur!V67*Calculateur!X67*VLOOKUP('Données projet'!$B$9,Paramètres!$A$1:$I$89,3,0)*0.475*44/12</f>
        <v>3.3720642614897551</v>
      </c>
      <c r="AB67" s="21">
        <f>EXP(-LN(2)/2)*AB66+(1-EXP(-LN(2)/2))/(LN(2)/2)*V67*Y67*VLOOKUP('Données projet'!$B$9,Paramètres!$A$1:$I$89,3,0)*0.475*44/12</f>
        <v>3.086488808194687E-5</v>
      </c>
      <c r="AC67" s="22">
        <f t="shared" si="3"/>
        <v>4.5003692350337641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4.9000000000000004</v>
      </c>
      <c r="AI67" s="13">
        <f>IF('Données projet'!$A$62&gt;35,AI66+AH67-AQ66,IF(A67&lt;'Données projet'!$A$62,$AF$205^A67,IF(A67='Données projet'!$A$62,'Données projet'!$B$62,AI66+AH67-AQ66)))</f>
        <v>217.6</v>
      </c>
      <c r="AJ67" s="13">
        <f>AI67*VLOOKUP('Données projet'!$B$10,Paramètres!$A$1:$I$89,3,0)*VLOOKUP('Données projet'!$B$10,Paramètres!$A$1:$I$89,5,0)</f>
        <v>190.09536000000003</v>
      </c>
      <c r="AK67" s="13">
        <f t="shared" si="35"/>
        <v>47.56103497756866</v>
      </c>
      <c r="AL67" s="20">
        <f t="shared" si="4"/>
        <v>413.91822125259881</v>
      </c>
      <c r="AM67" s="59">
        <f t="shared" si="5"/>
        <v>707.25155458593213</v>
      </c>
      <c r="AN67" s="59">
        <f ca="1">AVERAGE(OFFSET($AM$3,0,0,'Données projet'!$E$10+1,1))-AVERAGE(OFFSET($H$3,0,0,'Données projet'!$E$10+1,1))</f>
        <v>254.24072778190163</v>
      </c>
      <c r="AO67" s="59">
        <f t="shared" si="36"/>
        <v>356.78706780980383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1.5672229127922015</v>
      </c>
      <c r="AV67" s="21">
        <f>EXP(-LN(2)/25)*AV66+(1-EXP(-LN(2)/25))/(LN(2)/25)*Calculateur!AQ67*Calculateur!AS67*VLOOKUP('Données projet'!$B$10,Paramètres!$A$1:$I$89,3,0)*0.475*44/12</f>
        <v>6.892647542688449</v>
      </c>
      <c r="AW67" s="21">
        <f>EXP(-LN(2)/2)*AW66+(1-EXP(-LN(2)/2))/(LN(2)/2)*AQ67*AT67*VLOOKUP('Données projet'!$B$10,Paramètres!$A$1:$I$89,3,0)*0.475*44/12</f>
        <v>2.1186833808261655E-4</v>
      </c>
      <c r="AX67" s="21">
        <f t="shared" si="6"/>
        <v>8.4600823238187335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9.1999999999999993</v>
      </c>
      <c r="BD67" s="12">
        <f>IF('Données projet'!$A$88&gt;35,BD66+BC67-BL66,IF(A67&lt;'Données projet'!$A$88,$BA$205^A67,IF(A67='Données projet'!$A$88,'Données projet'!$B$88,BD66+BC67-BL66)))</f>
        <v>366.79999999999973</v>
      </c>
      <c r="BE67" s="13">
        <f>BD67*VLOOKUP('Données projet'!$B$11,Paramètres!$A$1:$I$89,3,0)*VLOOKUP('Données projet'!$B$11,Paramètres!$A$1:$I$89,5,0)</f>
        <v>219.34639999999987</v>
      </c>
      <c r="BF67" s="13">
        <f t="shared" si="37"/>
        <v>53.972804400117923</v>
      </c>
      <c r="BG67" s="20">
        <f t="shared" si="7"/>
        <v>476.03094766353843</v>
      </c>
      <c r="BH67" s="59">
        <f t="shared" si="8"/>
        <v>769.36428099687168</v>
      </c>
      <c r="BI67" s="59">
        <f ca="1">AVERAGE(OFFSET($BH$3,0,0,'Données projet'!$E$11+1,1))-AVERAGE(OFFSET($H$3,0,0,'Données projet'!$E$11+1,1))</f>
        <v>246.59447135626942</v>
      </c>
      <c r="BJ67" s="59">
        <f t="shared" si="38"/>
        <v>262.00382544285367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5.0058455171621912</v>
      </c>
      <c r="BR67" s="21">
        <f>EXP(-LN(2)/2)*BR66+(1-EXP(-LN(2)/2))/(LN(2)/2)*BL67*BO67*VLOOKUP('Données projet'!$B$11,Paramètres!$A$1:$I$89,3,0)*0.475*44/12</f>
        <v>1.8104064845137765E-4</v>
      </c>
      <c r="BS67" s="22">
        <f t="shared" si="9"/>
        <v>5.0060265578106424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154.80000000000001</v>
      </c>
      <c r="BZ67" s="13">
        <f>BY67*VLOOKUP('Données projet'!$B$12,Paramètres!$A$1:$I$89,3,0)*VLOOKUP('Données projet'!$B$12,Paramètres!$A$1:$I$89,5,0)</f>
        <v>140.06304</v>
      </c>
      <c r="CA67" s="13">
        <f t="shared" si="39"/>
        <v>36.31144669536954</v>
      </c>
      <c r="CB67" s="20">
        <f t="shared" si="10"/>
        <v>307.18556432776859</v>
      </c>
      <c r="CC67" s="59">
        <f t="shared" si="11"/>
        <v>600.51889766110185</v>
      </c>
      <c r="CD67" s="59">
        <f ca="1">AVERAGE(OFFSET($CC$3,0,0,'Données projet'!$E$12+1,1))-AVERAGE(OFFSET($H$3,0,0,'Données projet'!$E$12+1,1))</f>
        <v>169.62156467157178</v>
      </c>
      <c r="CE67" s="59">
        <f t="shared" si="40"/>
        <v>85.631326020763254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4.0999999999999996</v>
      </c>
      <c r="CT67" s="12">
        <f>IF('Données projet'!$A$140&gt;35,CT66+CS67-DB66,IF(A67&lt;'Données projet'!$A$140,$CQ$205^A67,IF(A67='Données projet'!$A$140,'Données projet'!$B$140,CT66+CS67-DB66)))</f>
        <v>249.39999999999972</v>
      </c>
      <c r="CU67" s="17">
        <f>CT67*VLOOKUP('Données projet'!$B$13,Paramètres!$A$1:$I$89,3,0)*VLOOKUP('Données projet'!$B$13,Paramètres!$A$1:$I$89,5,0)</f>
        <v>202.31327999999976</v>
      </c>
      <c r="CV67" s="13">
        <f t="shared" si="41"/>
        <v>50.252215888082027</v>
      </c>
      <c r="CW67" s="20">
        <f t="shared" si="13"/>
        <v>439.88490533840906</v>
      </c>
      <c r="CX67" s="59">
        <f t="shared" si="14"/>
        <v>733.21823867174237</v>
      </c>
      <c r="CY67" s="59">
        <f ca="1">AVERAGE(OFFSET($CX$3,0,0,'Données projet'!$E$13+1,1))-AVERAGE(OFFSET($H$3,0,0,'Données projet'!$E$13+1,1))</f>
        <v>234.59657655504111</v>
      </c>
      <c r="CZ67" s="59">
        <f t="shared" si="42"/>
        <v>285.10598666479211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3.3139335926692359</v>
      </c>
      <c r="DH67" s="21">
        <f>EXP(-LN(2)/2)*DH66+(1-EXP(-LN(2)/2))/(LN(2)/2)*DB67*DE67*VLOOKUP('Données projet'!$B$13,Paramètres!$A$1:$I$89,3,0)*0.475*44/12</f>
        <v>8.3714060532431828E-5</v>
      </c>
      <c r="DI67" s="22">
        <f t="shared" si="15"/>
        <v>3.3140173067297685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154.80000000000001</v>
      </c>
      <c r="DP67" s="17">
        <f>DO67*VLOOKUP('Données projet'!$B$14,Paramètres!$A$1:$I$89,3,0)*VLOOKUP('Données projet'!$B$14,Paramètres!$A$1:$I$89,5,0)</f>
        <v>149.72256000000002</v>
      </c>
      <c r="DQ67" s="13">
        <f t="shared" si="43"/>
        <v>38.515529593578506</v>
      </c>
      <c r="DR67" s="20">
        <f t="shared" si="16"/>
        <v>327.84800604214928</v>
      </c>
      <c r="DS67" s="59">
        <f t="shared" si="17"/>
        <v>621.18133937548259</v>
      </c>
      <c r="DT67" s="59">
        <f ca="1">AVERAGE(OFFSET($DS$3,0,0,'Données projet'!$E$14+1,1))-AVERAGE(OFFSET($H$3,0,0,'Données projet'!$E$14+1,1))</f>
        <v>186.90852124957956</v>
      </c>
      <c r="DU67" s="59">
        <f t="shared" si="44"/>
        <v>93.013797128776446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154.80000000000001</v>
      </c>
      <c r="EK67" s="17">
        <f>EJ67*VLOOKUP('Données projet'!$B$15,Paramètres!$A$1:$I$89,3,0)*VLOOKUP('Données projet'!$B$15,Paramètres!$A$1:$I$89,5,0)</f>
        <v>166.62672000000001</v>
      </c>
      <c r="EL67" s="13">
        <f t="shared" si="45"/>
        <v>42.333642074689422</v>
      </c>
      <c r="EM67" s="20">
        <f t="shared" si="19"/>
        <v>363.93929728008408</v>
      </c>
      <c r="EN67" s="59">
        <f t="shared" si="20"/>
        <v>657.27263061341739</v>
      </c>
      <c r="EO67" s="59">
        <f ca="1">AVERAGE(OFFSET($EN$3,0,0,'Données projet'!$E$15+1,1))-AVERAGE(OFFSET($H$3,0,0,'Données projet'!$E$15+1,1))</f>
        <v>217.10418688911096</v>
      </c>
      <c r="EP67" s="59">
        <f t="shared" si="46"/>
        <v>105.90631421515786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145.19188637714888</v>
      </c>
      <c r="T68" s="59">
        <f t="shared" si="34"/>
        <v>169.74069292032493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1.1061493415644388</v>
      </c>
      <c r="AA68" s="21">
        <f>EXP(-LN(2)/25)*AA67+(1-EXP(-LN(2)/25))/(LN(2)/25)*Calculateur!V68*Calculateur!X68*VLOOKUP('Données projet'!$B$9,Paramètres!$A$1:$I$89,3,0)*0.475*44/12</f>
        <v>3.2798549869301654</v>
      </c>
      <c r="AB68" s="21">
        <f>EXP(-LN(2)/2)*AB67+(1-EXP(-LN(2)/2))/(LN(2)/2)*V68*Y68*VLOOKUP('Données projet'!$B$9,Paramètres!$A$1:$I$89,3,0)*0.475*44/12</f>
        <v>2.1824771663308484E-5</v>
      </c>
      <c r="AC68" s="22">
        <f t="shared" ref="AC68:AC131" si="57">SUM(Z68:AB68)</f>
        <v>4.3860261532662674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4.9000000000000004</v>
      </c>
      <c r="AI68" s="13">
        <f>IF('Données projet'!$A$62&gt;35,AI67+AH68-AQ67,IF(A68&lt;'Données projet'!$A$62,$AF$205^A68,IF(A68='Données projet'!$A$62,'Données projet'!$B$62,AI67+AH68-AQ67)))</f>
        <v>222.5</v>
      </c>
      <c r="AJ68" s="13">
        <f>AI68*VLOOKUP('Données projet'!$B$10,Paramètres!$A$1:$I$89,3,0)*VLOOKUP('Données projet'!$B$10,Paramètres!$A$1:$I$89,5,0)</f>
        <v>194.37600000000003</v>
      </c>
      <c r="AK68" s="13">
        <f t="shared" si="35"/>
        <v>48.506138465833132</v>
      </c>
      <c r="AL68" s="20">
        <f t="shared" ref="AL68:AL131" si="58">(AJ68+AK68)*0.475*44/12</f>
        <v>423.01972449465944</v>
      </c>
      <c r="AM68" s="59">
        <f t="shared" ref="AM68:AM131" si="59">AL68+(AD68+AE68)*44/12</f>
        <v>716.35305782799276</v>
      </c>
      <c r="AN68" s="59">
        <f ca="1">AVERAGE(OFFSET($AM$3,0,0,'Données projet'!$E$10+1,1))-AVERAGE(OFFSET($H$3,0,0,'Données projet'!$E$10+1,1))</f>
        <v>254.24072778190163</v>
      </c>
      <c r="AO68" s="59">
        <f t="shared" si="36"/>
        <v>356.78706780980383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1.5364906273839347</v>
      </c>
      <c r="AV68" s="21">
        <f>EXP(-LN(2)/25)*AV67+(1-EXP(-LN(2)/25))/(LN(2)/25)*Calculateur!AQ68*Calculateur!AS68*VLOOKUP('Données projet'!$B$10,Paramètres!$A$1:$I$89,3,0)*0.475*44/12</f>
        <v>6.7041677331650522</v>
      </c>
      <c r="AW68" s="21">
        <f>EXP(-LN(2)/2)*AW67+(1-EXP(-LN(2)/2))/(LN(2)/2)*AQ68*AT68*VLOOKUP('Données projet'!$B$10,Paramètres!$A$1:$I$89,3,0)*0.475*44/12</f>
        <v>1.4981353857694221E-4</v>
      </c>
      <c r="AX68" s="21">
        <f t="shared" ref="AX68:AX131" si="60">SUM(AU68:AW68)</f>
        <v>8.2408081740875652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9.1999999999999993</v>
      </c>
      <c r="BD68" s="12">
        <f>IF('Données projet'!$A$88&gt;35,BD67+BC68-BL67,IF(A68&lt;'Données projet'!$A$88,$BA$205^A68,IF(A68='Données projet'!$A$88,'Données projet'!$B$88,BD67+BC68-BL67)))</f>
        <v>375.99999999999972</v>
      </c>
      <c r="BE68" s="13">
        <f>BD68*VLOOKUP('Données projet'!$B$11,Paramètres!$A$1:$I$89,3,0)*VLOOKUP('Données projet'!$B$11,Paramètres!$A$1:$I$89,5,0)</f>
        <v>224.84799999999984</v>
      </c>
      <c r="BF68" s="13">
        <f t="shared" si="37"/>
        <v>55.167234148809698</v>
      </c>
      <c r="BG68" s="20">
        <f t="shared" ref="BG68:BG131" si="61">(BE68+BF68)*0.475*44/12</f>
        <v>487.69319947584319</v>
      </c>
      <c r="BH68" s="59">
        <f t="shared" ref="BH68:BH131" si="62">BG68+(AY68+AZ68)*44/12</f>
        <v>781.0265328091765</v>
      </c>
      <c r="BI68" s="59">
        <f ca="1">AVERAGE(OFFSET($BH$3,0,0,'Données projet'!$E$11+1,1))-AVERAGE(OFFSET($H$3,0,0,'Données projet'!$E$11+1,1))</f>
        <v>246.59447135626942</v>
      </c>
      <c r="BJ68" s="59">
        <f t="shared" si="38"/>
        <v>262.00382544285367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4.868960408249416</v>
      </c>
      <c r="BR68" s="21">
        <f>EXP(-LN(2)/2)*BR67+(1-EXP(-LN(2)/2))/(LN(2)/2)*BL68*BO68*VLOOKUP('Données projet'!$B$11,Paramètres!$A$1:$I$89,3,0)*0.475*44/12</f>
        <v>1.2801507019037897E-4</v>
      </c>
      <c r="BS68" s="22">
        <f t="shared" ref="BS68:BS131" si="63">SUM(BP68:BR68)</f>
        <v>4.8690884233196066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160</v>
      </c>
      <c r="BZ68" s="13">
        <f>BY68*VLOOKUP('Données projet'!$B$12,Paramètres!$A$1:$I$89,3,0)*VLOOKUP('Données projet'!$B$12,Paramètres!$A$1:$I$89,5,0)</f>
        <v>144.768</v>
      </c>
      <c r="CA68" s="13">
        <f t="shared" si="39"/>
        <v>37.387149255707826</v>
      </c>
      <c r="CB68" s="20">
        <f t="shared" ref="CB68:CB131" si="64">(BZ68+CA68)*0.475*44/12</f>
        <v>317.25355162035777</v>
      </c>
      <c r="CC68" s="59">
        <f t="shared" ref="CC68:CC131" si="65">CB68+(BT68+BU68)*44/12</f>
        <v>610.58688495369108</v>
      </c>
      <c r="CD68" s="59">
        <f ca="1">AVERAGE(OFFSET($CC$3,0,0,'Données projet'!$E$12+1,1))-AVERAGE(OFFSET($H$3,0,0,'Données projet'!$E$12+1,1))</f>
        <v>169.62156467157178</v>
      </c>
      <c r="CE68" s="59">
        <f t="shared" si="40"/>
        <v>85.631326020763254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4.0999999999999996</v>
      </c>
      <c r="CT68" s="12">
        <f>IF('Données projet'!$A$140&gt;35,CT67+CS68-DB67,IF(A68&lt;'Données projet'!$A$140,$CQ$205^A68,IF(A68='Données projet'!$A$140,'Données projet'!$B$140,CT67+CS68-DB67)))</f>
        <v>253.49999999999972</v>
      </c>
      <c r="CU68" s="17">
        <f>CT68*VLOOKUP('Données projet'!$B$13,Paramètres!$A$1:$I$89,3,0)*VLOOKUP('Données projet'!$B$13,Paramètres!$A$1:$I$89,5,0)</f>
        <v>205.63919999999976</v>
      </c>
      <c r="CV68" s="13">
        <f t="shared" si="41"/>
        <v>50.981480488268076</v>
      </c>
      <c r="CW68" s="20">
        <f t="shared" ref="CW68:CW131" si="67">(CU68+CV68)*0.475*44/12</f>
        <v>446.94768518373309</v>
      </c>
      <c r="CX68" s="59">
        <f t="shared" ref="CX68:CX131" si="68">CW68+(CO68+CP68)*44/12</f>
        <v>740.2810185170664</v>
      </c>
      <c r="CY68" s="59">
        <f ca="1">AVERAGE(OFFSET($CX$3,0,0,'Données projet'!$E$13+1,1))-AVERAGE(OFFSET($H$3,0,0,'Données projet'!$E$13+1,1))</f>
        <v>234.59657655504111</v>
      </c>
      <c r="CZ68" s="59">
        <f t="shared" si="42"/>
        <v>285.10598666479211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3.2233139043055021</v>
      </c>
      <c r="DH68" s="21">
        <f>EXP(-LN(2)/2)*DH67+(1-EXP(-LN(2)/2))/(LN(2)/2)*DB68*DE68*VLOOKUP('Données projet'!$B$13,Paramètres!$A$1:$I$89,3,0)*0.475*44/12</f>
        <v>5.919477988314367E-5</v>
      </c>
      <c r="DI68" s="22">
        <f t="shared" ref="DI68:DI131" si="69">SUM(DF68:DH68)</f>
        <v>3.2233730990853853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160</v>
      </c>
      <c r="DP68" s="17">
        <f>DO68*VLOOKUP('Données projet'!$B$14,Paramètres!$A$1:$I$89,3,0)*VLOOKUP('Données projet'!$B$14,Paramètres!$A$1:$I$89,5,0)</f>
        <v>154.75200000000001</v>
      </c>
      <c r="DQ68" s="13">
        <f t="shared" si="43"/>
        <v>39.656526650076415</v>
      </c>
      <c r="DR68" s="20">
        <f t="shared" ref="DR68:DR131" si="70">(DP68+DQ68)*0.475*44/12</f>
        <v>338.59485058221645</v>
      </c>
      <c r="DS68" s="59">
        <f t="shared" ref="DS68:DS131" si="71">DR68+(DJ68+DK68)*44/12</f>
        <v>631.92818391554977</v>
      </c>
      <c r="DT68" s="59">
        <f ca="1">AVERAGE(OFFSET($DS$3,0,0,'Données projet'!$E$14+1,1))-AVERAGE(OFFSET($H$3,0,0,'Données projet'!$E$14+1,1))</f>
        <v>186.90852124957956</v>
      </c>
      <c r="DU68" s="59">
        <f t="shared" si="44"/>
        <v>93.013797128776446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160</v>
      </c>
      <c r="EK68" s="17">
        <f>EJ68*VLOOKUP('Données projet'!$B$15,Paramètres!$A$1:$I$89,3,0)*VLOOKUP('Données projet'!$B$15,Paramètres!$A$1:$I$89,5,0)</f>
        <v>172.22399999999999</v>
      </c>
      <c r="EL68" s="13">
        <f t="shared" si="45"/>
        <v>43.587748184815709</v>
      </c>
      <c r="EM68" s="20">
        <f t="shared" ref="EM68:EM131" si="73">(EK68+EL68)*0.475*44/12</f>
        <v>375.87212808855401</v>
      </c>
      <c r="EN68" s="59">
        <f t="shared" ref="EN68:EN131" si="74">EM68+(EE68+EF68)*44/12</f>
        <v>669.20546142188732</v>
      </c>
      <c r="EO68" s="59">
        <f ca="1">AVERAGE(OFFSET($EN$3,0,0,'Données projet'!$E$15+1,1))-AVERAGE(OFFSET($H$3,0,0,'Données projet'!$E$15+1,1))</f>
        <v>217.10418688911096</v>
      </c>
      <c r="EP68" s="59">
        <f t="shared" si="46"/>
        <v>105.90631421515786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145.19188637714888</v>
      </c>
      <c r="T69" s="59">
        <f t="shared" ref="T69:T132" si="88">$T$3</f>
        <v>169.74069292032493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1.0844584276608389</v>
      </c>
      <c r="AA69" s="21">
        <f>EXP(-LN(2)/25)*AA68+(1-EXP(-LN(2)/25))/(LN(2)/25)*Calculateur!V69*Calculateur!X69*VLOOKUP('Données projet'!$B$9,Paramètres!$A$1:$I$89,3,0)*0.475*44/12</f>
        <v>3.1901671798324824</v>
      </c>
      <c r="AB69" s="21">
        <f>EXP(-LN(2)/2)*AB68+(1-EXP(-LN(2)/2))/(LN(2)/2)*V69*Y69*VLOOKUP('Données projet'!$B$9,Paramètres!$A$1:$I$89,3,0)*0.475*44/12</f>
        <v>1.5432444040973435E-5</v>
      </c>
      <c r="AC69" s="22">
        <f t="shared" si="57"/>
        <v>4.2746410399373627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4.9000000000000004</v>
      </c>
      <c r="AI69" s="13">
        <f>IF('Données projet'!$A$62&gt;35,AI68+AH69-AQ68,IF(A69&lt;'Données projet'!$A$62,$AF$205^A69,IF(A69='Données projet'!$A$62,'Données projet'!$B$62,AI68+AH69-AQ68)))</f>
        <v>227.4</v>
      </c>
      <c r="AJ69" s="13">
        <f>AI69*VLOOKUP('Données projet'!$B$10,Paramètres!$A$1:$I$89,3,0)*VLOOKUP('Données projet'!$B$10,Paramètres!$A$1:$I$89,5,0)</f>
        <v>198.65664000000001</v>
      </c>
      <c r="AK69" s="13">
        <f t="shared" ref="AK69:AK132" si="89">EXP(-1.0587+0.8836*LN(AJ69)+0.284)</f>
        <v>49.448822156743425</v>
      </c>
      <c r="AL69" s="20">
        <f t="shared" si="58"/>
        <v>432.11701325632816</v>
      </c>
      <c r="AM69" s="59">
        <f t="shared" si="59"/>
        <v>725.45034658966142</v>
      </c>
      <c r="AN69" s="59">
        <f ca="1">AVERAGE(OFFSET($AM$3,0,0,'Données projet'!$E$10+1,1))-AVERAGE(OFFSET($H$3,0,0,'Données projet'!$E$10+1,1))</f>
        <v>254.24072778190163</v>
      </c>
      <c r="AO69" s="59">
        <f t="shared" ref="AO69:AO132" si="90">$AO$3</f>
        <v>356.78706780980383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1.506360983347681</v>
      </c>
      <c r="AV69" s="21">
        <f>EXP(-LN(2)/25)*AV68+(1-EXP(-LN(2)/25))/(LN(2)/25)*Calculateur!AQ69*Calculateur!AS69*VLOOKUP('Données projet'!$B$10,Paramètres!$A$1:$I$89,3,0)*0.475*44/12</f>
        <v>6.5208419139447953</v>
      </c>
      <c r="AW69" s="21">
        <f>EXP(-LN(2)/2)*AW68+(1-EXP(-LN(2)/2))/(LN(2)/2)*AQ69*AT69*VLOOKUP('Données projet'!$B$10,Paramètres!$A$1:$I$89,3,0)*0.475*44/12</f>
        <v>1.0593416904130827E-4</v>
      </c>
      <c r="AX69" s="21">
        <f t="shared" si="60"/>
        <v>8.027308831461518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9.1999999999999993</v>
      </c>
      <c r="BD69" s="12">
        <f>IF('Données projet'!$A$88&gt;35,BD68+BC69-BL68,IF(A69&lt;'Données projet'!$A$88,$BA$205^A69,IF(A69='Données projet'!$A$88,'Données projet'!$B$88,BD68+BC69-BL68)))</f>
        <v>385.1999999999997</v>
      </c>
      <c r="BE69" s="13">
        <f>BD69*VLOOKUP('Données projet'!$B$11,Paramètres!$A$1:$I$89,3,0)*VLOOKUP('Données projet'!$B$11,Paramètres!$A$1:$I$89,5,0)</f>
        <v>230.34959999999984</v>
      </c>
      <c r="BF69" s="13">
        <f t="shared" ref="BF69:BF132" si="91">EXP(-1.0587+0.8836*LN(BE69)+0.284)</f>
        <v>56.358266541426261</v>
      </c>
      <c r="BG69" s="20">
        <f t="shared" si="61"/>
        <v>499.34953422631708</v>
      </c>
      <c r="BH69" s="59">
        <f t="shared" si="62"/>
        <v>792.68286755965039</v>
      </c>
      <c r="BI69" s="59">
        <f ca="1">AVERAGE(OFFSET($BH$3,0,0,'Données projet'!$E$11+1,1))-AVERAGE(OFFSET($H$3,0,0,'Données projet'!$E$11+1,1))</f>
        <v>246.59447135626942</v>
      </c>
      <c r="BJ69" s="59">
        <f t="shared" ref="BJ69:BJ132" si="92">$BJ$3</f>
        <v>262.00382544285367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4.7358184298383357</v>
      </c>
      <c r="BR69" s="21">
        <f>EXP(-LN(2)/2)*BR68+(1-EXP(-LN(2)/2))/(LN(2)/2)*BL69*BO69*VLOOKUP('Données projet'!$B$11,Paramètres!$A$1:$I$89,3,0)*0.475*44/12</f>
        <v>9.0520324225688826E-5</v>
      </c>
      <c r="BS69" s="22">
        <f t="shared" si="63"/>
        <v>4.7359089501625613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165.2</v>
      </c>
      <c r="BZ69" s="13">
        <f>BY69*VLOOKUP('Données projet'!$B$12,Paramètres!$A$1:$I$89,3,0)*VLOOKUP('Données projet'!$B$12,Paramètres!$A$1:$I$89,5,0)</f>
        <v>149.47296</v>
      </c>
      <c r="CA69" s="13">
        <f t="shared" ref="CA69:CA132" si="93">EXP(-1.0587+0.8836*LN(BZ69)+0.284)</f>
        <v>38.458789365254987</v>
      </c>
      <c r="CB69" s="20">
        <f t="shared" si="64"/>
        <v>327.31446347781906</v>
      </c>
      <c r="CC69" s="59">
        <f t="shared" si="65"/>
        <v>620.64779681115238</v>
      </c>
      <c r="CD69" s="59">
        <f ca="1">AVERAGE(OFFSET($CC$3,0,0,'Données projet'!$E$12+1,1))-AVERAGE(OFFSET($H$3,0,0,'Données projet'!$E$12+1,1))</f>
        <v>169.62156467157178</v>
      </c>
      <c r="CE69" s="59">
        <f t="shared" ref="CE69:CE132" si="94">$CE$3</f>
        <v>85.631326020763254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4.0999999999999996</v>
      </c>
      <c r="CT69" s="12">
        <f>IF('Données projet'!$A$140&gt;35,CT68+CS69-DB68,IF(A69&lt;'Données projet'!$A$140,$CQ$205^A69,IF(A69='Données projet'!$A$140,'Données projet'!$B$140,CT68+CS69-DB68)))</f>
        <v>257.59999999999974</v>
      </c>
      <c r="CU69" s="17">
        <f>CT69*VLOOKUP('Données projet'!$B$13,Paramètres!$A$1:$I$89,3,0)*VLOOKUP('Données projet'!$B$13,Paramètres!$A$1:$I$89,5,0)</f>
        <v>208.96511999999979</v>
      </c>
      <c r="CV69" s="13">
        <f t="shared" ref="CV69:CV132" si="95">EXP(-1.0587+0.8836*LN(CU69)+0.284)</f>
        <v>51.709373400619548</v>
      </c>
      <c r="CW69" s="20">
        <f t="shared" si="67"/>
        <v>454.00807600607862</v>
      </c>
      <c r="CX69" s="59">
        <f t="shared" si="68"/>
        <v>747.34140933941194</v>
      </c>
      <c r="CY69" s="59">
        <f ca="1">AVERAGE(OFFSET($CX$3,0,0,'Données projet'!$E$13+1,1))-AVERAGE(OFFSET($H$3,0,0,'Données projet'!$E$13+1,1))</f>
        <v>234.59657655504111</v>
      </c>
      <c r="CZ69" s="59">
        <f t="shared" ref="CZ69:CZ132" si="96">$CZ$3</f>
        <v>285.10598666479211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3.1351722160855569</v>
      </c>
      <c r="DH69" s="21">
        <f>EXP(-LN(2)/2)*DH68+(1-EXP(-LN(2)/2))/(LN(2)/2)*DB69*DE69*VLOOKUP('Données projet'!$B$13,Paramètres!$A$1:$I$89,3,0)*0.475*44/12</f>
        <v>4.1857030266215921E-5</v>
      </c>
      <c r="DI69" s="22">
        <f t="shared" si="69"/>
        <v>3.1352140731158231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5.2</v>
      </c>
      <c r="DO69" s="12">
        <f>IF('Données projet'!$A$166&gt;35,DO68+DN69-DW68,IF(A69&lt;'Données projet'!$A$166,$DL$205^A69,IF(A69='Données projet'!$A$166,'Données projet'!$B$166,DO68+DN69-DW68)))</f>
        <v>165.2</v>
      </c>
      <c r="DP69" s="17">
        <f>DO69*VLOOKUP('Données projet'!$B$14,Paramètres!$A$1:$I$89,3,0)*VLOOKUP('Données projet'!$B$14,Paramètres!$A$1:$I$89,5,0)</f>
        <v>159.78144</v>
      </c>
      <c r="DQ69" s="13">
        <f t="shared" ref="DQ69:DQ132" si="97">EXP(-1.0587+0.8836*LN(DP69)+0.284)</f>
        <v>40.793214667472085</v>
      </c>
      <c r="DR69" s="20">
        <f t="shared" si="70"/>
        <v>349.33419021251393</v>
      </c>
      <c r="DS69" s="59">
        <f t="shared" si="71"/>
        <v>642.66752354584719</v>
      </c>
      <c r="DT69" s="59">
        <f ca="1">AVERAGE(OFFSET($DS$3,0,0,'Données projet'!$E$14+1,1))-AVERAGE(OFFSET($H$3,0,0,'Données projet'!$E$14+1,1))</f>
        <v>186.90852124957956</v>
      </c>
      <c r="DU69" s="59">
        <f t="shared" ref="DU69:DU132" si="98">$DU$3</f>
        <v>93.013797128776446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5.2</v>
      </c>
      <c r="EJ69" s="12">
        <f>IF('Données projet'!$A$192&gt;35,EJ68+EI69-ER68,IF(A69&lt;'Données projet'!$A$192,$EG$205^A69,IF(A69='Données projet'!$A$192,'Données projet'!$B$192,EJ68+EI69-ER68)))</f>
        <v>165.2</v>
      </c>
      <c r="EK69" s="17">
        <f>EJ69*VLOOKUP('Données projet'!$B$15,Paramètres!$A$1:$I$89,3,0)*VLOOKUP('Données projet'!$B$15,Paramètres!$A$1:$I$89,5,0)</f>
        <v>177.82127999999997</v>
      </c>
      <c r="EL69" s="13">
        <f t="shared" ref="EL69:EL132" si="99">EXP(-1.0587+0.8836*LN(EK69)+0.284)</f>
        <v>44.837118093182212</v>
      </c>
      <c r="EM69" s="20">
        <f t="shared" si="73"/>
        <v>387.79671001229229</v>
      </c>
      <c r="EN69" s="59">
        <f t="shared" si="74"/>
        <v>681.13004334562561</v>
      </c>
      <c r="EO69" s="59">
        <f ca="1">AVERAGE(OFFSET($EN$3,0,0,'Données projet'!$E$15+1,1))-AVERAGE(OFFSET($H$3,0,0,'Données projet'!$E$15+1,1))</f>
        <v>217.10418688911096</v>
      </c>
      <c r="EP69" s="59">
        <f t="shared" ref="EP69:EP132" si="100">$EP$3</f>
        <v>105.90631421515786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145.19188637714888</v>
      </c>
      <c r="T70" s="59">
        <f t="shared" si="88"/>
        <v>169.74069292032493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1.0631928593487374</v>
      </c>
      <c r="AA70" s="21">
        <f>EXP(-LN(2)/25)*AA69+(1-EXP(-LN(2)/25))/(LN(2)/25)*Calculateur!V70*Calculateur!X70*VLOOKUP('Données projet'!$B$9,Paramètres!$A$1:$I$89,3,0)*0.475*44/12</f>
        <v>3.1029318905363623</v>
      </c>
      <c r="AB70" s="21">
        <f>EXP(-LN(2)/2)*AB69+(1-EXP(-LN(2)/2))/(LN(2)/2)*V70*Y70*VLOOKUP('Données projet'!$B$9,Paramètres!$A$1:$I$89,3,0)*0.475*44/12</f>
        <v>1.0912385831654242E-5</v>
      </c>
      <c r="AC70" s="22">
        <f t="shared" si="57"/>
        <v>4.1661356622709311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4.9000000000000004</v>
      </c>
      <c r="AI70" s="13">
        <f>IF('Données projet'!$A$62&gt;35,AI69+AH70-AQ69,IF(A70&lt;'Données projet'!$A$62,$AF$205^A70,IF(A70='Données projet'!$A$62,'Données projet'!$B$62,AI69+AH70-AQ69)))</f>
        <v>232.3</v>
      </c>
      <c r="AJ70" s="13">
        <f>AI70*VLOOKUP('Données projet'!$B$10,Paramètres!$A$1:$I$89,3,0)*VLOOKUP('Données projet'!$B$10,Paramètres!$A$1:$I$89,5,0)</f>
        <v>202.93728000000004</v>
      </c>
      <c r="AK70" s="13">
        <f t="shared" si="89"/>
        <v>50.389144197364736</v>
      </c>
      <c r="AL70" s="20">
        <f t="shared" si="58"/>
        <v>441.21018881041033</v>
      </c>
      <c r="AM70" s="59">
        <f t="shared" si="59"/>
        <v>734.54352214374364</v>
      </c>
      <c r="AN70" s="59">
        <f ca="1">AVERAGE(OFFSET($AM$3,0,0,'Données projet'!$E$10+1,1))-AVERAGE(OFFSET($H$3,0,0,'Données projet'!$E$10+1,1))</f>
        <v>254.24072778190163</v>
      </c>
      <c r="AO70" s="59">
        <f t="shared" si="90"/>
        <v>356.78706780980383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1.47682216325371</v>
      </c>
      <c r="AV70" s="21">
        <f>EXP(-LN(2)/25)*AV69+(1-EXP(-LN(2)/25))/(LN(2)/25)*Calculateur!AQ70*Calculateur!AS70*VLOOKUP('Données projet'!$B$10,Paramètres!$A$1:$I$89,3,0)*0.475*44/12</f>
        <v>6.3425291488918019</v>
      </c>
      <c r="AW70" s="21">
        <f>EXP(-LN(2)/2)*AW69+(1-EXP(-LN(2)/2))/(LN(2)/2)*AQ70*AT70*VLOOKUP('Données projet'!$B$10,Paramètres!$A$1:$I$89,3,0)*0.475*44/12</f>
        <v>7.4906769288471105E-5</v>
      </c>
      <c r="AX70" s="21">
        <f t="shared" si="60"/>
        <v>7.8194262189148009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9.1999999999999993</v>
      </c>
      <c r="BD70" s="12">
        <f>IF('Données projet'!$A$88&gt;35,BD69+BC70-BL69,IF(A70&lt;'Données projet'!$A$88,$BA$205^A70,IF(A70='Données projet'!$A$88,'Données projet'!$B$88,BD69+BC70-BL69)))</f>
        <v>394.39999999999969</v>
      </c>
      <c r="BE70" s="13">
        <f>BD70*VLOOKUP('Données projet'!$B$11,Paramètres!$A$1:$I$89,3,0)*VLOOKUP('Données projet'!$B$11,Paramètres!$A$1:$I$89,5,0)</f>
        <v>235.85119999999984</v>
      </c>
      <c r="BF70" s="13">
        <f t="shared" si="91"/>
        <v>57.545992055843016</v>
      </c>
      <c r="BG70" s="20">
        <f t="shared" si="61"/>
        <v>511.0001094972597</v>
      </c>
      <c r="BH70" s="59">
        <f t="shared" si="62"/>
        <v>804.33344283059296</v>
      </c>
      <c r="BI70" s="59">
        <f ca="1">AVERAGE(OFFSET($BH$3,0,0,'Données projet'!$E$11+1,1))-AVERAGE(OFFSET($H$3,0,0,'Données projet'!$E$11+1,1))</f>
        <v>246.59447135626942</v>
      </c>
      <c r="BJ70" s="59">
        <f t="shared" si="92"/>
        <v>262.00382544285367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4.6063172258285388</v>
      </c>
      <c r="BR70" s="21">
        <f>EXP(-LN(2)/2)*BR69+(1-EXP(-LN(2)/2))/(LN(2)/2)*BL70*BO70*VLOOKUP('Données projet'!$B$11,Paramètres!$A$1:$I$89,3,0)*0.475*44/12</f>
        <v>6.4007535095189484E-5</v>
      </c>
      <c r="BS70" s="22">
        <f t="shared" si="63"/>
        <v>4.606381233363634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170.39999999999998</v>
      </c>
      <c r="BZ70" s="13">
        <f>BY70*VLOOKUP('Données projet'!$B$12,Paramètres!$A$1:$I$89,3,0)*VLOOKUP('Données projet'!$B$12,Paramètres!$A$1:$I$89,5,0)</f>
        <v>154.17791999999997</v>
      </c>
      <c r="CA70" s="13">
        <f t="shared" si="93"/>
        <v>39.526509568829269</v>
      </c>
      <c r="CB70" s="20">
        <f t="shared" si="64"/>
        <v>337.36854816571093</v>
      </c>
      <c r="CC70" s="59">
        <f t="shared" si="65"/>
        <v>630.70188149904425</v>
      </c>
      <c r="CD70" s="59">
        <f ca="1">AVERAGE(OFFSET($CC$3,0,0,'Données projet'!$E$12+1,1))-AVERAGE(OFFSET($H$3,0,0,'Données projet'!$E$12+1,1))</f>
        <v>169.62156467157178</v>
      </c>
      <c r="CE70" s="59">
        <f t="shared" si="94"/>
        <v>85.631326020763254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4.0999999999999996</v>
      </c>
      <c r="CT70" s="12">
        <f>IF('Données projet'!$A$140&gt;35,CT69+CS70-DB69,IF(A70&lt;'Données projet'!$A$140,$CQ$205^A70,IF(A70='Données projet'!$A$140,'Données projet'!$B$140,CT69+CS70-DB69)))</f>
        <v>261.69999999999976</v>
      </c>
      <c r="CU70" s="17">
        <f>CT70*VLOOKUP('Données projet'!$B$13,Paramètres!$A$1:$I$89,3,0)*VLOOKUP('Données projet'!$B$13,Paramètres!$A$1:$I$89,5,0)</f>
        <v>212.29103999999984</v>
      </c>
      <c r="CV70" s="13">
        <f t="shared" si="95"/>
        <v>52.435918977875581</v>
      </c>
      <c r="CW70" s="20">
        <f t="shared" si="67"/>
        <v>461.06612021979964</v>
      </c>
      <c r="CX70" s="59">
        <f t="shared" si="68"/>
        <v>754.39945355313296</v>
      </c>
      <c r="CY70" s="59">
        <f ca="1">AVERAGE(OFFSET($CX$3,0,0,'Données projet'!$E$13+1,1))-AVERAGE(OFFSET($H$3,0,0,'Données projet'!$E$13+1,1))</f>
        <v>234.59657655504111</v>
      </c>
      <c r="CZ70" s="59">
        <f t="shared" si="96"/>
        <v>285.10598666479211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3.049440766965156</v>
      </c>
      <c r="DH70" s="21">
        <f>EXP(-LN(2)/2)*DH69+(1-EXP(-LN(2)/2))/(LN(2)/2)*DB70*DE70*VLOOKUP('Données projet'!$B$13,Paramètres!$A$1:$I$89,3,0)*0.475*44/12</f>
        <v>2.9597389941571842E-5</v>
      </c>
      <c r="DI70" s="22">
        <f t="shared" si="69"/>
        <v>3.0494703643550976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5.2</v>
      </c>
      <c r="DO70" s="12">
        <f>IF('Données projet'!$A$166&gt;35,DO69+DN70-DW69,IF(A70&lt;'Données projet'!$A$166,$DL$205^A70,IF(A70='Données projet'!$A$166,'Données projet'!$B$166,DO69+DN70-DW69)))</f>
        <v>170.39999999999998</v>
      </c>
      <c r="DP70" s="17">
        <f>DO70*VLOOKUP('Données projet'!$B$14,Paramètres!$A$1:$I$89,3,0)*VLOOKUP('Données projet'!$B$14,Paramètres!$A$1:$I$89,5,0)</f>
        <v>164.81087999999997</v>
      </c>
      <c r="DQ70" s="13">
        <f t="shared" si="97"/>
        <v>41.9257448429683</v>
      </c>
      <c r="DR70" s="20">
        <f t="shared" si="70"/>
        <v>360.06628826816973</v>
      </c>
      <c r="DS70" s="59">
        <f t="shared" si="71"/>
        <v>653.39962160150299</v>
      </c>
      <c r="DT70" s="59">
        <f ca="1">AVERAGE(OFFSET($DS$3,0,0,'Données projet'!$E$14+1,1))-AVERAGE(OFFSET($H$3,0,0,'Données projet'!$E$14+1,1))</f>
        <v>186.90852124957956</v>
      </c>
      <c r="DU70" s="59">
        <f t="shared" si="98"/>
        <v>93.013797128776446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5.2</v>
      </c>
      <c r="EJ70" s="12">
        <f>IF('Données projet'!$A$192&gt;35,EJ69+EI70-ER69,IF(A70&lt;'Données projet'!$A$192,$EG$205^A70,IF(A70='Données projet'!$A$192,'Données projet'!$B$192,EJ69+EI70-ER69)))</f>
        <v>170.39999999999998</v>
      </c>
      <c r="EK70" s="17">
        <f>EJ70*VLOOKUP('Données projet'!$B$15,Paramètres!$A$1:$I$89,3,0)*VLOOKUP('Données projet'!$B$15,Paramètres!$A$1:$I$89,5,0)</f>
        <v>183.41855999999999</v>
      </c>
      <c r="EL70" s="13">
        <f t="shared" si="99"/>
        <v>46.081917985437457</v>
      </c>
      <c r="EM70" s="20">
        <f t="shared" si="73"/>
        <v>399.71333249130356</v>
      </c>
      <c r="EN70" s="59">
        <f t="shared" si="74"/>
        <v>693.04666582463688</v>
      </c>
      <c r="EO70" s="59">
        <f ca="1">AVERAGE(OFFSET($EN$3,0,0,'Données projet'!$E$15+1,1))-AVERAGE(OFFSET($H$3,0,0,'Données projet'!$E$15+1,1))</f>
        <v>217.10418688911096</v>
      </c>
      <c r="EP70" s="59">
        <f t="shared" si="100"/>
        <v>105.90631421515786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145.19188637714888</v>
      </c>
      <c r="T71" s="59">
        <f t="shared" si="88"/>
        <v>169.74069292032493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1.0423442958605205</v>
      </c>
      <c r="AA71" s="21">
        <f>EXP(-LN(2)/25)*AA70+(1-EXP(-LN(2)/25))/(LN(2)/25)*Calculateur!V71*Calculateur!X71*VLOOKUP('Données projet'!$B$9,Paramètres!$A$1:$I$89,3,0)*0.475*44/12</f>
        <v>3.0180820548135494</v>
      </c>
      <c r="AB71" s="21">
        <f>EXP(-LN(2)/2)*AB70+(1-EXP(-LN(2)/2))/(LN(2)/2)*V71*Y71*VLOOKUP('Données projet'!$B$9,Paramètres!$A$1:$I$89,3,0)*0.475*44/12</f>
        <v>7.7162220204867176E-6</v>
      </c>
      <c r="AC71" s="22">
        <f t="shared" si="57"/>
        <v>4.0604340668960903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4.9000000000000004</v>
      </c>
      <c r="AI71" s="13">
        <f>IF('Données projet'!$A$62&gt;35,AI70+AH71-AQ70,IF(A71&lt;'Données projet'!$A$62,$AF$205^A71,IF(A71='Données projet'!$A$62,'Données projet'!$B$62,AI70+AH71-AQ70)))</f>
        <v>237.20000000000002</v>
      </c>
      <c r="AJ71" s="13">
        <f>AI71*VLOOKUP('Données projet'!$B$10,Paramètres!$A$1:$I$89,3,0)*VLOOKUP('Données projet'!$B$10,Paramètres!$A$1:$I$89,5,0)</f>
        <v>207.21792000000005</v>
      </c>
      <c r="AK71" s="13">
        <f t="shared" si="89"/>
        <v>51.327160141561521</v>
      </c>
      <c r="AL71" s="20">
        <f t="shared" si="58"/>
        <v>450.29934791321972</v>
      </c>
      <c r="AM71" s="59">
        <f t="shared" si="59"/>
        <v>743.63268124655303</v>
      </c>
      <c r="AN71" s="59">
        <f ca="1">AVERAGE(OFFSET($AM$3,0,0,'Données projet'!$E$10+1,1))-AVERAGE(OFFSET($H$3,0,0,'Données projet'!$E$10+1,1))</f>
        <v>254.24072778190163</v>
      </c>
      <c r="AO71" s="59">
        <f t="shared" si="90"/>
        <v>356.78706780980383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1.4478625814048804</v>
      </c>
      <c r="AV71" s="21">
        <f>EXP(-LN(2)/25)*AV70+(1-EXP(-LN(2)/25))/(LN(2)/25)*Calculateur!AQ71*Calculateur!AS71*VLOOKUP('Données projet'!$B$10,Paramètres!$A$1:$I$89,3,0)*0.475*44/12</f>
        <v>6.169092355776244</v>
      </c>
      <c r="AW71" s="21">
        <f>EXP(-LN(2)/2)*AW70+(1-EXP(-LN(2)/2))/(LN(2)/2)*AQ71*AT71*VLOOKUP('Données projet'!$B$10,Paramètres!$A$1:$I$89,3,0)*0.475*44/12</f>
        <v>5.2967084520654137E-5</v>
      </c>
      <c r="AX71" s="21">
        <f t="shared" si="60"/>
        <v>7.6170079042656456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9.1999999999999993</v>
      </c>
      <c r="BD71" s="12">
        <f>IF('Données projet'!$A$88&gt;35,BD70+BC71-BL70,IF(A71&lt;'Données projet'!$A$88,$BA$205^A71,IF(A71='Données projet'!$A$88,'Données projet'!$B$88,BD70+BC71-BL70)))</f>
        <v>403.59999999999968</v>
      </c>
      <c r="BE71" s="13">
        <f>BD71*VLOOKUP('Données projet'!$B$11,Paramètres!$A$1:$I$89,3,0)*VLOOKUP('Données projet'!$B$11,Paramètres!$A$1:$I$89,5,0)</f>
        <v>241.35279999999983</v>
      </c>
      <c r="BF71" s="13">
        <f t="shared" si="91"/>
        <v>58.730496708031964</v>
      </c>
      <c r="BG71" s="20">
        <f t="shared" si="61"/>
        <v>522.64507509982207</v>
      </c>
      <c r="BH71" s="59">
        <f t="shared" si="62"/>
        <v>815.97840843315544</v>
      </c>
      <c r="BI71" s="59">
        <f ca="1">AVERAGE(OFFSET($BH$3,0,0,'Données projet'!$E$11+1,1))-AVERAGE(OFFSET($H$3,0,0,'Données projet'!$E$11+1,1))</f>
        <v>246.59447135626942</v>
      </c>
      <c r="BJ71" s="59">
        <f t="shared" si="92"/>
        <v>262.00382544285367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4.4803572390525623</v>
      </c>
      <c r="BR71" s="21">
        <f>EXP(-LN(2)/2)*BR70+(1-EXP(-LN(2)/2))/(LN(2)/2)*BL71*BO71*VLOOKUP('Données projet'!$B$11,Paramètres!$A$1:$I$89,3,0)*0.475*44/12</f>
        <v>4.5260162112844413E-5</v>
      </c>
      <c r="BS71" s="22">
        <f t="shared" si="63"/>
        <v>4.4804024992146756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175.59999999999997</v>
      </c>
      <c r="BZ71" s="13">
        <f>BY71*VLOOKUP('Données projet'!$B$12,Paramètres!$A$1:$I$89,3,0)*VLOOKUP('Données projet'!$B$12,Paramètres!$A$1:$I$89,5,0)</f>
        <v>158.88287999999997</v>
      </c>
      <c r="CA71" s="13">
        <f t="shared" si="93"/>
        <v>40.590443217000178</v>
      </c>
      <c r="CB71" s="20">
        <f t="shared" si="64"/>
        <v>347.41603793627519</v>
      </c>
      <c r="CC71" s="59">
        <f t="shared" si="65"/>
        <v>640.74937126960845</v>
      </c>
      <c r="CD71" s="59">
        <f ca="1">AVERAGE(OFFSET($CC$3,0,0,'Données projet'!$E$12+1,1))-AVERAGE(OFFSET($H$3,0,0,'Données projet'!$E$12+1,1))</f>
        <v>169.62156467157178</v>
      </c>
      <c r="CE71" s="59">
        <f t="shared" si="94"/>
        <v>85.631326020763254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4.0999999999999996</v>
      </c>
      <c r="CT71" s="12">
        <f>IF('Données projet'!$A$140&gt;35,CT70+CS71-DB70,IF(A71&lt;'Données projet'!$A$140,$CQ$205^A71,IF(A71='Données projet'!$A$140,'Données projet'!$B$140,CT70+CS71-DB70)))</f>
        <v>265.79999999999978</v>
      </c>
      <c r="CU71" s="17">
        <f>CT71*VLOOKUP('Données projet'!$B$13,Paramètres!$A$1:$I$89,3,0)*VLOOKUP('Données projet'!$B$13,Paramètres!$A$1:$I$89,5,0)</f>
        <v>215.61695999999984</v>
      </c>
      <c r="CV71" s="13">
        <f t="shared" si="95"/>
        <v>53.161140765943969</v>
      </c>
      <c r="CW71" s="20">
        <f t="shared" si="67"/>
        <v>468.12185883401872</v>
      </c>
      <c r="CX71" s="59">
        <f t="shared" si="68"/>
        <v>761.45519216735204</v>
      </c>
      <c r="CY71" s="59">
        <f ca="1">AVERAGE(OFFSET($CX$3,0,0,'Données projet'!$E$13+1,1))-AVERAGE(OFFSET($H$3,0,0,'Données projet'!$E$13+1,1))</f>
        <v>234.59657655504111</v>
      </c>
      <c r="CZ71" s="59">
        <f t="shared" si="96"/>
        <v>285.10598666479211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2.9660536488293734</v>
      </c>
      <c r="DH71" s="21">
        <f>EXP(-LN(2)/2)*DH70+(1-EXP(-LN(2)/2))/(LN(2)/2)*DB71*DE71*VLOOKUP('Données projet'!$B$13,Paramètres!$A$1:$I$89,3,0)*0.475*44/12</f>
        <v>2.0928515133107964E-5</v>
      </c>
      <c r="DI71" s="22">
        <f t="shared" si="69"/>
        <v>2.9660745773445063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5.2</v>
      </c>
      <c r="DO71" s="12">
        <f>IF('Données projet'!$A$166&gt;35,DO70+DN71-DW70,IF(A71&lt;'Données projet'!$A$166,$DL$205^A71,IF(A71='Données projet'!$A$166,'Données projet'!$B$166,DO70+DN71-DW70)))</f>
        <v>175.59999999999997</v>
      </c>
      <c r="DP71" s="17">
        <f>DO71*VLOOKUP('Données projet'!$B$14,Paramètres!$A$1:$I$89,3,0)*VLOOKUP('Données projet'!$B$14,Paramètres!$A$1:$I$89,5,0)</f>
        <v>169.84031999999996</v>
      </c>
      <c r="DQ71" s="13">
        <f t="shared" si="97"/>
        <v>43.054258621433497</v>
      </c>
      <c r="DR71" s="20">
        <f t="shared" si="70"/>
        <v>370.7913910989966</v>
      </c>
      <c r="DS71" s="59">
        <f t="shared" si="71"/>
        <v>664.12472443232991</v>
      </c>
      <c r="DT71" s="59">
        <f ca="1">AVERAGE(OFFSET($DS$3,0,0,'Données projet'!$E$14+1,1))-AVERAGE(OFFSET($H$3,0,0,'Données projet'!$E$14+1,1))</f>
        <v>186.90852124957956</v>
      </c>
      <c r="DU71" s="59">
        <f t="shared" si="98"/>
        <v>93.013797128776446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5.2</v>
      </c>
      <c r="EJ71" s="12">
        <f>IF('Données projet'!$A$192&gt;35,EJ70+EI71-ER70,IF(A71&lt;'Données projet'!$A$192,$EG$205^A71,IF(A71='Données projet'!$A$192,'Données projet'!$B$192,EJ70+EI71-ER70)))</f>
        <v>175.59999999999997</v>
      </c>
      <c r="EK71" s="17">
        <f>EJ71*VLOOKUP('Données projet'!$B$15,Paramètres!$A$1:$I$89,3,0)*VLOOKUP('Données projet'!$B$15,Paramètres!$A$1:$I$89,5,0)</f>
        <v>189.01583999999997</v>
      </c>
      <c r="EL71" s="13">
        <f t="shared" si="99"/>
        <v>47.322303328129664</v>
      </c>
      <c r="EM71" s="20">
        <f t="shared" si="73"/>
        <v>411.62226629649246</v>
      </c>
      <c r="EN71" s="59">
        <f t="shared" si="74"/>
        <v>704.95559962982577</v>
      </c>
      <c r="EO71" s="59">
        <f ca="1">AVERAGE(OFFSET($EN$3,0,0,'Données projet'!$E$15+1,1))-AVERAGE(OFFSET($H$3,0,0,'Données projet'!$E$15+1,1))</f>
        <v>217.10418688911096</v>
      </c>
      <c r="EP71" s="59">
        <f t="shared" si="100"/>
        <v>105.90631421515786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145.19188637714888</v>
      </c>
      <c r="T72" s="59">
        <f t="shared" si="88"/>
        <v>169.74069292032493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1.0219045599859393</v>
      </c>
      <c r="AA72" s="21">
        <f>EXP(-LN(2)/25)*AA71+(1-EXP(-LN(2)/25))/(LN(2)/25)*Calculateur!V72*Calculateur!X72*VLOOKUP('Données projet'!$B$9,Paramètres!$A$1:$I$89,3,0)*0.475*44/12</f>
        <v>2.9355524423106356</v>
      </c>
      <c r="AB72" s="21">
        <f>EXP(-LN(2)/2)*AB71+(1-EXP(-LN(2)/2))/(LN(2)/2)*V72*Y72*VLOOKUP('Données projet'!$B$9,Paramètres!$A$1:$I$89,3,0)*0.475*44/12</f>
        <v>5.4561929158271211E-6</v>
      </c>
      <c r="AC72" s="22">
        <f t="shared" si="57"/>
        <v>3.9574624584894909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4.9000000000000004</v>
      </c>
      <c r="AI72" s="13">
        <f>IF('Données projet'!$A$62&gt;35,AI71+AH72-AQ71,IF(A72&lt;'Données projet'!$A$62,$AF$205^A72,IF(A72='Données projet'!$A$62,'Données projet'!$B$62,AI71+AH72-AQ71)))</f>
        <v>242.10000000000002</v>
      </c>
      <c r="AJ72" s="13">
        <f>AI72*VLOOKUP('Données projet'!$B$10,Paramètres!$A$1:$I$89,3,0)*VLOOKUP('Données projet'!$B$10,Paramètres!$A$1:$I$89,5,0)</f>
        <v>211.49856000000005</v>
      </c>
      <c r="AK72" s="13">
        <f t="shared" si="89"/>
        <v>52.262923116788812</v>
      </c>
      <c r="AL72" s="20">
        <f t="shared" si="58"/>
        <v>459.38458309507399</v>
      </c>
      <c r="AM72" s="59">
        <f t="shared" si="59"/>
        <v>752.71791642840731</v>
      </c>
      <c r="AN72" s="59">
        <f ca="1">AVERAGE(OFFSET($AM$3,0,0,'Données projet'!$E$10+1,1))-AVERAGE(OFFSET($H$3,0,0,'Données projet'!$E$10+1,1))</f>
        <v>254.24072778190163</v>
      </c>
      <c r="AO72" s="59">
        <f t="shared" si="90"/>
        <v>356.78706780980383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1.4194708792925057</v>
      </c>
      <c r="AV72" s="21">
        <f>EXP(-LN(2)/25)*AV71+(1-EXP(-LN(2)/25))/(LN(2)/25)*Calculateur!AQ72*Calculateur!AS72*VLOOKUP('Données projet'!$B$10,Paramètres!$A$1:$I$89,3,0)*0.475*44/12</f>
        <v>6.0003982008890757</v>
      </c>
      <c r="AW72" s="21">
        <f>EXP(-LN(2)/2)*AW71+(1-EXP(-LN(2)/2))/(LN(2)/2)*AQ72*AT72*VLOOKUP('Données projet'!$B$10,Paramètres!$A$1:$I$89,3,0)*0.475*44/12</f>
        <v>3.7453384644235552E-5</v>
      </c>
      <c r="AX72" s="21">
        <f t="shared" si="60"/>
        <v>7.419906533566226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9.1999999999999993</v>
      </c>
      <c r="BD72" s="12">
        <f>IF('Données projet'!$A$88&gt;35,BD71+BC72-BL71,IF(A72&lt;'Données projet'!$A$88,$BA$205^A72,IF(A72='Données projet'!$A$88,'Données projet'!$B$88,BD71+BC72-BL71)))</f>
        <v>412.79999999999967</v>
      </c>
      <c r="BE72" s="13">
        <f>BD72*VLOOKUP('Données projet'!$B$11,Paramètres!$A$1:$I$89,3,0)*VLOOKUP('Données projet'!$B$11,Paramètres!$A$1:$I$89,5,0)</f>
        <v>246.85439999999983</v>
      </c>
      <c r="BF72" s="13">
        <f t="shared" si="91"/>
        <v>59.911862368716115</v>
      </c>
      <c r="BG72" s="20">
        <f t="shared" si="61"/>
        <v>534.28457362551364</v>
      </c>
      <c r="BH72" s="59">
        <f t="shared" si="62"/>
        <v>827.61790695884702</v>
      </c>
      <c r="BI72" s="59">
        <f ca="1">AVERAGE(OFFSET($BH$3,0,0,'Données projet'!$E$11+1,1))-AVERAGE(OFFSET($H$3,0,0,'Données projet'!$E$11+1,1))</f>
        <v>246.59447135626942</v>
      </c>
      <c r="BJ72" s="59">
        <f t="shared" si="92"/>
        <v>262.00382544285367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4.3578416347389224</v>
      </c>
      <c r="BR72" s="21">
        <f>EXP(-LN(2)/2)*BR71+(1-EXP(-LN(2)/2))/(LN(2)/2)*BL72*BO72*VLOOKUP('Données projet'!$B$11,Paramètres!$A$1:$I$89,3,0)*0.475*44/12</f>
        <v>3.2003767547594742E-5</v>
      </c>
      <c r="BS72" s="22">
        <f t="shared" si="63"/>
        <v>4.3578736385064696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180.79999999999995</v>
      </c>
      <c r="BZ72" s="13">
        <f>BY72*VLOOKUP('Données projet'!$B$12,Paramètres!$A$1:$I$89,3,0)*VLOOKUP('Données projet'!$B$12,Paramètres!$A$1:$I$89,5,0)</f>
        <v>163.58783999999994</v>
      </c>
      <c r="CA72" s="13">
        <f t="shared" si="93"/>
        <v>41.650715313623969</v>
      </c>
      <c r="CB72" s="20">
        <f t="shared" si="64"/>
        <v>357.45715050456164</v>
      </c>
      <c r="CC72" s="59">
        <f t="shared" si="65"/>
        <v>650.79048383789495</v>
      </c>
      <c r="CD72" s="59">
        <f ca="1">AVERAGE(OFFSET($CC$3,0,0,'Données projet'!$E$12+1,1))-AVERAGE(OFFSET($H$3,0,0,'Données projet'!$E$12+1,1))</f>
        <v>169.62156467157178</v>
      </c>
      <c r="CE72" s="59">
        <f t="shared" si="94"/>
        <v>85.631326020763254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4.0999999999999996</v>
      </c>
      <c r="CT72" s="12">
        <f>IF('Données projet'!$A$140&gt;35,CT71+CS72-DB71,IF(A72&lt;'Données projet'!$A$140,$CQ$205^A72,IF(A72='Données projet'!$A$140,'Données projet'!$B$140,CT71+CS72-DB71)))</f>
        <v>269.89999999999981</v>
      </c>
      <c r="CU72" s="17">
        <f>CT72*VLOOKUP('Données projet'!$B$13,Paramètres!$A$1:$I$89,3,0)*VLOOKUP('Données projet'!$B$13,Paramètres!$A$1:$I$89,5,0)</f>
        <v>218.94287999999986</v>
      </c>
      <c r="CV72" s="13">
        <f t="shared" si="95"/>
        <v>53.885061542657262</v>
      </c>
      <c r="CW72" s="20">
        <f t="shared" si="67"/>
        <v>475.17533152012783</v>
      </c>
      <c r="CX72" s="59">
        <f t="shared" si="68"/>
        <v>768.50866485346114</v>
      </c>
      <c r="CY72" s="59">
        <f ca="1">AVERAGE(OFFSET($CX$3,0,0,'Données projet'!$E$13+1,1))-AVERAGE(OFFSET($H$3,0,0,'Données projet'!$E$13+1,1))</f>
        <v>234.59657655504111</v>
      </c>
      <c r="CZ72" s="59">
        <f t="shared" si="96"/>
        <v>285.10598666479211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2.8849467558241519</v>
      </c>
      <c r="DH72" s="21">
        <f>EXP(-LN(2)/2)*DH71+(1-EXP(-LN(2)/2))/(LN(2)/2)*DB72*DE72*VLOOKUP('Données projet'!$B$13,Paramètres!$A$1:$I$89,3,0)*0.475*44/12</f>
        <v>1.4798694970785923E-5</v>
      </c>
      <c r="DI72" s="22">
        <f t="shared" si="69"/>
        <v>2.8849615545191227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5.2</v>
      </c>
      <c r="DO72" s="12">
        <f>IF('Données projet'!$A$166&gt;35,DO71+DN72-DW71,IF(A72&lt;'Données projet'!$A$166,$DL$205^A72,IF(A72='Données projet'!$A$166,'Données projet'!$B$166,DO71+DN72-DW71)))</f>
        <v>180.79999999999995</v>
      </c>
      <c r="DP72" s="17">
        <f>DO72*VLOOKUP('Données projet'!$B$14,Paramètres!$A$1:$I$89,3,0)*VLOOKUP('Données projet'!$B$14,Paramètres!$A$1:$I$89,5,0)</f>
        <v>174.86975999999996</v>
      </c>
      <c r="DQ72" s="13">
        <f t="shared" si="97"/>
        <v>44.178888594382762</v>
      </c>
      <c r="DR72" s="20">
        <f t="shared" si="70"/>
        <v>381.5097296352165</v>
      </c>
      <c r="DS72" s="59">
        <f t="shared" si="71"/>
        <v>674.84306296854982</v>
      </c>
      <c r="DT72" s="59">
        <f ca="1">AVERAGE(OFFSET($DS$3,0,0,'Données projet'!$E$14+1,1))-AVERAGE(OFFSET($H$3,0,0,'Données projet'!$E$14+1,1))</f>
        <v>186.90852124957956</v>
      </c>
      <c r="DU72" s="59">
        <f t="shared" si="98"/>
        <v>93.013797128776446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5.2</v>
      </c>
      <c r="EJ72" s="12">
        <f>IF('Données projet'!$A$192&gt;35,EJ71+EI72-ER71,IF(A72&lt;'Données projet'!$A$192,$EG$205^A72,IF(A72='Données projet'!$A$192,'Données projet'!$B$192,EJ71+EI72-ER71)))</f>
        <v>180.79999999999995</v>
      </c>
      <c r="EK72" s="17">
        <f>EJ72*VLOOKUP('Données projet'!$B$15,Paramètres!$A$1:$I$89,3,0)*VLOOKUP('Données projet'!$B$15,Paramètres!$A$1:$I$89,5,0)</f>
        <v>194.61311999999992</v>
      </c>
      <c r="EL72" s="13">
        <f t="shared" si="99"/>
        <v>48.558419856804839</v>
      </c>
      <c r="EM72" s="20">
        <f t="shared" si="73"/>
        <v>423.52376525060163</v>
      </c>
      <c r="EN72" s="59">
        <f t="shared" si="74"/>
        <v>716.85709858393489</v>
      </c>
      <c r="EO72" s="59">
        <f ca="1">AVERAGE(OFFSET($EN$3,0,0,'Données projet'!$E$15+1,1))-AVERAGE(OFFSET($H$3,0,0,'Données projet'!$E$15+1,1))</f>
        <v>217.10418688911096</v>
      </c>
      <c r="EP72" s="59">
        <f t="shared" si="100"/>
        <v>105.90631421515786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145.19188637714888</v>
      </c>
      <c r="T73" s="59">
        <f t="shared" si="88"/>
        <v>169.74069292032493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1.0018656348648509</v>
      </c>
      <c r="AA73" s="21">
        <f>EXP(-LN(2)/25)*AA72+(1-EXP(-LN(2)/25))/(LN(2)/25)*Calculateur!V73*Calculateur!X73*VLOOKUP('Données projet'!$B$9,Paramètres!$A$1:$I$89,3,0)*0.475*44/12</f>
        <v>2.8552796064016577</v>
      </c>
      <c r="AB73" s="21">
        <f>EXP(-LN(2)/2)*AB72+(1-EXP(-LN(2)/2))/(LN(2)/2)*V73*Y73*VLOOKUP('Données projet'!$B$9,Paramètres!$A$1:$I$89,3,0)*0.475*44/12</f>
        <v>3.8581110102433588E-6</v>
      </c>
      <c r="AC73" s="22">
        <f t="shared" si="57"/>
        <v>3.8571490993775188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247</v>
      </c>
      <c r="AG73" s="12">
        <f>VLOOKUP(A73,'Données projet'!$A$61:$I$81,9,0)</f>
        <v>4.9000000000000004</v>
      </c>
      <c r="AH73" s="12">
        <f t="array" ref="AH73">INDEX(AG:AG,MIN(IF(ISNUMBER(AG73:AG269),ROW(AG73:AG269),"")))</f>
        <v>4.9000000000000004</v>
      </c>
      <c r="AI73" s="13">
        <f>IF('Données projet'!$A$62&gt;35,AI72+AH73-AQ72,IF(A73&lt;'Données projet'!$A$62,$AF$205^A73,IF(A73='Données projet'!$A$62,'Données projet'!$B$62,AI72+AH73-AQ72)))</f>
        <v>247.00000000000003</v>
      </c>
      <c r="AJ73" s="13">
        <f>AI73*VLOOKUP('Données projet'!$B$10,Paramètres!$A$1:$I$89,3,0)*VLOOKUP('Données projet'!$B$10,Paramètres!$A$1:$I$89,5,0)</f>
        <v>215.77920000000003</v>
      </c>
      <c r="AK73" s="13">
        <f t="shared" si="89"/>
        <v>53.196483976998607</v>
      </c>
      <c r="AL73" s="20">
        <f t="shared" si="58"/>
        <v>468.46598292660593</v>
      </c>
      <c r="AM73" s="59">
        <f t="shared" si="59"/>
        <v>761.79931625993925</v>
      </c>
      <c r="AN73" s="59">
        <f ca="1">AVERAGE(OFFSET($AM$3,0,0,'Données projet'!$E$10+1,1))-AVERAGE(OFFSET($H$3,0,0,'Données projet'!$E$10+1,1))</f>
        <v>254.24072778190163</v>
      </c>
      <c r="AO73" s="59">
        <f t="shared" si="90"/>
        <v>356.78706780980383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37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1.3916359211413263</v>
      </c>
      <c r="AV73" s="21">
        <f>EXP(-LN(2)/25)*AV72+(1-EXP(-LN(2)/25))/(LN(2)/25)*Calculateur!AQ73*Calculateur!AS73*VLOOKUP('Données projet'!$B$10,Paramètres!$A$1:$I$89,3,0)*0.475*44/12</f>
        <v>5.8363169965385371</v>
      </c>
      <c r="AW73" s="21">
        <f>EXP(-LN(2)/2)*AW72+(1-EXP(-LN(2)/2))/(LN(2)/2)*AQ73*AT73*VLOOKUP('Données projet'!$B$10,Paramètres!$A$1:$I$89,3,0)*0.475*44/12</f>
        <v>2.6483542260327068E-5</v>
      </c>
      <c r="AX73" s="21">
        <f t="shared" si="60"/>
        <v>7.2279794012221235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422</v>
      </c>
      <c r="BB73" s="12">
        <f>VLOOKUP(A73,'Données projet'!$A$87:$I$107,9,0)</f>
        <v>9.1999999999999993</v>
      </c>
      <c r="BC73" s="12">
        <f t="array" ref="BC73">INDEX(BB:BB,MIN(IF(ISNUMBER(BB73:BB269),ROW(BB73:BB269),"")))</f>
        <v>9.1999999999999993</v>
      </c>
      <c r="BD73" s="12">
        <f>IF('Données projet'!$A$88&gt;35,BD72+BC73-BL72,IF(A73&lt;'Données projet'!$A$88,$BA$205^A73,IF(A73='Données projet'!$A$88,'Données projet'!$B$88,BD72+BC73-BL72)))</f>
        <v>421.99999999999966</v>
      </c>
      <c r="BE73" s="13">
        <f>BD73*VLOOKUP('Données projet'!$B$11,Paramètres!$A$1:$I$89,3,0)*VLOOKUP('Données projet'!$B$11,Paramètres!$A$1:$I$89,5,0)</f>
        <v>252.35599999999982</v>
      </c>
      <c r="BF73" s="13">
        <f t="shared" si="91"/>
        <v>61.090167050998701</v>
      </c>
      <c r="BG73" s="20">
        <f t="shared" si="61"/>
        <v>545.9187409471557</v>
      </c>
      <c r="BH73" s="59">
        <f t="shared" si="62"/>
        <v>839.25207428048907</v>
      </c>
      <c r="BI73" s="59">
        <f ca="1">AVERAGE(OFFSET($BH$3,0,0,'Données projet'!$E$11+1,1))-AVERAGE(OFFSET($H$3,0,0,'Données projet'!$E$11+1,1))</f>
        <v>246.59447135626942</v>
      </c>
      <c r="BJ73" s="59">
        <f t="shared" si="92"/>
        <v>262.00382544285367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44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4.2386762260680548</v>
      </c>
      <c r="BR73" s="21">
        <f>EXP(-LN(2)/2)*BR72+(1-EXP(-LN(2)/2))/(LN(2)/2)*BL73*BO73*VLOOKUP('Données projet'!$B$11,Paramètres!$A$1:$I$89,3,0)*0.475*44/12</f>
        <v>2.2630081056422206E-5</v>
      </c>
      <c r="BS73" s="22">
        <f t="shared" si="63"/>
        <v>4.238698856149111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186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185.99999999999994</v>
      </c>
      <c r="BZ73" s="13">
        <f>BY73*VLOOKUP('Données projet'!$B$12,Paramètres!$A$1:$I$89,3,0)*VLOOKUP('Données projet'!$B$12,Paramètres!$A$1:$I$89,5,0)</f>
        <v>168.29279999999994</v>
      </c>
      <c r="CA73" s="13">
        <f t="shared" si="93"/>
        <v>42.707443263135069</v>
      </c>
      <c r="CB73" s="20">
        <f t="shared" si="64"/>
        <v>367.49209034996011</v>
      </c>
      <c r="CC73" s="59">
        <f t="shared" si="65"/>
        <v>660.82542368329337</v>
      </c>
      <c r="CD73" s="59">
        <f ca="1">AVERAGE(OFFSET($CC$3,0,0,'Données projet'!$E$12+1,1))-AVERAGE(OFFSET($H$3,0,0,'Données projet'!$E$12+1,1))</f>
        <v>169.62156467157178</v>
      </c>
      <c r="CE73" s="59">
        <f t="shared" si="94"/>
        <v>85.631326020763254</v>
      </c>
      <c r="CF73" s="15">
        <f>IF(ISNA(VLOOKUP(A73,'Données projet'!$A$113:$I$133,3,0)),0,VLOOKUP(A73,'Données projet'!$A$113:$I$133,3,0))</f>
        <v>4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274</v>
      </c>
      <c r="CR73" s="12">
        <f>VLOOKUP(A73,'Données projet'!$A$139:$I$159,9,0)</f>
        <v>4.0999999999999996</v>
      </c>
      <c r="CS73" s="12">
        <f t="array" ref="CS73">INDEX(CR:CR,MIN(IF(ISNUMBER(CR73:CR269),ROW(CR73:CR269),"")))</f>
        <v>4.0999999999999996</v>
      </c>
      <c r="CT73" s="12">
        <f>IF('Données projet'!$A$140&gt;35,CT72+CS73-DB72,IF(A73&lt;'Données projet'!$A$140,$CQ$205^A73,IF(A73='Données projet'!$A$140,'Données projet'!$B$140,CT72+CS73-DB72)))</f>
        <v>273.99999999999983</v>
      </c>
      <c r="CU73" s="17">
        <f>CT73*VLOOKUP('Données projet'!$B$13,Paramètres!$A$1:$I$89,3,0)*VLOOKUP('Données projet'!$B$13,Paramètres!$A$1:$I$89,5,0)</f>
        <v>222.26879999999986</v>
      </c>
      <c r="CV73" s="13">
        <f t="shared" si="95"/>
        <v>54.607703354107656</v>
      </c>
      <c r="CW73" s="20">
        <f t="shared" si="67"/>
        <v>482.22657667507048</v>
      </c>
      <c r="CX73" s="59">
        <f t="shared" si="68"/>
        <v>775.55991000840379</v>
      </c>
      <c r="CY73" s="59">
        <f ca="1">AVERAGE(OFFSET($CX$3,0,0,'Données projet'!$E$13+1,1))-AVERAGE(OFFSET($H$3,0,0,'Données projet'!$E$13+1,1))</f>
        <v>234.59657655504111</v>
      </c>
      <c r="CZ73" s="59">
        <f t="shared" si="96"/>
        <v>285.10598666479211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21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2.8060577350733844</v>
      </c>
      <c r="DH73" s="21">
        <f>EXP(-LN(2)/2)*DH72+(1-EXP(-LN(2)/2))/(LN(2)/2)*DB73*DE73*VLOOKUP('Données projet'!$B$13,Paramètres!$A$1:$I$89,3,0)*0.475*44/12</f>
        <v>1.0464257566553984E-5</v>
      </c>
      <c r="DI73" s="22">
        <f t="shared" si="69"/>
        <v>2.8060681993309511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186</v>
      </c>
      <c r="DM73" s="12">
        <f>VLOOKUP(A73,'Données projet'!$A$165:$I$185,9,0)</f>
        <v>5.2</v>
      </c>
      <c r="DN73" s="12">
        <f t="array" ref="DN73">INDEX(DM:DM,MIN(IF(ISNUMBER(DM73:DM269),ROW(DM73:DM269),"")))</f>
        <v>5.2</v>
      </c>
      <c r="DO73" s="12">
        <f>IF('Données projet'!$A$166&gt;35,DO72+DN73-DW72,IF(A73&lt;'Données projet'!$A$166,$DL$205^A73,IF(A73='Données projet'!$A$166,'Données projet'!$B$166,DO72+DN73-DW72)))</f>
        <v>185.99999999999994</v>
      </c>
      <c r="DP73" s="17">
        <f>DO73*VLOOKUP('Données projet'!$B$14,Paramètres!$A$1:$I$89,3,0)*VLOOKUP('Données projet'!$B$14,Paramètres!$A$1:$I$89,5,0)</f>
        <v>179.89919999999995</v>
      </c>
      <c r="DQ73" s="13">
        <f t="shared" si="97"/>
        <v>45.299759292628586</v>
      </c>
      <c r="DR73" s="20">
        <f t="shared" si="70"/>
        <v>392.22152076799466</v>
      </c>
      <c r="DS73" s="59">
        <f t="shared" si="71"/>
        <v>685.55485410132792</v>
      </c>
      <c r="DT73" s="59">
        <f ca="1">AVERAGE(OFFSET($DS$3,0,0,'Données projet'!$E$14+1,1))-AVERAGE(OFFSET($H$3,0,0,'Données projet'!$E$14+1,1))</f>
        <v>186.90852124957956</v>
      </c>
      <c r="DU73" s="59">
        <f t="shared" si="98"/>
        <v>93.013797128776446</v>
      </c>
      <c r="DV73" s="15">
        <f>IF(ISNA(VLOOKUP(A73,'Données projet'!$A$165:$I$185,3,0)),0,VLOOKUP(A73,'Données projet'!$A$165:$I$185,3,0))</f>
        <v>4</v>
      </c>
      <c r="DW73" s="15">
        <f>IF(ISNA(VLOOKUP(A73,'Données projet'!$A$165:$I$185,4,0)),0,VLOOKUP(A73,'Données projet'!$A$165:$I$185,4,0))</f>
        <v>28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186</v>
      </c>
      <c r="EH73" s="12">
        <f>VLOOKUP(A73,'Données projet'!$A$191:$I$211,9,0)</f>
        <v>5.2</v>
      </c>
      <c r="EI73" s="12">
        <f t="array" ref="EI73">INDEX(EH:EH,MIN(IF(ISNUMBER(EH73:EH269),ROW(EH73:EH269),"")))</f>
        <v>5.2</v>
      </c>
      <c r="EJ73" s="12">
        <f>IF('Données projet'!$A$192&gt;35,EJ72+EI73-ER72,IF(A73&lt;'Données projet'!$A$192,$EG$205^A73,IF(A73='Données projet'!$A$192,'Données projet'!$B$192,EJ72+EI73-ER72)))</f>
        <v>185.99999999999994</v>
      </c>
      <c r="EK73" s="17">
        <f>EJ73*VLOOKUP('Données projet'!$B$15,Paramètres!$A$1:$I$89,3,0)*VLOOKUP('Données projet'!$B$15,Paramètres!$A$1:$I$89,5,0)</f>
        <v>200.21039999999994</v>
      </c>
      <c r="EL73" s="13">
        <f t="shared" si="99"/>
        <v>49.790404447235048</v>
      </c>
      <c r="EM73" s="20">
        <f t="shared" si="73"/>
        <v>435.41806774560092</v>
      </c>
      <c r="EN73" s="59">
        <f t="shared" si="74"/>
        <v>728.75140107893424</v>
      </c>
      <c r="EO73" s="59">
        <f ca="1">AVERAGE(OFFSET($EN$3,0,0,'Données projet'!$E$15+1,1))-AVERAGE(OFFSET($H$3,0,0,'Données projet'!$E$15+1,1))</f>
        <v>217.10418688911096</v>
      </c>
      <c r="EP73" s="59">
        <f t="shared" si="100"/>
        <v>105.90631421515786</v>
      </c>
      <c r="EQ73" s="15">
        <f>IF(ISNA(VLOOKUP(A73,'Données projet'!$A$191:$I$211,3,0)),0,VLOOKUP(A73,'Données projet'!$A$191:$I$211,3,0))</f>
        <v>4</v>
      </c>
      <c r="ER73" s="15">
        <f>IF(ISNA(VLOOKUP(A73,'Données projet'!$A$191:$I$211,4,0)),0,VLOOKUP(A73,'Données projet'!$A$191:$I$211,4,0))</f>
        <v>28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145.19188637714888</v>
      </c>
      <c r="T74" s="59">
        <f t="shared" si="88"/>
        <v>169.74069292032493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0.98221966084284951</v>
      </c>
      <c r="AA74" s="21">
        <f>EXP(-LN(2)/25)*AA73+(1-EXP(-LN(2)/25))/(LN(2)/25)*Calculateur!V74*Calculateur!X74*VLOOKUP('Données projet'!$B$9,Paramètres!$A$1:$I$89,3,0)*0.475*44/12</f>
        <v>2.7772018354119758</v>
      </c>
      <c r="AB74" s="21">
        <f>EXP(-LN(2)/2)*AB73+(1-EXP(-LN(2)/2))/(LN(2)/2)*V74*Y74*VLOOKUP('Données projet'!$B$9,Paramètres!$A$1:$I$89,3,0)*0.475*44/12</f>
        <v>2.7280964579135605E-6</v>
      </c>
      <c r="AC74" s="22">
        <f t="shared" si="57"/>
        <v>3.7594242243512834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3.7</v>
      </c>
      <c r="AI74" s="13">
        <f>IF('Données projet'!$A$62&gt;35,AI73+AH74-AQ73,IF(A74&lt;'Données projet'!$A$62,$AF$205^A74,IF(A74='Données projet'!$A$62,'Données projet'!$B$62,AI73+AH74-AQ73)))</f>
        <v>213.70000000000002</v>
      </c>
      <c r="AJ74" s="13">
        <f>AI74*VLOOKUP('Données projet'!$B$10,Paramètres!$A$1:$I$89,3,0)*VLOOKUP('Données projet'!$B$10,Paramètres!$A$1:$I$89,5,0)</f>
        <v>186.68832000000003</v>
      </c>
      <c r="AK74" s="13">
        <f t="shared" si="89"/>
        <v>46.80703983760791</v>
      </c>
      <c r="AL74" s="20">
        <f t="shared" si="58"/>
        <v>406.67108505050049</v>
      </c>
      <c r="AM74" s="59">
        <f t="shared" si="59"/>
        <v>700.00441838383381</v>
      </c>
      <c r="AN74" s="59">
        <f ca="1">AVERAGE(OFFSET($AM$3,0,0,'Données projet'!$E$10+1,1))-AVERAGE(OFFSET($H$3,0,0,'Données projet'!$E$10+1,1))</f>
        <v>254.24072778190163</v>
      </c>
      <c r="AO74" s="59">
        <f t="shared" si="90"/>
        <v>356.78706780980383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1.3643467895418433</v>
      </c>
      <c r="AV74" s="21">
        <f>EXP(-LN(2)/25)*AV73+(1-EXP(-LN(2)/25))/(LN(2)/25)*Calculateur!AQ74*Calculateur!AS74*VLOOKUP('Données projet'!$B$10,Paramètres!$A$1:$I$89,3,0)*0.475*44/12</f>
        <v>5.6767226013496188</v>
      </c>
      <c r="AW74" s="21">
        <f>EXP(-LN(2)/2)*AW73+(1-EXP(-LN(2)/2))/(LN(2)/2)*AQ74*AT74*VLOOKUP('Données projet'!$B$10,Paramètres!$A$1:$I$89,3,0)*0.475*44/12</f>
        <v>1.8726692322117776E-5</v>
      </c>
      <c r="AX74" s="21">
        <f t="shared" si="60"/>
        <v>7.0410881175837838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7.2</v>
      </c>
      <c r="BD74" s="12">
        <f>IF('Données projet'!$A$88&gt;35,BD73+BC74-BL73,IF(A74&lt;'Données projet'!$A$88,$BA$205^A74,IF(A74='Données projet'!$A$88,'Données projet'!$B$88,BD73+BC74-BL73)))</f>
        <v>385.19999999999965</v>
      </c>
      <c r="BE74" s="13">
        <f>BD74*VLOOKUP('Données projet'!$B$11,Paramètres!$A$1:$I$89,3,0)*VLOOKUP('Données projet'!$B$11,Paramètres!$A$1:$I$89,5,0)</f>
        <v>230.34959999999978</v>
      </c>
      <c r="BF74" s="13">
        <f t="shared" si="91"/>
        <v>56.358266541426261</v>
      </c>
      <c r="BG74" s="20">
        <f t="shared" si="61"/>
        <v>499.34953422631702</v>
      </c>
      <c r="BH74" s="59">
        <f t="shared" si="62"/>
        <v>792.68286755965028</v>
      </c>
      <c r="BI74" s="59">
        <f ca="1">AVERAGE(OFFSET($BH$3,0,0,'Données projet'!$E$11+1,1))-AVERAGE(OFFSET($H$3,0,0,'Données projet'!$E$11+1,1))</f>
        <v>246.59447135626942</v>
      </c>
      <c r="BJ74" s="59">
        <f t="shared" si="92"/>
        <v>262.00382544285367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4.1227694017639287</v>
      </c>
      <c r="BR74" s="21">
        <f>EXP(-LN(2)/2)*BR73+(1-EXP(-LN(2)/2))/(LN(2)/2)*BL74*BO74*VLOOKUP('Données projet'!$B$11,Paramètres!$A$1:$I$89,3,0)*0.475*44/12</f>
        <v>1.6001883773797371E-5</v>
      </c>
      <c r="BS74" s="22">
        <f t="shared" si="63"/>
        <v>4.1227854036477023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162.79999999999995</v>
      </c>
      <c r="BZ74" s="13">
        <f>BY74*VLOOKUP('Données projet'!$B$12,Paramètres!$A$1:$I$89,3,0)*VLOOKUP('Données projet'!$B$12,Paramètres!$A$1:$I$89,5,0)</f>
        <v>147.30143999999996</v>
      </c>
      <c r="CA74" s="13">
        <f t="shared" si="93"/>
        <v>37.964681731408312</v>
      </c>
      <c r="CB74" s="20">
        <f t="shared" si="64"/>
        <v>322.67182868220272</v>
      </c>
      <c r="CC74" s="59">
        <f t="shared" si="65"/>
        <v>616.00516201553603</v>
      </c>
      <c r="CD74" s="59">
        <f ca="1">AVERAGE(OFFSET($CC$3,0,0,'Données projet'!$E$12+1,1))-AVERAGE(OFFSET($H$3,0,0,'Données projet'!$E$12+1,1))</f>
        <v>169.62156467157178</v>
      </c>
      <c r="CE74" s="59">
        <f t="shared" si="94"/>
        <v>85.631326020763254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3.1</v>
      </c>
      <c r="CT74" s="12">
        <f>IF('Données projet'!$A$140&gt;35,CT73+CS74-DB73,IF(A74&lt;'Données projet'!$A$140,$CQ$205^A74,IF(A74='Données projet'!$A$140,'Données projet'!$B$140,CT73+CS74-DB73)))</f>
        <v>256.09999999999985</v>
      </c>
      <c r="CU74" s="17">
        <f>CT74*VLOOKUP('Données projet'!$B$13,Paramètres!$A$1:$I$89,3,0)*VLOOKUP('Données projet'!$B$13,Paramètres!$A$1:$I$89,5,0)</f>
        <v>207.74831999999992</v>
      </c>
      <c r="CV74" s="13">
        <f t="shared" si="95"/>
        <v>51.443228678039006</v>
      </c>
      <c r="CW74" s="20">
        <f t="shared" si="67"/>
        <v>451.42528061425111</v>
      </c>
      <c r="CX74" s="59">
        <f t="shared" si="68"/>
        <v>744.75861394758442</v>
      </c>
      <c r="CY74" s="59">
        <f ca="1">AVERAGE(OFFSET($CX$3,0,0,'Données projet'!$E$13+1,1))-AVERAGE(OFFSET($H$3,0,0,'Données projet'!$E$13+1,1))</f>
        <v>234.59657655504111</v>
      </c>
      <c r="CZ74" s="59">
        <f t="shared" si="96"/>
        <v>285.10598666479211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2.7293259387436399</v>
      </c>
      <c r="DH74" s="21">
        <f>EXP(-LN(2)/2)*DH73+(1-EXP(-LN(2)/2))/(LN(2)/2)*DB74*DE74*VLOOKUP('Données projet'!$B$13,Paramètres!$A$1:$I$89,3,0)*0.475*44/12</f>
        <v>7.3993474853929621E-6</v>
      </c>
      <c r="DI74" s="22">
        <f t="shared" si="69"/>
        <v>2.7293333380911253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162.79999999999995</v>
      </c>
      <c r="DP74" s="17">
        <f>DO74*VLOOKUP('Données projet'!$B$14,Paramètres!$A$1:$I$89,3,0)*VLOOKUP('Données projet'!$B$14,Paramètres!$A$1:$I$89,5,0)</f>
        <v>157.46015999999995</v>
      </c>
      <c r="DQ74" s="13">
        <f t="shared" si="97"/>
        <v>40.269114998475459</v>
      </c>
      <c r="DR74" s="20">
        <f t="shared" si="70"/>
        <v>344.37848728901128</v>
      </c>
      <c r="DS74" s="59">
        <f t="shared" si="71"/>
        <v>637.71182062234459</v>
      </c>
      <c r="DT74" s="59">
        <f ca="1">AVERAGE(OFFSET($DS$3,0,0,'Données projet'!$E$14+1,1))-AVERAGE(OFFSET($H$3,0,0,'Données projet'!$E$14+1,1))</f>
        <v>186.90852124957956</v>
      </c>
      <c r="DU74" s="59">
        <f t="shared" si="98"/>
        <v>93.013797128776446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4.8</v>
      </c>
      <c r="EJ74" s="12">
        <f>IF('Données projet'!$A$192&gt;35,EJ73+EI74-ER73,IF(A74&lt;'Données projet'!$A$192,$EG$205^A74,IF(A74='Données projet'!$A$192,'Données projet'!$B$192,EJ73+EI74-ER73)))</f>
        <v>162.79999999999995</v>
      </c>
      <c r="EK74" s="17">
        <f>EJ74*VLOOKUP('Données projet'!$B$15,Paramètres!$A$1:$I$89,3,0)*VLOOKUP('Données projet'!$B$15,Paramètres!$A$1:$I$89,5,0)</f>
        <v>175.23791999999995</v>
      </c>
      <c r="EL74" s="13">
        <f t="shared" si="99"/>
        <v>44.261063498246379</v>
      </c>
      <c r="EM74" s="20">
        <f t="shared" si="73"/>
        <v>382.2940629261123</v>
      </c>
      <c r="EN74" s="59">
        <f t="shared" si="74"/>
        <v>675.62739625944562</v>
      </c>
      <c r="EO74" s="59">
        <f ca="1">AVERAGE(OFFSET($EN$3,0,0,'Données projet'!$E$15+1,1))-AVERAGE(OFFSET($H$3,0,0,'Données projet'!$E$15+1,1))</f>
        <v>217.10418688911096</v>
      </c>
      <c r="EP74" s="59">
        <f t="shared" si="100"/>
        <v>105.90631421515786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145.19188637714888</v>
      </c>
      <c r="T75" s="59">
        <f t="shared" si="88"/>
        <v>169.74069292032493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0.96295893238855867</v>
      </c>
      <c r="AA75" s="21">
        <f>EXP(-LN(2)/25)*AA74+(1-EXP(-LN(2)/25))/(LN(2)/25)*Calculateur!V75*Calculateur!X75*VLOOKUP('Données projet'!$B$9,Paramètres!$A$1:$I$89,3,0)*0.475*44/12</f>
        <v>2.701259105175938</v>
      </c>
      <c r="AB75" s="21">
        <f>EXP(-LN(2)/2)*AB74+(1-EXP(-LN(2)/2))/(LN(2)/2)*V75*Y75*VLOOKUP('Données projet'!$B$9,Paramètres!$A$1:$I$89,3,0)*0.475*44/12</f>
        <v>1.9290555051216794E-6</v>
      </c>
      <c r="AC75" s="22">
        <f t="shared" si="57"/>
        <v>3.6642199666200019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3.7</v>
      </c>
      <c r="AI75" s="13">
        <f>IF('Données projet'!$A$62&gt;35,AI74+AH75-AQ74,IF(A75&lt;'Données projet'!$A$62,$AF$205^A75,IF(A75='Données projet'!$A$62,'Données projet'!$B$62,AI74+AH75-AQ74)))</f>
        <v>217.4</v>
      </c>
      <c r="AJ75" s="13">
        <f>AI75*VLOOKUP('Données projet'!$B$10,Paramètres!$A$1:$I$89,3,0)*VLOOKUP('Données projet'!$B$10,Paramètres!$A$1:$I$89,5,0)</f>
        <v>189.92064000000002</v>
      </c>
      <c r="AK75" s="13">
        <f t="shared" si="89"/>
        <v>47.522407055417723</v>
      </c>
      <c r="AL75" s="20">
        <f t="shared" si="58"/>
        <v>413.54664028818587</v>
      </c>
      <c r="AM75" s="59">
        <f t="shared" si="59"/>
        <v>706.87997362151918</v>
      </c>
      <c r="AN75" s="59">
        <f ca="1">AVERAGE(OFFSET($AM$3,0,0,'Données projet'!$E$10+1,1))-AVERAGE(OFFSET($H$3,0,0,'Données projet'!$E$10+1,1))</f>
        <v>254.24072778190163</v>
      </c>
      <c r="AO75" s="59">
        <f t="shared" si="90"/>
        <v>356.78706780980383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1.3375927811682995</v>
      </c>
      <c r="AV75" s="21">
        <f>EXP(-LN(2)/25)*AV74+(1-EXP(-LN(2)/25))/(LN(2)/25)*Calculateur!AQ75*Calculateur!AS75*VLOOKUP('Données projet'!$B$10,Paramètres!$A$1:$I$89,3,0)*0.475*44/12</f>
        <v>5.5214923232898458</v>
      </c>
      <c r="AW75" s="21">
        <f>EXP(-LN(2)/2)*AW74+(1-EXP(-LN(2)/2))/(LN(2)/2)*AQ75*AT75*VLOOKUP('Données projet'!$B$10,Paramètres!$A$1:$I$89,3,0)*0.475*44/12</f>
        <v>1.3241771130163534E-5</v>
      </c>
      <c r="AX75" s="21">
        <f t="shared" si="60"/>
        <v>6.8590983462292758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7.2</v>
      </c>
      <c r="BD75" s="12">
        <f>IF('Données projet'!$A$88&gt;35,BD74+BC75-BL74,IF(A75&lt;'Données projet'!$A$88,$BA$205^A75,IF(A75='Données projet'!$A$88,'Données projet'!$B$88,BD74+BC75-BL74)))</f>
        <v>392.39999999999964</v>
      </c>
      <c r="BE75" s="13">
        <f>BD75*VLOOKUP('Données projet'!$B$11,Paramètres!$A$1:$I$89,3,0)*VLOOKUP('Données projet'!$B$11,Paramètres!$A$1:$I$89,5,0)</f>
        <v>234.65519999999981</v>
      </c>
      <c r="BF75" s="13">
        <f t="shared" si="91"/>
        <v>57.288067746850942</v>
      </c>
      <c r="BG75" s="20">
        <f t="shared" si="61"/>
        <v>508.46785799243179</v>
      </c>
      <c r="BH75" s="59">
        <f t="shared" si="62"/>
        <v>801.8011913257651</v>
      </c>
      <c r="BI75" s="59">
        <f ca="1">AVERAGE(OFFSET($BH$3,0,0,'Données projet'!$E$11+1,1))-AVERAGE(OFFSET($H$3,0,0,'Données projet'!$E$11+1,1))</f>
        <v>246.59447135626942</v>
      </c>
      <c r="BJ75" s="59">
        <f t="shared" si="92"/>
        <v>262.00382544285367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4.0100320556656737</v>
      </c>
      <c r="BR75" s="21">
        <f>EXP(-LN(2)/2)*BR74+(1-EXP(-LN(2)/2))/(LN(2)/2)*BL75*BO75*VLOOKUP('Données projet'!$B$11,Paramètres!$A$1:$I$89,3,0)*0.475*44/12</f>
        <v>1.1315040528211103E-5</v>
      </c>
      <c r="BS75" s="22">
        <f t="shared" si="63"/>
        <v>4.0100433707062022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167.59999999999997</v>
      </c>
      <c r="BZ75" s="13">
        <f>BY75*VLOOKUP('Données projet'!$B$12,Paramètres!$A$1:$I$89,3,0)*VLOOKUP('Données projet'!$B$12,Paramètres!$A$1:$I$89,5,0)</f>
        <v>151.64447999999996</v>
      </c>
      <c r="CA75" s="13">
        <f t="shared" si="93"/>
        <v>38.952062117783541</v>
      </c>
      <c r="CB75" s="20">
        <f t="shared" si="64"/>
        <v>331.95564418847289</v>
      </c>
      <c r="CC75" s="59">
        <f t="shared" si="65"/>
        <v>625.28897752180615</v>
      </c>
      <c r="CD75" s="59">
        <f ca="1">AVERAGE(OFFSET($CC$3,0,0,'Données projet'!$E$12+1,1))-AVERAGE(OFFSET($H$3,0,0,'Données projet'!$E$12+1,1))</f>
        <v>169.62156467157178</v>
      </c>
      <c r="CE75" s="59">
        <f t="shared" si="94"/>
        <v>85.631326020763254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3.1</v>
      </c>
      <c r="CT75" s="12">
        <f>IF('Données projet'!$A$140&gt;35,CT74+CS75-DB74,IF(A75&lt;'Données projet'!$A$140,$CQ$205^A75,IF(A75='Données projet'!$A$140,'Données projet'!$B$140,CT74+CS75-DB74)))</f>
        <v>259.19999999999987</v>
      </c>
      <c r="CU75" s="17">
        <f>CT75*VLOOKUP('Données projet'!$B$13,Paramètres!$A$1:$I$89,3,0)*VLOOKUP('Données projet'!$B$13,Paramètres!$A$1:$I$89,5,0)</f>
        <v>210.2630399999999</v>
      </c>
      <c r="CV75" s="13">
        <f t="shared" si="95"/>
        <v>51.993062367907982</v>
      </c>
      <c r="CW75" s="20">
        <f t="shared" si="67"/>
        <v>456.7627116241062</v>
      </c>
      <c r="CX75" s="59">
        <f t="shared" si="68"/>
        <v>750.09604495743952</v>
      </c>
      <c r="CY75" s="59">
        <f ca="1">AVERAGE(OFFSET($CX$3,0,0,'Données projet'!$E$13+1,1))-AVERAGE(OFFSET($H$3,0,0,'Données projet'!$E$13+1,1))</f>
        <v>234.59657655504111</v>
      </c>
      <c r="CZ75" s="59">
        <f t="shared" si="96"/>
        <v>285.10598666479211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2.654692377419682</v>
      </c>
      <c r="DH75" s="21">
        <f>EXP(-LN(2)/2)*DH74+(1-EXP(-LN(2)/2))/(LN(2)/2)*DB75*DE75*VLOOKUP('Données projet'!$B$13,Paramètres!$A$1:$I$89,3,0)*0.475*44/12</f>
        <v>5.2321287832769927E-6</v>
      </c>
      <c r="DI75" s="22">
        <f t="shared" si="69"/>
        <v>2.6546976095484651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167.59999999999997</v>
      </c>
      <c r="DP75" s="17">
        <f>DO75*VLOOKUP('Données projet'!$B$14,Paramètres!$A$1:$I$89,3,0)*VLOOKUP('Données projet'!$B$14,Paramètres!$A$1:$I$89,5,0)</f>
        <v>162.10271999999998</v>
      </c>
      <c r="DQ75" s="13">
        <f t="shared" si="97"/>
        <v>41.316428778358635</v>
      </c>
      <c r="DR75" s="20">
        <f t="shared" si="70"/>
        <v>354.28835078897458</v>
      </c>
      <c r="DS75" s="59">
        <f t="shared" si="71"/>
        <v>647.6216841223079</v>
      </c>
      <c r="DT75" s="59">
        <f ca="1">AVERAGE(OFFSET($DS$3,0,0,'Données projet'!$E$14+1,1))-AVERAGE(OFFSET($H$3,0,0,'Données projet'!$E$14+1,1))</f>
        <v>186.90852124957956</v>
      </c>
      <c r="DU75" s="59">
        <f t="shared" si="98"/>
        <v>93.013797128776446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4.8</v>
      </c>
      <c r="EJ75" s="12">
        <f>IF('Données projet'!$A$192&gt;35,EJ74+EI75-ER74,IF(A75&lt;'Données projet'!$A$192,$EG$205^A75,IF(A75='Données projet'!$A$192,'Données projet'!$B$192,EJ74+EI75-ER74)))</f>
        <v>167.59999999999997</v>
      </c>
      <c r="EK75" s="17">
        <f>EJ75*VLOOKUP('Données projet'!$B$15,Paramètres!$A$1:$I$89,3,0)*VLOOKUP('Données projet'!$B$15,Paramètres!$A$1:$I$89,5,0)</f>
        <v>180.40463999999994</v>
      </c>
      <c r="EL75" s="13">
        <f t="shared" si="99"/>
        <v>45.412199343068217</v>
      </c>
      <c r="EM75" s="20">
        <f t="shared" si="73"/>
        <v>393.29766185584367</v>
      </c>
      <c r="EN75" s="59">
        <f t="shared" si="74"/>
        <v>686.63099518917693</v>
      </c>
      <c r="EO75" s="59">
        <f ca="1">AVERAGE(OFFSET($EN$3,0,0,'Données projet'!$E$15+1,1))-AVERAGE(OFFSET($H$3,0,0,'Données projet'!$E$15+1,1))</f>
        <v>217.10418688911096</v>
      </c>
      <c r="EP75" s="59">
        <f t="shared" si="100"/>
        <v>105.90631421515786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145.19188637714888</v>
      </c>
      <c r="T76" s="59">
        <f t="shared" si="88"/>
        <v>169.74069292032493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0.94407589507137213</v>
      </c>
      <c r="AA76" s="21">
        <f>EXP(-LN(2)/25)*AA75+(1-EXP(-LN(2)/25))/(LN(2)/25)*Calculateur!V76*Calculateur!X76*VLOOKUP('Données projet'!$B$9,Paramètres!$A$1:$I$89,3,0)*0.475*44/12</f>
        <v>2.6273930328918595</v>
      </c>
      <c r="AB76" s="21">
        <f>EXP(-LN(2)/2)*AB75+(1-EXP(-LN(2)/2))/(LN(2)/2)*V76*Y76*VLOOKUP('Données projet'!$B$9,Paramètres!$A$1:$I$89,3,0)*0.475*44/12</f>
        <v>1.3640482289567803E-6</v>
      </c>
      <c r="AC76" s="22">
        <f t="shared" si="57"/>
        <v>3.5714702920114609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3.7</v>
      </c>
      <c r="AI76" s="13">
        <f>IF('Données projet'!$A$62&gt;35,AI75+AH76-AQ75,IF(A76&lt;'Données projet'!$A$62,$AF$205^A76,IF(A76='Données projet'!$A$62,'Données projet'!$B$62,AI75+AH76-AQ75)))</f>
        <v>221.1</v>
      </c>
      <c r="AJ76" s="13">
        <f>AI76*VLOOKUP('Données projet'!$B$10,Paramètres!$A$1:$I$89,3,0)*VLOOKUP('Données projet'!$B$10,Paramètres!$A$1:$I$89,5,0)</f>
        <v>193.15296000000001</v>
      </c>
      <c r="AK76" s="13">
        <f t="shared" si="89"/>
        <v>48.236358426448142</v>
      </c>
      <c r="AL76" s="20">
        <f t="shared" si="58"/>
        <v>420.41972959273056</v>
      </c>
      <c r="AM76" s="59">
        <f t="shared" si="59"/>
        <v>713.75306292606388</v>
      </c>
      <c r="AN76" s="59">
        <f ca="1">AVERAGE(OFFSET($AM$3,0,0,'Données projet'!$E$10+1,1))-AVERAGE(OFFSET($H$3,0,0,'Données projet'!$E$10+1,1))</f>
        <v>254.24072778190163</v>
      </c>
      <c r="AO76" s="59">
        <f t="shared" si="90"/>
        <v>356.78706780980383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1.3113634025806271</v>
      </c>
      <c r="AV76" s="21">
        <f>EXP(-LN(2)/25)*AV75+(1-EXP(-LN(2)/25))/(LN(2)/25)*Calculateur!AQ76*Calculateur!AS76*VLOOKUP('Données projet'!$B$10,Paramètres!$A$1:$I$89,3,0)*0.475*44/12</f>
        <v>5.3705068253468236</v>
      </c>
      <c r="AW76" s="21">
        <f>EXP(-LN(2)/2)*AW75+(1-EXP(-LN(2)/2))/(LN(2)/2)*AQ76*AT76*VLOOKUP('Données projet'!$B$10,Paramètres!$A$1:$I$89,3,0)*0.475*44/12</f>
        <v>9.3633461610588881E-6</v>
      </c>
      <c r="AX76" s="21">
        <f t="shared" si="60"/>
        <v>6.6818795912736118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7.2</v>
      </c>
      <c r="BD76" s="12">
        <f>IF('Données projet'!$A$88&gt;35,BD75+BC76-BL75,IF(A76&lt;'Données projet'!$A$88,$BA$205^A76,IF(A76='Données projet'!$A$88,'Données projet'!$B$88,BD75+BC76-BL75)))</f>
        <v>399.59999999999962</v>
      </c>
      <c r="BE76" s="13">
        <f>BD76*VLOOKUP('Données projet'!$B$11,Paramètres!$A$1:$I$89,3,0)*VLOOKUP('Données projet'!$B$11,Paramètres!$A$1:$I$89,5,0)</f>
        <v>238.96079999999978</v>
      </c>
      <c r="BF76" s="13">
        <f t="shared" si="91"/>
        <v>58.215885103108292</v>
      </c>
      <c r="BG76" s="20">
        <f t="shared" si="61"/>
        <v>517.58272655457984</v>
      </c>
      <c r="BH76" s="59">
        <f t="shared" si="62"/>
        <v>810.91605988791321</v>
      </c>
      <c r="BI76" s="59">
        <f ca="1">AVERAGE(OFFSET($BH$3,0,0,'Données projet'!$E$11+1,1))-AVERAGE(OFFSET($H$3,0,0,'Données projet'!$E$11+1,1))</f>
        <v>246.59447135626942</v>
      </c>
      <c r="BJ76" s="59">
        <f t="shared" si="92"/>
        <v>262.00382544285367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3.9003775182250751</v>
      </c>
      <c r="BR76" s="21">
        <f>EXP(-LN(2)/2)*BR75+(1-EXP(-LN(2)/2))/(LN(2)/2)*BL76*BO76*VLOOKUP('Données projet'!$B$11,Paramètres!$A$1:$I$89,3,0)*0.475*44/12</f>
        <v>8.0009418868986855E-6</v>
      </c>
      <c r="BS76" s="22">
        <f t="shared" si="63"/>
        <v>3.9003855191669619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172.39999999999998</v>
      </c>
      <c r="BZ76" s="13">
        <f>BY76*VLOOKUP('Données projet'!$B$12,Paramètres!$A$1:$I$89,3,0)*VLOOKUP('Données projet'!$B$12,Paramètres!$A$1:$I$89,5,0)</f>
        <v>155.98751999999996</v>
      </c>
      <c r="CA76" s="13">
        <f t="shared" si="93"/>
        <v>39.936155927663087</v>
      </c>
      <c r="CB76" s="20">
        <f t="shared" si="64"/>
        <v>341.23373557401311</v>
      </c>
      <c r="CC76" s="59">
        <f t="shared" si="65"/>
        <v>634.56706890734642</v>
      </c>
      <c r="CD76" s="59">
        <f ca="1">AVERAGE(OFFSET($CC$3,0,0,'Données projet'!$E$12+1,1))-AVERAGE(OFFSET($H$3,0,0,'Données projet'!$E$12+1,1))</f>
        <v>169.62156467157178</v>
      </c>
      <c r="CE76" s="59">
        <f t="shared" si="94"/>
        <v>85.631326020763254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3.1</v>
      </c>
      <c r="CT76" s="12">
        <f>IF('Données projet'!$A$140&gt;35,CT75+CS76-DB75,IF(A76&lt;'Données projet'!$A$140,$CQ$205^A76,IF(A76='Données projet'!$A$140,'Données projet'!$B$140,CT75+CS76-DB75)))</f>
        <v>262.2999999999999</v>
      </c>
      <c r="CU76" s="17">
        <f>CT76*VLOOKUP('Données projet'!$B$13,Paramètres!$A$1:$I$89,3,0)*VLOOKUP('Données projet'!$B$13,Paramètres!$A$1:$I$89,5,0)</f>
        <v>212.77775999999994</v>
      </c>
      <c r="CV76" s="13">
        <f t="shared" si="95"/>
        <v>52.542131131270303</v>
      </c>
      <c r="CW76" s="20">
        <f t="shared" si="67"/>
        <v>462.09881038696238</v>
      </c>
      <c r="CX76" s="59">
        <f t="shared" si="68"/>
        <v>755.4321437202957</v>
      </c>
      <c r="CY76" s="59">
        <f ca="1">AVERAGE(OFFSET($CX$3,0,0,'Données projet'!$E$13+1,1))-AVERAGE(OFFSET($H$3,0,0,'Données projet'!$E$13+1,1))</f>
        <v>234.59657655504111</v>
      </c>
      <c r="CZ76" s="59">
        <f t="shared" si="96"/>
        <v>285.10598666479211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2.5820996747549358</v>
      </c>
      <c r="DH76" s="21">
        <f>EXP(-LN(2)/2)*DH75+(1-EXP(-LN(2)/2))/(LN(2)/2)*DB76*DE76*VLOOKUP('Données projet'!$B$13,Paramètres!$A$1:$I$89,3,0)*0.475*44/12</f>
        <v>3.6996737426964819E-6</v>
      </c>
      <c r="DI76" s="22">
        <f t="shared" si="69"/>
        <v>2.5821033744286783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172.39999999999998</v>
      </c>
      <c r="DP76" s="17">
        <f>DO76*VLOOKUP('Données projet'!$B$14,Paramètres!$A$1:$I$89,3,0)*VLOOKUP('Données projet'!$B$14,Paramètres!$A$1:$I$89,5,0)</f>
        <v>166.74527999999998</v>
      </c>
      <c r="DQ76" s="13">
        <f t="shared" si="97"/>
        <v>42.3602564885365</v>
      </c>
      <c r="DR76" s="20">
        <f t="shared" si="70"/>
        <v>364.19214271753435</v>
      </c>
      <c r="DS76" s="59">
        <f t="shared" si="71"/>
        <v>657.52547605086761</v>
      </c>
      <c r="DT76" s="59">
        <f ca="1">AVERAGE(OFFSET($DS$3,0,0,'Données projet'!$E$14+1,1))-AVERAGE(OFFSET($H$3,0,0,'Données projet'!$E$14+1,1))</f>
        <v>186.90852124957956</v>
      </c>
      <c r="DU76" s="59">
        <f t="shared" si="98"/>
        <v>93.013797128776446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4.8</v>
      </c>
      <c r="EJ76" s="12">
        <f>IF('Données projet'!$A$192&gt;35,EJ75+EI76-ER75,IF(A76&lt;'Données projet'!$A$192,$EG$205^A76,IF(A76='Données projet'!$A$192,'Données projet'!$B$192,EJ75+EI76-ER75)))</f>
        <v>172.39999999999998</v>
      </c>
      <c r="EK76" s="17">
        <f>EJ76*VLOOKUP('Données projet'!$B$15,Paramètres!$A$1:$I$89,3,0)*VLOOKUP('Données projet'!$B$15,Paramètres!$A$1:$I$89,5,0)</f>
        <v>185.57135999999997</v>
      </c>
      <c r="EL76" s="13">
        <f t="shared" si="99"/>
        <v>46.559503537937182</v>
      </c>
      <c r="EM76" s="20">
        <f t="shared" si="73"/>
        <v>404.29458732857387</v>
      </c>
      <c r="EN76" s="59">
        <f t="shared" si="74"/>
        <v>697.62792066190718</v>
      </c>
      <c r="EO76" s="59">
        <f ca="1">AVERAGE(OFFSET($EN$3,0,0,'Données projet'!$E$15+1,1))-AVERAGE(OFFSET($H$3,0,0,'Données projet'!$E$15+1,1))</f>
        <v>217.10418688911096</v>
      </c>
      <c r="EP76" s="59">
        <f t="shared" si="100"/>
        <v>105.90631421515786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145.19188637714888</v>
      </c>
      <c r="T77" s="59">
        <f t="shared" si="88"/>
        <v>169.74069292032493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0.92556314259846006</v>
      </c>
      <c r="AA77" s="21">
        <f>EXP(-LN(2)/25)*AA76+(1-EXP(-LN(2)/25))/(LN(2)/25)*Calculateur!V77*Calculateur!X77*VLOOKUP('Données projet'!$B$9,Paramètres!$A$1:$I$89,3,0)*0.475*44/12</f>
        <v>2.5555468322388371</v>
      </c>
      <c r="AB77" s="21">
        <f>EXP(-LN(2)/2)*AB76+(1-EXP(-LN(2)/2))/(LN(2)/2)*V77*Y77*VLOOKUP('Données projet'!$B$9,Paramètres!$A$1:$I$89,3,0)*0.475*44/12</f>
        <v>9.645277525608397E-7</v>
      </c>
      <c r="AC77" s="22">
        <f t="shared" si="57"/>
        <v>3.4811109393650499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3.7</v>
      </c>
      <c r="AI77" s="13">
        <f>IF('Données projet'!$A$62&gt;35,AI76+AH77-AQ76,IF(A77&lt;'Données projet'!$A$62,$AF$205^A77,IF(A77='Données projet'!$A$62,'Données projet'!$B$62,AI76+AH77-AQ76)))</f>
        <v>224.79999999999998</v>
      </c>
      <c r="AJ77" s="13">
        <f>AI77*VLOOKUP('Données projet'!$B$10,Paramètres!$A$1:$I$89,3,0)*VLOOKUP('Données projet'!$B$10,Paramètres!$A$1:$I$89,5,0)</f>
        <v>196.38528000000002</v>
      </c>
      <c r="AK77" s="13">
        <f t="shared" si="89"/>
        <v>48.948920378863868</v>
      </c>
      <c r="AL77" s="20">
        <f t="shared" si="58"/>
        <v>427.29039899318792</v>
      </c>
      <c r="AM77" s="59">
        <f t="shared" si="59"/>
        <v>720.62373232652124</v>
      </c>
      <c r="AN77" s="59">
        <f ca="1">AVERAGE(OFFSET($AM$3,0,0,'Données projet'!$E$10+1,1))-AVERAGE(OFFSET($H$3,0,0,'Données projet'!$E$10+1,1))</f>
        <v>254.24072778190163</v>
      </c>
      <c r="AO77" s="59">
        <f t="shared" si="90"/>
        <v>356.78706780980383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1.2856483661087177</v>
      </c>
      <c r="AV77" s="21">
        <f>EXP(-LN(2)/25)*AV76+(1-EXP(-LN(2)/25))/(LN(2)/25)*Calculateur!AQ77*Calculateur!AS77*VLOOKUP('Données projet'!$B$10,Paramètres!$A$1:$I$89,3,0)*0.475*44/12</f>
        <v>5.2236500337850353</v>
      </c>
      <c r="AW77" s="21">
        <f>EXP(-LN(2)/2)*AW76+(1-EXP(-LN(2)/2))/(LN(2)/2)*AQ77*AT77*VLOOKUP('Données projet'!$B$10,Paramètres!$A$1:$I$89,3,0)*0.475*44/12</f>
        <v>6.6208855650817671E-6</v>
      </c>
      <c r="AX77" s="21">
        <f t="shared" si="60"/>
        <v>6.5093050207793182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7.2</v>
      </c>
      <c r="BD77" s="12">
        <f>IF('Données projet'!$A$88&gt;35,BD76+BC77-BL76,IF(A77&lt;'Données projet'!$A$88,$BA$205^A77,IF(A77='Données projet'!$A$88,'Données projet'!$B$88,BD76+BC77-BL76)))</f>
        <v>406.79999999999961</v>
      </c>
      <c r="BE77" s="13">
        <f>BD77*VLOOKUP('Données projet'!$B$11,Paramètres!$A$1:$I$89,3,0)*VLOOKUP('Données projet'!$B$11,Paramètres!$A$1:$I$89,5,0)</f>
        <v>243.26639999999981</v>
      </c>
      <c r="BF77" s="13">
        <f t="shared" si="91"/>
        <v>59.141758478481755</v>
      </c>
      <c r="BG77" s="20">
        <f t="shared" si="61"/>
        <v>526.69420935002211</v>
      </c>
      <c r="BH77" s="59">
        <f t="shared" si="62"/>
        <v>820.02754268335548</v>
      </c>
      <c r="BI77" s="59">
        <f ca="1">AVERAGE(OFFSET($BH$3,0,0,'Données projet'!$E$11+1,1))-AVERAGE(OFFSET($H$3,0,0,'Données projet'!$E$11+1,1))</f>
        <v>246.59447135626942</v>
      </c>
      <c r="BJ77" s="59">
        <f t="shared" si="92"/>
        <v>262.00382544285367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3.7937214898772713</v>
      </c>
      <c r="BR77" s="21">
        <f>EXP(-LN(2)/2)*BR76+(1-EXP(-LN(2)/2))/(LN(2)/2)*BL77*BO77*VLOOKUP('Données projet'!$B$11,Paramètres!$A$1:$I$89,3,0)*0.475*44/12</f>
        <v>5.6575202641055516E-6</v>
      </c>
      <c r="BS77" s="22">
        <f t="shared" si="63"/>
        <v>3.7937271473975356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177.2</v>
      </c>
      <c r="BZ77" s="13">
        <f>BY77*VLOOKUP('Données projet'!$B$12,Paramètres!$A$1:$I$89,3,0)*VLOOKUP('Données projet'!$B$12,Paramètres!$A$1:$I$89,5,0)</f>
        <v>160.33055999999999</v>
      </c>
      <c r="CA77" s="13">
        <f t="shared" si="93"/>
        <v>40.917065179252795</v>
      </c>
      <c r="CB77" s="20">
        <f t="shared" si="64"/>
        <v>350.5062805205319</v>
      </c>
      <c r="CC77" s="59">
        <f t="shared" si="65"/>
        <v>643.83961385386522</v>
      </c>
      <c r="CD77" s="59">
        <f ca="1">AVERAGE(OFFSET($CC$3,0,0,'Données projet'!$E$12+1,1))-AVERAGE(OFFSET($H$3,0,0,'Données projet'!$E$12+1,1))</f>
        <v>169.62156467157178</v>
      </c>
      <c r="CE77" s="59">
        <f t="shared" si="94"/>
        <v>85.631326020763254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3.1</v>
      </c>
      <c r="CT77" s="12">
        <f>IF('Données projet'!$A$140&gt;35,CT76+CS77-DB76,IF(A77&lt;'Données projet'!$A$140,$CQ$205^A77,IF(A77='Données projet'!$A$140,'Données projet'!$B$140,CT76+CS77-DB76)))</f>
        <v>265.39999999999992</v>
      </c>
      <c r="CU77" s="17">
        <f>CT77*VLOOKUP('Données projet'!$B$13,Paramètres!$A$1:$I$89,3,0)*VLOOKUP('Données projet'!$B$13,Paramètres!$A$1:$I$89,5,0)</f>
        <v>215.29247999999993</v>
      </c>
      <c r="CV77" s="13">
        <f t="shared" si="95"/>
        <v>53.090445054256215</v>
      </c>
      <c r="CW77" s="20">
        <f t="shared" si="67"/>
        <v>467.43359446949609</v>
      </c>
      <c r="CX77" s="59">
        <f t="shared" si="68"/>
        <v>760.7669278028294</v>
      </c>
      <c r="CY77" s="59">
        <f ca="1">AVERAGE(OFFSET($CX$3,0,0,'Données projet'!$E$13+1,1))-AVERAGE(OFFSET($H$3,0,0,'Données projet'!$E$13+1,1))</f>
        <v>234.59657655504111</v>
      </c>
      <c r="CZ77" s="59">
        <f t="shared" si="96"/>
        <v>285.10598666479211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2.5114920233620417</v>
      </c>
      <c r="DH77" s="21">
        <f>EXP(-LN(2)/2)*DH76+(1-EXP(-LN(2)/2))/(LN(2)/2)*DB77*DE77*VLOOKUP('Données projet'!$B$13,Paramètres!$A$1:$I$89,3,0)*0.475*44/12</f>
        <v>2.6160643916384968E-6</v>
      </c>
      <c r="DI77" s="22">
        <f t="shared" si="69"/>
        <v>2.5114946394264335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177.2</v>
      </c>
      <c r="DP77" s="17">
        <f>DO77*VLOOKUP('Données projet'!$B$14,Paramètres!$A$1:$I$89,3,0)*VLOOKUP('Données projet'!$B$14,Paramètres!$A$1:$I$89,5,0)</f>
        <v>171.38783999999998</v>
      </c>
      <c r="DQ77" s="13">
        <f t="shared" si="97"/>
        <v>43.400706339658406</v>
      </c>
      <c r="DR77" s="20">
        <f t="shared" si="70"/>
        <v>374.09005154157165</v>
      </c>
      <c r="DS77" s="59">
        <f t="shared" si="71"/>
        <v>667.42338487490497</v>
      </c>
      <c r="DT77" s="59">
        <f ca="1">AVERAGE(OFFSET($DS$3,0,0,'Données projet'!$E$14+1,1))-AVERAGE(OFFSET($H$3,0,0,'Données projet'!$E$14+1,1))</f>
        <v>186.90852124957956</v>
      </c>
      <c r="DU77" s="59">
        <f t="shared" si="98"/>
        <v>93.013797128776446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4.8</v>
      </c>
      <c r="EJ77" s="12">
        <f>IF('Données projet'!$A$192&gt;35,EJ76+EI77-ER76,IF(A77&lt;'Données projet'!$A$192,$EG$205^A77,IF(A77='Données projet'!$A$192,'Données projet'!$B$192,EJ76+EI77-ER76)))</f>
        <v>177.2</v>
      </c>
      <c r="EK77" s="17">
        <f>EJ77*VLOOKUP('Données projet'!$B$15,Paramètres!$A$1:$I$89,3,0)*VLOOKUP('Données projet'!$B$15,Paramètres!$A$1:$I$89,5,0)</f>
        <v>190.73808</v>
      </c>
      <c r="EL77" s="13">
        <f t="shared" si="99"/>
        <v>47.703095020615436</v>
      </c>
      <c r="EM77" s="20">
        <f t="shared" si="73"/>
        <v>415.28504649423854</v>
      </c>
      <c r="EN77" s="59">
        <f t="shared" si="74"/>
        <v>708.61837982757186</v>
      </c>
      <c r="EO77" s="59">
        <f ca="1">AVERAGE(OFFSET($EN$3,0,0,'Données projet'!$E$15+1,1))-AVERAGE(OFFSET($H$3,0,0,'Données projet'!$E$15+1,1))</f>
        <v>217.10418688911096</v>
      </c>
      <c r="EP77" s="59">
        <f t="shared" si="100"/>
        <v>105.90631421515786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145.19188637714888</v>
      </c>
      <c r="T78" s="59">
        <f t="shared" si="88"/>
        <v>169.74069292032493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0.90741341390987773</v>
      </c>
      <c r="AA78" s="21">
        <f>EXP(-LN(2)/25)*AA77+(1-EXP(-LN(2)/25))/(LN(2)/25)*Calculateur!V78*Calculateur!X78*VLOOKUP('Données projet'!$B$9,Paramètres!$A$1:$I$89,3,0)*0.475*44/12</f>
        <v>2.485665269720899</v>
      </c>
      <c r="AB78" s="21">
        <f>EXP(-LN(2)/2)*AB77+(1-EXP(-LN(2)/2))/(LN(2)/2)*V78*Y78*VLOOKUP('Données projet'!$B$9,Paramètres!$A$1:$I$89,3,0)*0.475*44/12</f>
        <v>6.8202411447839014E-7</v>
      </c>
      <c r="AC78" s="22">
        <f t="shared" si="57"/>
        <v>3.3930793656548914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3.7</v>
      </c>
      <c r="AI78" s="13">
        <f>IF('Données projet'!$A$62&gt;35,AI77+AH78-AQ77,IF(A78&lt;'Données projet'!$A$62,$AF$205^A78,IF(A78='Données projet'!$A$62,'Données projet'!$B$62,AI77+AH78-AQ77)))</f>
        <v>228.49999999999997</v>
      </c>
      <c r="AJ78" s="13">
        <f>AI78*VLOOKUP('Données projet'!$B$10,Paramètres!$A$1:$I$89,3,0)*VLOOKUP('Données projet'!$B$10,Paramètres!$A$1:$I$89,5,0)</f>
        <v>199.61760000000001</v>
      </c>
      <c r="AK78" s="13">
        <f t="shared" si="89"/>
        <v>49.66011842098839</v>
      </c>
      <c r="AL78" s="20">
        <f t="shared" si="58"/>
        <v>434.1586929165548</v>
      </c>
      <c r="AM78" s="59">
        <f t="shared" si="59"/>
        <v>727.49202624988811</v>
      </c>
      <c r="AN78" s="59">
        <f ca="1">AVERAGE(OFFSET($AM$3,0,0,'Données projet'!$E$10+1,1))-AVERAGE(OFFSET($H$3,0,0,'Données projet'!$E$10+1,1))</f>
        <v>254.24072778190163</v>
      </c>
      <c r="AO78" s="59">
        <f t="shared" si="90"/>
        <v>356.78706780980383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1.2604375858173988</v>
      </c>
      <c r="AV78" s="21">
        <f>EXP(-LN(2)/25)*AV77+(1-EXP(-LN(2)/25))/(LN(2)/25)*Calculateur!AQ78*Calculateur!AS78*VLOOKUP('Données projet'!$B$10,Paramètres!$A$1:$I$89,3,0)*0.475*44/12</f>
        <v>5.0808090489113669</v>
      </c>
      <c r="AW78" s="21">
        <f>EXP(-LN(2)/2)*AW77+(1-EXP(-LN(2)/2))/(LN(2)/2)*AQ78*AT78*VLOOKUP('Données projet'!$B$10,Paramètres!$A$1:$I$89,3,0)*0.475*44/12</f>
        <v>4.6816730805294441E-6</v>
      </c>
      <c r="AX78" s="21">
        <f t="shared" si="60"/>
        <v>6.3412513164018458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7.2</v>
      </c>
      <c r="BD78" s="12">
        <f>IF('Données projet'!$A$88&gt;35,BD77+BC78-BL77,IF(A78&lt;'Données projet'!$A$88,$BA$205^A78,IF(A78='Données projet'!$A$88,'Données projet'!$B$88,BD77+BC78-BL77)))</f>
        <v>413.9999999999996</v>
      </c>
      <c r="BE78" s="13">
        <f>BD78*VLOOKUP('Données projet'!$B$11,Paramètres!$A$1:$I$89,3,0)*VLOOKUP('Données projet'!$B$11,Paramètres!$A$1:$I$89,5,0)</f>
        <v>247.57199999999978</v>
      </c>
      <c r="BF78" s="13">
        <f t="shared" si="91"/>
        <v>60.065726249156526</v>
      </c>
      <c r="BG78" s="20">
        <f t="shared" si="61"/>
        <v>535.80237321728055</v>
      </c>
      <c r="BH78" s="59">
        <f t="shared" si="62"/>
        <v>829.1357065506138</v>
      </c>
      <c r="BI78" s="59">
        <f ca="1">AVERAGE(OFFSET($BH$3,0,0,'Données projet'!$E$11+1,1))-AVERAGE(OFFSET($H$3,0,0,'Données projet'!$E$11+1,1))</f>
        <v>246.59447135626942</v>
      </c>
      <c r="BJ78" s="59">
        <f t="shared" si="92"/>
        <v>262.00382544285367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3.6899819762334349</v>
      </c>
      <c r="BR78" s="21">
        <f>EXP(-LN(2)/2)*BR77+(1-EXP(-LN(2)/2))/(LN(2)/2)*BL78*BO78*VLOOKUP('Données projet'!$B$11,Paramètres!$A$1:$I$89,3,0)*0.475*44/12</f>
        <v>4.0004709434493427E-6</v>
      </c>
      <c r="BS78" s="22">
        <f t="shared" si="63"/>
        <v>3.6899859767043783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182</v>
      </c>
      <c r="BZ78" s="13">
        <f>BY78*VLOOKUP('Données projet'!$B$12,Paramètres!$A$1:$I$89,3,0)*VLOOKUP('Données projet'!$B$12,Paramètres!$A$1:$I$89,5,0)</f>
        <v>164.67359999999999</v>
      </c>
      <c r="CA78" s="13">
        <f t="shared" si="93"/>
        <v>41.894886049196984</v>
      </c>
      <c r="CB78" s="20">
        <f t="shared" si="64"/>
        <v>359.77344653568463</v>
      </c>
      <c r="CC78" s="59">
        <f t="shared" si="65"/>
        <v>653.10677986901794</v>
      </c>
      <c r="CD78" s="59">
        <f ca="1">AVERAGE(OFFSET($CC$3,0,0,'Données projet'!$E$12+1,1))-AVERAGE(OFFSET($H$3,0,0,'Données projet'!$E$12+1,1))</f>
        <v>169.62156467157178</v>
      </c>
      <c r="CE78" s="59">
        <f t="shared" si="94"/>
        <v>85.631326020763254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3.1</v>
      </c>
      <c r="CT78" s="12">
        <f>IF('Données projet'!$A$140&gt;35,CT77+CS78-DB77,IF(A78&lt;'Données projet'!$A$140,$CQ$205^A78,IF(A78='Données projet'!$A$140,'Données projet'!$B$140,CT77+CS78-DB77)))</f>
        <v>268.49999999999994</v>
      </c>
      <c r="CU78" s="17">
        <f>CT78*VLOOKUP('Données projet'!$B$13,Paramètres!$A$1:$I$89,3,0)*VLOOKUP('Données projet'!$B$13,Paramètres!$A$1:$I$89,5,0)</f>
        <v>217.80719999999997</v>
      </c>
      <c r="CV78" s="13">
        <f t="shared" si="95"/>
        <v>53.638013973813976</v>
      </c>
      <c r="CW78" s="20">
        <f t="shared" si="67"/>
        <v>472.76708100439265</v>
      </c>
      <c r="CX78" s="59">
        <f t="shared" si="68"/>
        <v>766.10041433772597</v>
      </c>
      <c r="CY78" s="59">
        <f ca="1">AVERAGE(OFFSET($CX$3,0,0,'Données projet'!$E$13+1,1))-AVERAGE(OFFSET($H$3,0,0,'Données projet'!$E$13+1,1))</f>
        <v>234.59657655504111</v>
      </c>
      <c r="CZ78" s="59">
        <f t="shared" si="96"/>
        <v>285.10598666479211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2.4428151419095814</v>
      </c>
      <c r="DH78" s="21">
        <f>EXP(-LN(2)/2)*DH77+(1-EXP(-LN(2)/2))/(LN(2)/2)*DB78*DE78*VLOOKUP('Données projet'!$B$13,Paramètres!$A$1:$I$89,3,0)*0.475*44/12</f>
        <v>1.8498368713482412E-6</v>
      </c>
      <c r="DI78" s="22">
        <f t="shared" si="69"/>
        <v>2.4428169917464526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182</v>
      </c>
      <c r="DP78" s="17">
        <f>DO78*VLOOKUP('Données projet'!$B$14,Paramètres!$A$1:$I$89,3,0)*VLOOKUP('Données projet'!$B$14,Paramètres!$A$1:$I$89,5,0)</f>
        <v>176.03040000000001</v>
      </c>
      <c r="DQ78" s="13">
        <f t="shared" si="97"/>
        <v>44.437880346232944</v>
      </c>
      <c r="DR78" s="20">
        <f t="shared" si="70"/>
        <v>383.98225493635573</v>
      </c>
      <c r="DS78" s="59">
        <f t="shared" si="71"/>
        <v>677.31558826968899</v>
      </c>
      <c r="DT78" s="59">
        <f ca="1">AVERAGE(OFFSET($DS$3,0,0,'Données projet'!$E$14+1,1))-AVERAGE(OFFSET($H$3,0,0,'Données projet'!$E$14+1,1))</f>
        <v>186.90852124957956</v>
      </c>
      <c r="DU78" s="59">
        <f t="shared" si="98"/>
        <v>93.013797128776446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4.8</v>
      </c>
      <c r="EJ78" s="12">
        <f>IF('Données projet'!$A$192&gt;35,EJ77+EI78-ER77,IF(A78&lt;'Données projet'!$A$192,$EG$205^A78,IF(A78='Données projet'!$A$192,'Données projet'!$B$192,EJ77+EI78-ER77)))</f>
        <v>182</v>
      </c>
      <c r="EK78" s="17">
        <f>EJ78*VLOOKUP('Données projet'!$B$15,Paramètres!$A$1:$I$89,3,0)*VLOOKUP('Données projet'!$B$15,Paramètres!$A$1:$I$89,5,0)</f>
        <v>195.90479999999999</v>
      </c>
      <c r="EL78" s="13">
        <f t="shared" si="99"/>
        <v>48.843085918490004</v>
      </c>
      <c r="EM78" s="20">
        <f t="shared" si="73"/>
        <v>426.26923464137008</v>
      </c>
      <c r="EN78" s="59">
        <f t="shared" si="74"/>
        <v>719.60256797470333</v>
      </c>
      <c r="EO78" s="59">
        <f ca="1">AVERAGE(OFFSET($EN$3,0,0,'Données projet'!$E$15+1,1))-AVERAGE(OFFSET($H$3,0,0,'Données projet'!$E$15+1,1))</f>
        <v>217.10418688911096</v>
      </c>
      <c r="EP78" s="59">
        <f t="shared" si="100"/>
        <v>105.90631421515786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145.19188637714888</v>
      </c>
      <c r="T79" s="59">
        <f t="shared" si="88"/>
        <v>169.74069292032493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0.88961959033063709</v>
      </c>
      <c r="AA79" s="21">
        <f>EXP(-LN(2)/25)*AA78+(1-EXP(-LN(2)/25))/(LN(2)/25)*Calculateur!V79*Calculateur!X79*VLOOKUP('Données projet'!$B$9,Paramètres!$A$1:$I$89,3,0)*0.475*44/12</f>
        <v>2.4176946222049254</v>
      </c>
      <c r="AB79" s="21">
        <f>EXP(-LN(2)/2)*AB78+(1-EXP(-LN(2)/2))/(LN(2)/2)*V79*Y79*VLOOKUP('Données projet'!$B$9,Paramètres!$A$1:$I$89,3,0)*0.475*44/12</f>
        <v>4.8226387628041985E-7</v>
      </c>
      <c r="AC79" s="22">
        <f t="shared" si="57"/>
        <v>3.3073146947994387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3.7</v>
      </c>
      <c r="AI79" s="13">
        <f>IF('Données projet'!$A$62&gt;35,AI78+AH79-AQ78,IF(A79&lt;'Données projet'!$A$62,$AF$205^A79,IF(A79='Données projet'!$A$62,'Données projet'!$B$62,AI78+AH79-AQ78)))</f>
        <v>232.19999999999996</v>
      </c>
      <c r="AJ79" s="13">
        <f>AI79*VLOOKUP('Données projet'!$B$10,Paramètres!$A$1:$I$89,3,0)*VLOOKUP('Données projet'!$B$10,Paramètres!$A$1:$I$89,5,0)</f>
        <v>202.84991999999997</v>
      </c>
      <c r="AK79" s="13">
        <f t="shared" si="89"/>
        <v>50.369977187686075</v>
      </c>
      <c r="AL79" s="20">
        <f t="shared" si="58"/>
        <v>441.02465426855321</v>
      </c>
      <c r="AM79" s="59">
        <f t="shared" si="59"/>
        <v>734.35798760188652</v>
      </c>
      <c r="AN79" s="59">
        <f ca="1">AVERAGE(OFFSET($AM$3,0,0,'Données projet'!$E$10+1,1))-AVERAGE(OFFSET($H$3,0,0,'Données projet'!$E$10+1,1))</f>
        <v>254.24072778190163</v>
      </c>
      <c r="AO79" s="59">
        <f t="shared" si="90"/>
        <v>356.78706780980383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1.2357211735505351</v>
      </c>
      <c r="AV79" s="21">
        <f>EXP(-LN(2)/25)*AV78+(1-EXP(-LN(2)/25))/(LN(2)/25)*Calculateur!AQ79*Calculateur!AS79*VLOOKUP('Données projet'!$B$10,Paramètres!$A$1:$I$89,3,0)*0.475*44/12</f>
        <v>4.9418740582807503</v>
      </c>
      <c r="AW79" s="21">
        <f>EXP(-LN(2)/2)*AW78+(1-EXP(-LN(2)/2))/(LN(2)/2)*AQ79*AT79*VLOOKUP('Données projet'!$B$10,Paramètres!$A$1:$I$89,3,0)*0.475*44/12</f>
        <v>3.3104427825408836E-6</v>
      </c>
      <c r="AX79" s="21">
        <f t="shared" si="60"/>
        <v>6.1775985422740671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421.19999999999959</v>
      </c>
      <c r="BE79" s="13">
        <f>BD79*VLOOKUP('Données projet'!$B$11,Paramètres!$A$1:$I$89,3,0)*VLOOKUP('Données projet'!$B$11,Paramètres!$A$1:$I$89,5,0)</f>
        <v>251.87759999999977</v>
      </c>
      <c r="BF79" s="13">
        <f t="shared" si="91"/>
        <v>60.987825380023018</v>
      </c>
      <c r="BG79" s="20">
        <f t="shared" si="61"/>
        <v>544.90728253687291</v>
      </c>
      <c r="BH79" s="59">
        <f t="shared" si="62"/>
        <v>838.24061587020628</v>
      </c>
      <c r="BI79" s="59">
        <f ca="1">AVERAGE(OFFSET($BH$3,0,0,'Données projet'!$E$11+1,1))-AVERAGE(OFFSET($H$3,0,0,'Données projet'!$E$11+1,1))</f>
        <v>246.59447135626942</v>
      </c>
      <c r="BJ79" s="59">
        <f t="shared" si="92"/>
        <v>262.00382544285367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3.5890792250456132</v>
      </c>
      <c r="BR79" s="21">
        <f>EXP(-LN(2)/2)*BR78+(1-EXP(-LN(2)/2))/(LN(2)/2)*BL79*BO79*VLOOKUP('Données projet'!$B$11,Paramètres!$A$1:$I$89,3,0)*0.475*44/12</f>
        <v>2.8287601320527758E-6</v>
      </c>
      <c r="BS79" s="22">
        <f t="shared" si="63"/>
        <v>3.5890820538057451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4.8</v>
      </c>
      <c r="BY79" s="12">
        <f>IF('Données projet'!$A$114&gt;35,BY78+BX79-CG78,IF(A79&lt;'Données projet'!$A$114,$BV$205^A79,IF(A79='Données projet'!$A$114,'Données projet'!$B$114,BY78+BX79-CG78)))</f>
        <v>186.8</v>
      </c>
      <c r="BZ79" s="13">
        <f>BY79*VLOOKUP('Données projet'!$B$12,Paramètres!$A$1:$I$89,3,0)*VLOOKUP('Données projet'!$B$12,Paramètres!$A$1:$I$89,5,0)</f>
        <v>169.01664</v>
      </c>
      <c r="CA79" s="13">
        <f t="shared" si="93"/>
        <v>42.869709352189666</v>
      </c>
      <c r="CB79" s="20">
        <f t="shared" si="64"/>
        <v>369.03539178839696</v>
      </c>
      <c r="CC79" s="59">
        <f t="shared" si="65"/>
        <v>662.36872512173022</v>
      </c>
      <c r="CD79" s="59">
        <f ca="1">AVERAGE(OFFSET($CC$3,0,0,'Données projet'!$E$12+1,1))-AVERAGE(OFFSET($H$3,0,0,'Données projet'!$E$12+1,1))</f>
        <v>169.62156467157178</v>
      </c>
      <c r="CE79" s="59">
        <f t="shared" si="94"/>
        <v>85.631326020763254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3.1</v>
      </c>
      <c r="CT79" s="12">
        <f>IF('Données projet'!$A$140&gt;35,CT78+CS79-DB78,IF(A79&lt;'Données projet'!$A$140,$CQ$205^A79,IF(A79='Données projet'!$A$140,'Données projet'!$B$140,CT78+CS79-DB78)))</f>
        <v>271.59999999999997</v>
      </c>
      <c r="CU79" s="17">
        <f>CT79*VLOOKUP('Données projet'!$B$13,Paramètres!$A$1:$I$89,3,0)*VLOOKUP('Données projet'!$B$13,Paramètres!$A$1:$I$89,5,0)</f>
        <v>220.32192000000001</v>
      </c>
      <c r="CV79" s="13">
        <f t="shared" si="95"/>
        <v>54.18484748666976</v>
      </c>
      <c r="CW79" s="20">
        <f t="shared" si="67"/>
        <v>478.09928670594991</v>
      </c>
      <c r="CX79" s="59">
        <f t="shared" si="68"/>
        <v>771.43262003928317</v>
      </c>
      <c r="CY79" s="59">
        <f ca="1">AVERAGE(OFFSET($CX$3,0,0,'Données projet'!$E$13+1,1))-AVERAGE(OFFSET($H$3,0,0,'Données projet'!$E$13+1,1))</f>
        <v>234.59657655504111</v>
      </c>
      <c r="CZ79" s="59">
        <f t="shared" si="96"/>
        <v>285.10598666479211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2.3760162333919985</v>
      </c>
      <c r="DH79" s="21">
        <f>EXP(-LN(2)/2)*DH78+(1-EXP(-LN(2)/2))/(LN(2)/2)*DB79*DE79*VLOOKUP('Données projet'!$B$13,Paramètres!$A$1:$I$89,3,0)*0.475*44/12</f>
        <v>1.3080321958192486E-6</v>
      </c>
      <c r="DI79" s="22">
        <f t="shared" si="69"/>
        <v>2.3760175414241944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4.8</v>
      </c>
      <c r="DO79" s="12">
        <f>IF('Données projet'!$A$166&gt;35,DO78+DN79-DW78,IF(A79&lt;'Données projet'!$A$166,$DL$205^A79,IF(A79='Données projet'!$A$166,'Données projet'!$B$166,DO78+DN79-DW78)))</f>
        <v>186.8</v>
      </c>
      <c r="DP79" s="17">
        <f>DO79*VLOOKUP('Données projet'!$B$14,Paramètres!$A$1:$I$89,3,0)*VLOOKUP('Données projet'!$B$14,Paramètres!$A$1:$I$89,5,0)</f>
        <v>180.67296000000002</v>
      </c>
      <c r="DQ79" s="13">
        <f t="shared" si="97"/>
        <v>45.471874835351194</v>
      </c>
      <c r="DR79" s="20">
        <f t="shared" si="70"/>
        <v>393.86892067157004</v>
      </c>
      <c r="DS79" s="59">
        <f t="shared" si="71"/>
        <v>687.20225400490335</v>
      </c>
      <c r="DT79" s="59">
        <f ca="1">AVERAGE(OFFSET($DS$3,0,0,'Données projet'!$E$14+1,1))-AVERAGE(OFFSET($H$3,0,0,'Données projet'!$E$14+1,1))</f>
        <v>186.90852124957956</v>
      </c>
      <c r="DU79" s="59">
        <f t="shared" si="98"/>
        <v>93.013797128776446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4.8</v>
      </c>
      <c r="EJ79" s="12">
        <f>IF('Données projet'!$A$192&gt;35,EJ78+EI79-ER78,IF(A79&lt;'Données projet'!$A$192,$EG$205^A79,IF(A79='Données projet'!$A$192,'Données projet'!$B$192,EJ78+EI79-ER78)))</f>
        <v>186.8</v>
      </c>
      <c r="EK79" s="17">
        <f>EJ79*VLOOKUP('Données projet'!$B$15,Paramètres!$A$1:$I$89,3,0)*VLOOKUP('Données projet'!$B$15,Paramètres!$A$1:$I$89,5,0)</f>
        <v>201.07151999999999</v>
      </c>
      <c r="EL79" s="13">
        <f t="shared" si="99"/>
        <v>49.97958210772665</v>
      </c>
      <c r="EM79" s="20">
        <f t="shared" si="73"/>
        <v>437.24733617095723</v>
      </c>
      <c r="EN79" s="59">
        <f t="shared" si="74"/>
        <v>730.58066950429054</v>
      </c>
      <c r="EO79" s="59">
        <f ca="1">AVERAGE(OFFSET($EN$3,0,0,'Données projet'!$E$15+1,1))-AVERAGE(OFFSET($H$3,0,0,'Données projet'!$E$15+1,1))</f>
        <v>217.10418688911096</v>
      </c>
      <c r="EP79" s="59">
        <f t="shared" si="100"/>
        <v>105.90631421515786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145.19188637714888</v>
      </c>
      <c r="T80" s="59">
        <f t="shared" si="88"/>
        <v>169.74069292032493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0.87217469277862469</v>
      </c>
      <c r="AA80" s="21">
        <f>EXP(-LN(2)/25)*AA79+(1-EXP(-LN(2)/25))/(LN(2)/25)*Calculateur!V80*Calculateur!X80*VLOOKUP('Données projet'!$B$9,Paramètres!$A$1:$I$89,3,0)*0.475*44/12</f>
        <v>2.3515826356196974</v>
      </c>
      <c r="AB80" s="21">
        <f>EXP(-LN(2)/2)*AB79+(1-EXP(-LN(2)/2))/(LN(2)/2)*V80*Y80*VLOOKUP('Données projet'!$B$9,Paramètres!$A$1:$I$89,3,0)*0.475*44/12</f>
        <v>3.4101205723919507E-7</v>
      </c>
      <c r="AC80" s="22">
        <f t="shared" si="57"/>
        <v>3.2237576694103791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3.7</v>
      </c>
      <c r="AI80" s="13">
        <f>IF('Données projet'!$A$62&gt;35,AI79+AH80-AQ79,IF(A80&lt;'Données projet'!$A$62,$AF$205^A80,IF(A80='Données projet'!$A$62,'Données projet'!$B$62,AI79+AH80-AQ79)))</f>
        <v>235.89999999999995</v>
      </c>
      <c r="AJ80" s="13">
        <f>AI80*VLOOKUP('Données projet'!$B$10,Paramètres!$A$1:$I$89,3,0)*VLOOKUP('Données projet'!$B$10,Paramètres!$A$1:$I$89,5,0)</f>
        <v>206.08223999999998</v>
      </c>
      <c r="AK80" s="13">
        <f t="shared" si="89"/>
        <v>51.078520483703407</v>
      </c>
      <c r="AL80" s="20">
        <f t="shared" si="58"/>
        <v>447.88832450911667</v>
      </c>
      <c r="AM80" s="59">
        <f t="shared" si="59"/>
        <v>741.22165784244999</v>
      </c>
      <c r="AN80" s="59">
        <f ca="1">AVERAGE(OFFSET($AM$3,0,0,'Données projet'!$E$10+1,1))-AVERAGE(OFFSET($H$3,0,0,'Données projet'!$E$10+1,1))</f>
        <v>254.24072778190163</v>
      </c>
      <c r="AO80" s="59">
        <f t="shared" si="90"/>
        <v>356.78706780980383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1.2114894350527017</v>
      </c>
      <c r="AV80" s="21">
        <f>EXP(-LN(2)/25)*AV79+(1-EXP(-LN(2)/25))/(LN(2)/25)*Calculateur!AQ80*Calculateur!AS80*VLOOKUP('Données projet'!$B$10,Paramètres!$A$1:$I$89,3,0)*0.475*44/12</f>
        <v>4.8067382522752009</v>
      </c>
      <c r="AW80" s="21">
        <f>EXP(-LN(2)/2)*AW79+(1-EXP(-LN(2)/2))/(LN(2)/2)*AQ80*AT80*VLOOKUP('Données projet'!$B$10,Paramètres!$A$1:$I$89,3,0)*0.475*44/12</f>
        <v>2.340836540264722E-6</v>
      </c>
      <c r="AX80" s="21">
        <f t="shared" si="60"/>
        <v>6.0182300281644432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428.39999999999958</v>
      </c>
      <c r="BE80" s="13">
        <f>BD80*VLOOKUP('Données projet'!$B$11,Paramètres!$A$1:$I$89,3,0)*VLOOKUP('Données projet'!$B$11,Paramètres!$A$1:$I$89,5,0)</f>
        <v>256.18319999999977</v>
      </c>
      <c r="BF80" s="13">
        <f t="shared" si="91"/>
        <v>61.90809149979912</v>
      </c>
      <c r="BG80" s="20">
        <f t="shared" si="61"/>
        <v>554.00899936214978</v>
      </c>
      <c r="BH80" s="59">
        <f t="shared" si="62"/>
        <v>847.34233269548304</v>
      </c>
      <c r="BI80" s="59">
        <f ca="1">AVERAGE(OFFSET($BH$3,0,0,'Données projet'!$E$11+1,1))-AVERAGE(OFFSET($H$3,0,0,'Données projet'!$E$11+1,1))</f>
        <v>246.59447135626942</v>
      </c>
      <c r="BJ80" s="59">
        <f t="shared" si="92"/>
        <v>262.00382544285367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3.4909356648952672</v>
      </c>
      <c r="BR80" s="21">
        <f>EXP(-LN(2)/2)*BR79+(1-EXP(-LN(2)/2))/(LN(2)/2)*BL80*BO80*VLOOKUP('Données projet'!$B$11,Paramètres!$A$1:$I$89,3,0)*0.475*44/12</f>
        <v>2.0002354717246714E-6</v>
      </c>
      <c r="BS80" s="22">
        <f t="shared" si="63"/>
        <v>3.4909376651307391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4.8</v>
      </c>
      <c r="BY80" s="12">
        <f>IF('Données projet'!$A$114&gt;35,BY79+BX80-CG79,IF(A80&lt;'Données projet'!$A$114,$BV$205^A80,IF(A80='Données projet'!$A$114,'Données projet'!$B$114,BY79+BX80-CG79)))</f>
        <v>191.60000000000002</v>
      </c>
      <c r="BZ80" s="13">
        <f>BY80*VLOOKUP('Données projet'!$B$12,Paramètres!$A$1:$I$89,3,0)*VLOOKUP('Données projet'!$B$12,Paramètres!$A$1:$I$89,5,0)</f>
        <v>173.35968</v>
      </c>
      <c r="CA80" s="13">
        <f t="shared" si="93"/>
        <v>43.841620969901953</v>
      </c>
      <c r="CB80" s="20">
        <f t="shared" si="64"/>
        <v>378.29226585591255</v>
      </c>
      <c r="CC80" s="59">
        <f t="shared" si="65"/>
        <v>671.6255991892458</v>
      </c>
      <c r="CD80" s="59">
        <f ca="1">AVERAGE(OFFSET($CC$3,0,0,'Données projet'!$E$12+1,1))-AVERAGE(OFFSET($H$3,0,0,'Données projet'!$E$12+1,1))</f>
        <v>169.62156467157178</v>
      </c>
      <c r="CE80" s="59">
        <f t="shared" si="94"/>
        <v>85.631326020763254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3.1</v>
      </c>
      <c r="CT80" s="12">
        <f>IF('Données projet'!$A$140&gt;35,CT79+CS80-DB79,IF(A80&lt;'Données projet'!$A$140,$CQ$205^A80,IF(A80='Données projet'!$A$140,'Données projet'!$B$140,CT79+CS80-DB79)))</f>
        <v>274.7</v>
      </c>
      <c r="CU80" s="17">
        <f>CT80*VLOOKUP('Données projet'!$B$13,Paramètres!$A$1:$I$89,3,0)*VLOOKUP('Données projet'!$B$13,Paramètres!$A$1:$I$89,5,0)</f>
        <v>222.83663999999999</v>
      </c>
      <c r="CV80" s="13">
        <f t="shared" si="95"/>
        <v>54.730954957867816</v>
      </c>
      <c r="CW80" s="20">
        <f t="shared" si="67"/>
        <v>483.43022788495313</v>
      </c>
      <c r="CX80" s="59">
        <f t="shared" si="68"/>
        <v>776.76356121828644</v>
      </c>
      <c r="CY80" s="59">
        <f ca="1">AVERAGE(OFFSET($CX$3,0,0,'Données projet'!$E$13+1,1))-AVERAGE(OFFSET($H$3,0,0,'Données projet'!$E$13+1,1))</f>
        <v>234.59657655504111</v>
      </c>
      <c r="CZ80" s="59">
        <f t="shared" si="96"/>
        <v>285.10598666479211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2.3110439445406312</v>
      </c>
      <c r="DH80" s="21">
        <f>EXP(-LN(2)/2)*DH79+(1-EXP(-LN(2)/2))/(LN(2)/2)*DB80*DE80*VLOOKUP('Données projet'!$B$13,Paramètres!$A$1:$I$89,3,0)*0.475*44/12</f>
        <v>9.2491843567412079E-7</v>
      </c>
      <c r="DI80" s="22">
        <f t="shared" si="69"/>
        <v>2.3110448694590668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4.8</v>
      </c>
      <c r="DO80" s="12">
        <f>IF('Données projet'!$A$166&gt;35,DO79+DN80-DW79,IF(A80&lt;'Données projet'!$A$166,$DL$205^A80,IF(A80='Données projet'!$A$166,'Données projet'!$B$166,DO79+DN80-DW79)))</f>
        <v>191.60000000000002</v>
      </c>
      <c r="DP80" s="17">
        <f>DO80*VLOOKUP('Données projet'!$B$14,Paramètres!$A$1:$I$89,3,0)*VLOOKUP('Données projet'!$B$14,Paramètres!$A$1:$I$89,5,0)</f>
        <v>185.31552000000002</v>
      </c>
      <c r="DQ80" s="13">
        <f t="shared" si="97"/>
        <v>46.502780901649913</v>
      </c>
      <c r="DR80" s="20">
        <f t="shared" si="70"/>
        <v>403.75020740370695</v>
      </c>
      <c r="DS80" s="59">
        <f t="shared" si="71"/>
        <v>697.08354073704027</v>
      </c>
      <c r="DT80" s="59">
        <f ca="1">AVERAGE(OFFSET($DS$3,0,0,'Données projet'!$E$14+1,1))-AVERAGE(OFFSET($H$3,0,0,'Données projet'!$E$14+1,1))</f>
        <v>186.90852124957956</v>
      </c>
      <c r="DU80" s="59">
        <f t="shared" si="98"/>
        <v>93.013797128776446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4.8</v>
      </c>
      <c r="EJ80" s="12">
        <f>IF('Données projet'!$A$192&gt;35,EJ79+EI80-ER79,IF(A80&lt;'Données projet'!$A$192,$EG$205^A80,IF(A80='Données projet'!$A$192,'Données projet'!$B$192,EJ79+EI80-ER79)))</f>
        <v>191.60000000000002</v>
      </c>
      <c r="EK80" s="17">
        <f>EJ80*VLOOKUP('Données projet'!$B$15,Paramètres!$A$1:$I$89,3,0)*VLOOKUP('Données projet'!$B$15,Paramètres!$A$1:$I$89,5,0)</f>
        <v>206.23824000000002</v>
      </c>
      <c r="EL80" s="13">
        <f t="shared" si="99"/>
        <v>51.112683713334427</v>
      </c>
      <c r="EM80" s="20">
        <f t="shared" si="73"/>
        <v>448.21952546739084</v>
      </c>
      <c r="EN80" s="59">
        <f t="shared" si="74"/>
        <v>741.55285880072415</v>
      </c>
      <c r="EO80" s="59">
        <f ca="1">AVERAGE(OFFSET($EN$3,0,0,'Données projet'!$E$15+1,1))-AVERAGE(OFFSET($H$3,0,0,'Données projet'!$E$15+1,1))</f>
        <v>217.10418688911096</v>
      </c>
      <c r="EP80" s="59">
        <f t="shared" si="100"/>
        <v>105.90631421515786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145.19188637714888</v>
      </c>
      <c r="T81" s="59">
        <f t="shared" si="88"/>
        <v>169.74069292032493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0.85507187902727033</v>
      </c>
      <c r="AA81" s="21">
        <f>EXP(-LN(2)/25)*AA80+(1-EXP(-LN(2)/25))/(LN(2)/25)*Calculateur!V81*Calculateur!X81*VLOOKUP('Données projet'!$B$9,Paramètres!$A$1:$I$89,3,0)*0.475*44/12</f>
        <v>2.2872784847843204</v>
      </c>
      <c r="AB81" s="21">
        <f>EXP(-LN(2)/2)*AB80+(1-EXP(-LN(2)/2))/(LN(2)/2)*V81*Y81*VLOOKUP('Données projet'!$B$9,Paramètres!$A$1:$I$89,3,0)*0.475*44/12</f>
        <v>2.4113193814020992E-7</v>
      </c>
      <c r="AC81" s="22">
        <f t="shared" si="57"/>
        <v>3.1423506049435286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3.7</v>
      </c>
      <c r="AI81" s="13">
        <f>IF('Données projet'!$A$62&gt;35,AI80+AH81-AQ80,IF(A81&lt;'Données projet'!$A$62,$AF$205^A81,IF(A81='Données projet'!$A$62,'Données projet'!$B$62,AI80+AH81-AQ80)))</f>
        <v>239.59999999999994</v>
      </c>
      <c r="AJ81" s="13">
        <f>AI81*VLOOKUP('Données projet'!$B$10,Paramètres!$A$1:$I$89,3,0)*VLOOKUP('Données projet'!$B$10,Paramètres!$A$1:$I$89,5,0)</f>
        <v>209.31456</v>
      </c>
      <c r="AK81" s="13">
        <f t="shared" si="89"/>
        <v>51.78577132421475</v>
      </c>
      <c r="AL81" s="20">
        <f t="shared" si="58"/>
        <v>454.74974372300727</v>
      </c>
      <c r="AM81" s="59">
        <f t="shared" si="59"/>
        <v>748.08307705634058</v>
      </c>
      <c r="AN81" s="59">
        <f ca="1">AVERAGE(OFFSET($AM$3,0,0,'Données projet'!$E$10+1,1))-AVERAGE(OFFSET($H$3,0,0,'Données projet'!$E$10+1,1))</f>
        <v>254.24072778190163</v>
      </c>
      <c r="AO81" s="59">
        <f t="shared" si="90"/>
        <v>356.78706780980383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1.1877328661669098</v>
      </c>
      <c r="AV81" s="21">
        <f>EXP(-LN(2)/25)*AV80+(1-EXP(-LN(2)/25))/(LN(2)/25)*Calculateur!AQ81*Calculateur!AS81*VLOOKUP('Données projet'!$B$10,Paramètres!$A$1:$I$89,3,0)*0.475*44/12</f>
        <v>4.6752977419913568</v>
      </c>
      <c r="AW81" s="21">
        <f>EXP(-LN(2)/2)*AW80+(1-EXP(-LN(2)/2))/(LN(2)/2)*AQ81*AT81*VLOOKUP('Données projet'!$B$10,Paramètres!$A$1:$I$89,3,0)*0.475*44/12</f>
        <v>1.6552213912704418E-6</v>
      </c>
      <c r="AX81" s="21">
        <f t="shared" si="60"/>
        <v>5.8630322633796581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435.59999999999957</v>
      </c>
      <c r="BE81" s="13">
        <f>BD81*VLOOKUP('Données projet'!$B$11,Paramètres!$A$1:$I$89,3,0)*VLOOKUP('Données projet'!$B$11,Paramètres!$A$1:$I$89,5,0)</f>
        <v>260.48879999999974</v>
      </c>
      <c r="BF81" s="13">
        <f t="shared" si="91"/>
        <v>62.826558970958764</v>
      </c>
      <c r="BG81" s="20">
        <f t="shared" si="61"/>
        <v>563.107583541086</v>
      </c>
      <c r="BH81" s="59">
        <f t="shared" si="62"/>
        <v>856.44091687441937</v>
      </c>
      <c r="BI81" s="59">
        <f ca="1">AVERAGE(OFFSET($BH$3,0,0,'Données projet'!$E$11+1,1))-AVERAGE(OFFSET($H$3,0,0,'Données projet'!$E$11+1,1))</f>
        <v>246.59447135626942</v>
      </c>
      <c r="BJ81" s="59">
        <f t="shared" si="92"/>
        <v>262.00382544285367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3.3954758455583782</v>
      </c>
      <c r="BR81" s="21">
        <f>EXP(-LN(2)/2)*BR80+(1-EXP(-LN(2)/2))/(LN(2)/2)*BL81*BO81*VLOOKUP('Données projet'!$B$11,Paramètres!$A$1:$I$89,3,0)*0.475*44/12</f>
        <v>1.4143800660263879E-6</v>
      </c>
      <c r="BS81" s="22">
        <f t="shared" si="63"/>
        <v>3.3954772599384442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4.8</v>
      </c>
      <c r="BY81" s="12">
        <f>IF('Données projet'!$A$114&gt;35,BY80+BX81-CG80,IF(A81&lt;'Données projet'!$A$114,$BV$205^A81,IF(A81='Données projet'!$A$114,'Données projet'!$B$114,BY80+BX81-CG80)))</f>
        <v>196.40000000000003</v>
      </c>
      <c r="BZ81" s="13">
        <f>BY81*VLOOKUP('Données projet'!$B$12,Paramètres!$A$1:$I$89,3,0)*VLOOKUP('Données projet'!$B$12,Paramètres!$A$1:$I$89,5,0)</f>
        <v>177.70272000000003</v>
      </c>
      <c r="CA81" s="13">
        <f t="shared" si="93"/>
        <v>44.810702235717677</v>
      </c>
      <c r="CB81" s="20">
        <f t="shared" si="64"/>
        <v>387.54421039387506</v>
      </c>
      <c r="CC81" s="59">
        <f t="shared" si="65"/>
        <v>680.87754372720838</v>
      </c>
      <c r="CD81" s="59">
        <f ca="1">AVERAGE(OFFSET($CC$3,0,0,'Données projet'!$E$12+1,1))-AVERAGE(OFFSET($H$3,0,0,'Données projet'!$E$12+1,1))</f>
        <v>169.62156467157178</v>
      </c>
      <c r="CE81" s="59">
        <f t="shared" si="94"/>
        <v>85.631326020763254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3.1</v>
      </c>
      <c r="CT81" s="12">
        <f>IF('Données projet'!$A$140&gt;35,CT80+CS81-DB80,IF(A81&lt;'Données projet'!$A$140,$CQ$205^A81,IF(A81='Données projet'!$A$140,'Données projet'!$B$140,CT80+CS81-DB80)))</f>
        <v>277.8</v>
      </c>
      <c r="CU81" s="17">
        <f>CT81*VLOOKUP('Données projet'!$B$13,Paramètres!$A$1:$I$89,3,0)*VLOOKUP('Données projet'!$B$13,Paramètres!$A$1:$I$89,5,0)</f>
        <v>225.35136000000003</v>
      </c>
      <c r="CV81" s="13">
        <f t="shared" si="95"/>
        <v>55.276345528913524</v>
      </c>
      <c r="CW81" s="20">
        <f t="shared" si="67"/>
        <v>488.75992046285774</v>
      </c>
      <c r="CX81" s="59">
        <f t="shared" si="68"/>
        <v>782.09325379619099</v>
      </c>
      <c r="CY81" s="59">
        <f ca="1">AVERAGE(OFFSET($CX$3,0,0,'Données projet'!$E$13+1,1))-AVERAGE(OFFSET($H$3,0,0,'Données projet'!$E$13+1,1))</f>
        <v>234.59657655504111</v>
      </c>
      <c r="CZ81" s="59">
        <f t="shared" si="96"/>
        <v>285.10598666479211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2.2478483263446485</v>
      </c>
      <c r="DH81" s="21">
        <f>EXP(-LN(2)/2)*DH80+(1-EXP(-LN(2)/2))/(LN(2)/2)*DB81*DE81*VLOOKUP('Données projet'!$B$13,Paramètres!$A$1:$I$89,3,0)*0.475*44/12</f>
        <v>6.540160979096244E-7</v>
      </c>
      <c r="DI81" s="22">
        <f t="shared" si="69"/>
        <v>2.2478489803607462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4.8</v>
      </c>
      <c r="DO81" s="12">
        <f>IF('Données projet'!$A$166&gt;35,DO80+DN81-DW80,IF(A81&lt;'Données projet'!$A$166,$DL$205^A81,IF(A81='Données projet'!$A$166,'Données projet'!$B$166,DO80+DN81-DW80)))</f>
        <v>196.40000000000003</v>
      </c>
      <c r="DP81" s="17">
        <f>DO81*VLOOKUP('Données projet'!$B$14,Paramètres!$A$1:$I$89,3,0)*VLOOKUP('Données projet'!$B$14,Paramètres!$A$1:$I$89,5,0)</f>
        <v>189.95808000000002</v>
      </c>
      <c r="DQ81" s="13">
        <f t="shared" si="97"/>
        <v>47.530684815400313</v>
      </c>
      <c r="DR81" s="20">
        <f t="shared" si="70"/>
        <v>413.6262653868223</v>
      </c>
      <c r="DS81" s="59">
        <f t="shared" si="71"/>
        <v>706.95959872015555</v>
      </c>
      <c r="DT81" s="59">
        <f ca="1">AVERAGE(OFFSET($DS$3,0,0,'Données projet'!$E$14+1,1))-AVERAGE(OFFSET($H$3,0,0,'Données projet'!$E$14+1,1))</f>
        <v>186.90852124957956</v>
      </c>
      <c r="DU81" s="59">
        <f t="shared" si="98"/>
        <v>93.013797128776446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4.8</v>
      </c>
      <c r="EJ81" s="12">
        <f>IF('Données projet'!$A$192&gt;35,EJ80+EI81-ER80,IF(A81&lt;'Données projet'!$A$192,$EG$205^A81,IF(A81='Données projet'!$A$192,'Données projet'!$B$192,EJ80+EI81-ER80)))</f>
        <v>196.40000000000003</v>
      </c>
      <c r="EK81" s="17">
        <f>EJ81*VLOOKUP('Données projet'!$B$15,Paramètres!$A$1:$I$89,3,0)*VLOOKUP('Données projet'!$B$15,Paramètres!$A$1:$I$89,5,0)</f>
        <v>211.40496000000005</v>
      </c>
      <c r="EL81" s="13">
        <f t="shared" si="99"/>
        <v>52.242485557708825</v>
      </c>
      <c r="EM81" s="20">
        <f t="shared" si="73"/>
        <v>459.1859676796762</v>
      </c>
      <c r="EN81" s="59">
        <f t="shared" si="74"/>
        <v>752.51930101300945</v>
      </c>
      <c r="EO81" s="59">
        <f ca="1">AVERAGE(OFFSET($EN$3,0,0,'Données projet'!$E$15+1,1))-AVERAGE(OFFSET($H$3,0,0,'Données projet'!$E$15+1,1))</f>
        <v>217.10418688911096</v>
      </c>
      <c r="EP81" s="59">
        <f t="shared" si="100"/>
        <v>105.90631421515786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145.19188637714888</v>
      </c>
      <c r="T82" s="59">
        <f t="shared" si="88"/>
        <v>169.74069292032493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0.83830444102189372</v>
      </c>
      <c r="AA82" s="21">
        <f>EXP(-LN(2)/25)*AA81+(1-EXP(-LN(2)/25))/(LN(2)/25)*Calculateur!V82*Calculateur!X82*VLOOKUP('Données projet'!$B$9,Paramètres!$A$1:$I$89,3,0)*0.475*44/12</f>
        <v>2.2247327343351451</v>
      </c>
      <c r="AB82" s="21">
        <f>EXP(-LN(2)/2)*AB81+(1-EXP(-LN(2)/2))/(LN(2)/2)*V82*Y82*VLOOKUP('Données projet'!$B$9,Paramètres!$A$1:$I$89,3,0)*0.475*44/12</f>
        <v>1.7050602861959753E-7</v>
      </c>
      <c r="AC82" s="22">
        <f t="shared" si="57"/>
        <v>3.0630373458630671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3.7</v>
      </c>
      <c r="AI82" s="13">
        <f>IF('Données projet'!$A$62&gt;35,AI81+AH82-AQ81,IF(A82&lt;'Données projet'!$A$62,$AF$205^A82,IF(A82='Données projet'!$A$62,'Données projet'!$B$62,AI81+AH82-AQ81)))</f>
        <v>243.29999999999993</v>
      </c>
      <c r="AJ82" s="13">
        <f>AI82*VLOOKUP('Données projet'!$B$10,Paramètres!$A$1:$I$89,3,0)*VLOOKUP('Données projet'!$B$10,Paramètres!$A$1:$I$89,5,0)</f>
        <v>212.54687999999996</v>
      </c>
      <c r="AK82" s="13">
        <f t="shared" si="89"/>
        <v>52.491751972791846</v>
      </c>
      <c r="AL82" s="20">
        <f t="shared" si="58"/>
        <v>461.60895068594567</v>
      </c>
      <c r="AM82" s="59">
        <f t="shared" si="59"/>
        <v>754.94228401927899</v>
      </c>
      <c r="AN82" s="59">
        <f ca="1">AVERAGE(OFFSET($AM$3,0,0,'Données projet'!$E$10+1,1))-AVERAGE(OFFSET($H$3,0,0,'Données projet'!$E$10+1,1))</f>
        <v>254.24072778190163</v>
      </c>
      <c r="AO82" s="59">
        <f t="shared" si="90"/>
        <v>356.78706780980383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1.1644421491068919</v>
      </c>
      <c r="AV82" s="21">
        <f>EXP(-LN(2)/25)*AV81+(1-EXP(-LN(2)/25))/(LN(2)/25)*Calculateur!AQ82*Calculateur!AS82*VLOOKUP('Données projet'!$B$10,Paramètres!$A$1:$I$89,3,0)*0.475*44/12</f>
        <v>4.5474514793733807</v>
      </c>
      <c r="AW82" s="21">
        <f>EXP(-LN(2)/2)*AW81+(1-EXP(-LN(2)/2))/(LN(2)/2)*AQ82*AT82*VLOOKUP('Données projet'!$B$10,Paramètres!$A$1:$I$89,3,0)*0.475*44/12</f>
        <v>1.170418270132361E-6</v>
      </c>
      <c r="AX82" s="21">
        <f t="shared" si="60"/>
        <v>5.711894798898542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442.79999999999956</v>
      </c>
      <c r="BE82" s="13">
        <f>BD82*VLOOKUP('Données projet'!$B$11,Paramètres!$A$1:$I$89,3,0)*VLOOKUP('Données projet'!$B$11,Paramètres!$A$1:$I$89,5,0)</f>
        <v>264.79439999999977</v>
      </c>
      <c r="BF82" s="13">
        <f t="shared" si="91"/>
        <v>63.74326095490612</v>
      </c>
      <c r="BG82" s="20">
        <f t="shared" si="61"/>
        <v>572.2030928297944</v>
      </c>
      <c r="BH82" s="59">
        <f t="shared" si="62"/>
        <v>865.53642616312777</v>
      </c>
      <c r="BI82" s="59">
        <f ca="1">AVERAGE(OFFSET($BH$3,0,0,'Données projet'!$E$11+1,1))-AVERAGE(OFFSET($H$3,0,0,'Données projet'!$E$11+1,1))</f>
        <v>246.59447135626942</v>
      </c>
      <c r="BJ82" s="59">
        <f t="shared" si="92"/>
        <v>262.00382544285367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3.3026263800012701</v>
      </c>
      <c r="BR82" s="21">
        <f>EXP(-LN(2)/2)*BR81+(1-EXP(-LN(2)/2))/(LN(2)/2)*BL82*BO82*VLOOKUP('Données projet'!$B$11,Paramètres!$A$1:$I$89,3,0)*0.475*44/12</f>
        <v>1.0001177358623357E-6</v>
      </c>
      <c r="BS82" s="22">
        <f t="shared" si="63"/>
        <v>3.3026273801190058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4.8</v>
      </c>
      <c r="BY82" s="12">
        <f>IF('Données projet'!$A$114&gt;35,BY81+BX82-CG81,IF(A82&lt;'Données projet'!$A$114,$BV$205^A82,IF(A82='Données projet'!$A$114,'Données projet'!$B$114,BY81+BX82-CG81)))</f>
        <v>201.20000000000005</v>
      </c>
      <c r="BZ82" s="13">
        <f>BY82*VLOOKUP('Données projet'!$B$12,Paramètres!$A$1:$I$89,3,0)*VLOOKUP('Données projet'!$B$12,Paramètres!$A$1:$I$89,5,0)</f>
        <v>182.04576000000003</v>
      </c>
      <c r="CA82" s="13">
        <f t="shared" si="93"/>
        <v>45.777030280798314</v>
      </c>
      <c r="CB82" s="20">
        <f t="shared" si="64"/>
        <v>396.7913597390571</v>
      </c>
      <c r="CC82" s="59">
        <f t="shared" si="65"/>
        <v>690.12469307239041</v>
      </c>
      <c r="CD82" s="59">
        <f ca="1">AVERAGE(OFFSET($CC$3,0,0,'Données projet'!$E$12+1,1))-AVERAGE(OFFSET($H$3,0,0,'Données projet'!$E$12+1,1))</f>
        <v>169.62156467157178</v>
      </c>
      <c r="CE82" s="59">
        <f t="shared" si="94"/>
        <v>85.631326020763254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3.1</v>
      </c>
      <c r="CT82" s="12">
        <f>IF('Données projet'!$A$140&gt;35,CT81+CS82-DB81,IF(A82&lt;'Données projet'!$A$140,$CQ$205^A82,IF(A82='Données projet'!$A$140,'Données projet'!$B$140,CT81+CS82-DB81)))</f>
        <v>280.90000000000003</v>
      </c>
      <c r="CU82" s="17">
        <f>CT82*VLOOKUP('Données projet'!$B$13,Paramètres!$A$1:$I$89,3,0)*VLOOKUP('Données projet'!$B$13,Paramètres!$A$1:$I$89,5,0)</f>
        <v>227.86608000000004</v>
      </c>
      <c r="CV82" s="13">
        <f t="shared" si="95"/>
        <v>55.82102812554308</v>
      </c>
      <c r="CW82" s="20">
        <f t="shared" si="67"/>
        <v>494.08837998532084</v>
      </c>
      <c r="CX82" s="59">
        <f t="shared" si="68"/>
        <v>787.42171331865416</v>
      </c>
      <c r="CY82" s="59">
        <f ca="1">AVERAGE(OFFSET($CX$3,0,0,'Données projet'!$E$13+1,1))-AVERAGE(OFFSET($H$3,0,0,'Données projet'!$E$13+1,1))</f>
        <v>234.59657655504111</v>
      </c>
      <c r="CZ82" s="59">
        <f t="shared" si="96"/>
        <v>285.10598666479211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2.186380795651548</v>
      </c>
      <c r="DH82" s="21">
        <f>EXP(-LN(2)/2)*DH81+(1-EXP(-LN(2)/2))/(LN(2)/2)*DB82*DE82*VLOOKUP('Données projet'!$B$13,Paramètres!$A$1:$I$89,3,0)*0.475*44/12</f>
        <v>4.6245921783706045E-7</v>
      </c>
      <c r="DI82" s="22">
        <f t="shared" si="69"/>
        <v>2.186381258110766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4.8</v>
      </c>
      <c r="DO82" s="12">
        <f>IF('Données projet'!$A$166&gt;35,DO81+DN82-DW81,IF(A82&lt;'Données projet'!$A$166,$DL$205^A82,IF(A82='Données projet'!$A$166,'Données projet'!$B$166,DO81+DN82-DW81)))</f>
        <v>201.20000000000005</v>
      </c>
      <c r="DP82" s="17">
        <f>DO82*VLOOKUP('Données projet'!$B$14,Paramètres!$A$1:$I$89,3,0)*VLOOKUP('Données projet'!$B$14,Paramètres!$A$1:$I$89,5,0)</f>
        <v>194.60064000000006</v>
      </c>
      <c r="DQ82" s="13">
        <f t="shared" si="97"/>
        <v>48.555668389578749</v>
      </c>
      <c r="DR82" s="20">
        <f t="shared" si="70"/>
        <v>423.4972371118497</v>
      </c>
      <c r="DS82" s="59">
        <f t="shared" si="71"/>
        <v>716.83057044518296</v>
      </c>
      <c r="DT82" s="59">
        <f ca="1">AVERAGE(OFFSET($DS$3,0,0,'Données projet'!$E$14+1,1))-AVERAGE(OFFSET($H$3,0,0,'Données projet'!$E$14+1,1))</f>
        <v>186.90852124957956</v>
      </c>
      <c r="DU82" s="59">
        <f t="shared" si="98"/>
        <v>93.013797128776446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4.8</v>
      </c>
      <c r="EJ82" s="12">
        <f>IF('Données projet'!$A$192&gt;35,EJ81+EI82-ER81,IF(A82&lt;'Données projet'!$A$192,$EG$205^A82,IF(A82='Données projet'!$A$192,'Données projet'!$B$192,EJ81+EI82-ER81)))</f>
        <v>201.20000000000005</v>
      </c>
      <c r="EK82" s="17">
        <f>EJ82*VLOOKUP('Données projet'!$B$15,Paramètres!$A$1:$I$89,3,0)*VLOOKUP('Données projet'!$B$15,Paramètres!$A$1:$I$89,5,0)</f>
        <v>216.57168000000004</v>
      </c>
      <c r="EL82" s="13">
        <f t="shared" si="99"/>
        <v>53.369077564091064</v>
      </c>
      <c r="EM82" s="20">
        <f t="shared" si="73"/>
        <v>470.14681942412523</v>
      </c>
      <c r="EN82" s="59">
        <f t="shared" si="74"/>
        <v>763.48015275745854</v>
      </c>
      <c r="EO82" s="59">
        <f ca="1">AVERAGE(OFFSET($EN$3,0,0,'Données projet'!$E$15+1,1))-AVERAGE(OFFSET($H$3,0,0,'Données projet'!$E$15+1,1))</f>
        <v>217.10418688911096</v>
      </c>
      <c r="EP82" s="59">
        <f t="shared" si="100"/>
        <v>105.90631421515786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145.19188637714888</v>
      </c>
      <c r="T83" s="59">
        <f t="shared" si="88"/>
        <v>169.74069292032493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0.82186580224867523</v>
      </c>
      <c r="AA83" s="21">
        <f>EXP(-LN(2)/25)*AA82+(1-EXP(-LN(2)/25))/(LN(2)/25)*Calculateur!V83*Calculateur!X83*VLOOKUP('Données projet'!$B$9,Paramètres!$A$1:$I$89,3,0)*0.475*44/12</f>
        <v>2.1638973007211408</v>
      </c>
      <c r="AB83" s="21">
        <f>EXP(-LN(2)/2)*AB82+(1-EXP(-LN(2)/2))/(LN(2)/2)*V83*Y83*VLOOKUP('Données projet'!$B$9,Paramètres!$A$1:$I$89,3,0)*0.475*44/12</f>
        <v>1.2056596907010496E-7</v>
      </c>
      <c r="AC83" s="22">
        <f t="shared" si="57"/>
        <v>2.9857632235357854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247</v>
      </c>
      <c r="AG83" s="12">
        <f>VLOOKUP(A83,'Données projet'!$A$61:$I$81,9,0)</f>
        <v>3.7</v>
      </c>
      <c r="AH83" s="12">
        <f t="array" ref="AH83">INDEX(AG:AG,MIN(IF(ISNUMBER(AG83:AG279),ROW(AG83:AG279),"")))</f>
        <v>3.7</v>
      </c>
      <c r="AI83" s="13">
        <f>IF('Données projet'!$A$62&gt;35,AI82+AH83-AQ82,IF(A83&lt;'Données projet'!$A$62,$AF$205^A83,IF(A83='Données projet'!$A$62,'Données projet'!$B$62,AI82+AH83-AQ82)))</f>
        <v>246.99999999999991</v>
      </c>
      <c r="AJ83" s="13">
        <f>AI83*VLOOKUP('Données projet'!$B$10,Paramètres!$A$1:$I$89,3,0)*VLOOKUP('Données projet'!$B$10,Paramètres!$A$1:$I$89,5,0)</f>
        <v>215.77919999999995</v>
      </c>
      <c r="AK83" s="13">
        <f t="shared" si="89"/>
        <v>53.196483976998607</v>
      </c>
      <c r="AL83" s="20">
        <f t="shared" si="58"/>
        <v>468.4659829266057</v>
      </c>
      <c r="AM83" s="59">
        <f t="shared" si="59"/>
        <v>761.79931625993902</v>
      </c>
      <c r="AN83" s="59">
        <f ca="1">AVERAGE(OFFSET($AM$3,0,0,'Données projet'!$E$10+1,1))-AVERAGE(OFFSET($H$3,0,0,'Données projet'!$E$10+1,1))</f>
        <v>254.24072778190163</v>
      </c>
      <c r="AO83" s="59">
        <f t="shared" si="90"/>
        <v>356.78706780980383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1.1416081488024863</v>
      </c>
      <c r="AV83" s="21">
        <f>EXP(-LN(2)/25)*AV82+(1-EXP(-LN(2)/25))/(LN(2)/25)*Calculateur!AQ83*Calculateur!AS83*VLOOKUP('Données projet'!$B$10,Paramètres!$A$1:$I$89,3,0)*0.475*44/12</f>
        <v>4.4231011795298354</v>
      </c>
      <c r="AW83" s="21">
        <f>EXP(-LN(2)/2)*AW82+(1-EXP(-LN(2)/2))/(LN(2)/2)*AQ83*AT83*VLOOKUP('Données projet'!$B$10,Paramètres!$A$1:$I$89,3,0)*0.475*44/12</f>
        <v>8.2761069563522089E-7</v>
      </c>
      <c r="AX83" s="21">
        <f t="shared" si="60"/>
        <v>5.5647101559430174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450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449.99999999999955</v>
      </c>
      <c r="BE83" s="13">
        <f>BD83*VLOOKUP('Données projet'!$B$11,Paramètres!$A$1:$I$89,3,0)*VLOOKUP('Données projet'!$B$11,Paramètres!$A$1:$I$89,5,0)</f>
        <v>269.09999999999974</v>
      </c>
      <c r="BF83" s="13">
        <f t="shared" si="91"/>
        <v>64.658229472790936</v>
      </c>
      <c r="BG83" s="20">
        <f t="shared" si="61"/>
        <v>581.29558299844382</v>
      </c>
      <c r="BH83" s="59">
        <f t="shared" si="62"/>
        <v>874.62891633177719</v>
      </c>
      <c r="BI83" s="59">
        <f ca="1">AVERAGE(OFFSET($BH$3,0,0,'Données projet'!$E$11+1,1))-AVERAGE(OFFSET($H$3,0,0,'Données projet'!$E$11+1,1))</f>
        <v>246.59447135626942</v>
      </c>
      <c r="BJ83" s="59">
        <f t="shared" si="92"/>
        <v>262.00382544285367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450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3.2123158879625624</v>
      </c>
      <c r="BR83" s="21">
        <f>EXP(-LN(2)/2)*BR82+(1-EXP(-LN(2)/2))/(LN(2)/2)*BL83*BO83*VLOOKUP('Données projet'!$B$11,Paramètres!$A$1:$I$89,3,0)*0.475*44/12</f>
        <v>7.0719003301319395E-7</v>
      </c>
      <c r="BS83" s="22">
        <f t="shared" si="63"/>
        <v>3.2123165951525956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206</v>
      </c>
      <c r="BW83" s="12">
        <f>VLOOKUP(A83,'Données projet'!$A$113:$I$133,9,0)</f>
        <v>4.8</v>
      </c>
      <c r="BX83" s="12">
        <f t="array" ref="BX83">INDEX(BW:BW,MIN(IF(ISNUMBER(BW83:BW279),ROW(BW83:BW279),"")))</f>
        <v>4.8</v>
      </c>
      <c r="BY83" s="12">
        <f>IF('Données projet'!$A$114&gt;35,BY82+BX83-CG82,IF(A83&lt;'Données projet'!$A$114,$BV$205^A83,IF(A83='Données projet'!$A$114,'Données projet'!$B$114,BY82+BX83-CG82)))</f>
        <v>206.00000000000006</v>
      </c>
      <c r="BZ83" s="13">
        <f>BY83*VLOOKUP('Données projet'!$B$12,Paramètres!$A$1:$I$89,3,0)*VLOOKUP('Données projet'!$B$12,Paramètres!$A$1:$I$89,5,0)</f>
        <v>186.38880000000003</v>
      </c>
      <c r="CA83" s="13">
        <f t="shared" si="93"/>
        <v>46.740678346193498</v>
      </c>
      <c r="CB83" s="20">
        <f t="shared" si="64"/>
        <v>406.03384145295377</v>
      </c>
      <c r="CC83" s="59">
        <f t="shared" si="65"/>
        <v>699.36717478628702</v>
      </c>
      <c r="CD83" s="59">
        <f ca="1">AVERAGE(OFFSET($CC$3,0,0,'Données projet'!$E$12+1,1))-AVERAGE(OFFSET($H$3,0,0,'Données projet'!$E$12+1,1))</f>
        <v>169.62156467157178</v>
      </c>
      <c r="CE83" s="59">
        <f t="shared" si="94"/>
        <v>85.631326020763254</v>
      </c>
      <c r="CF83" s="15">
        <f>IF(ISNA(VLOOKUP(A83,'Données projet'!$A$113:$I$133,3,0)),0,VLOOKUP(A83,'Données projet'!$A$113:$I$133,3,0))</f>
        <v>5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284</v>
      </c>
      <c r="CR83" s="12">
        <f>VLOOKUP(A83,'Données projet'!$A$139:$I$159,9,0)</f>
        <v>3.1</v>
      </c>
      <c r="CS83" s="12">
        <f t="array" ref="CS83">INDEX(CR:CR,MIN(IF(ISNUMBER(CR83:CR279),ROW(CR83:CR279),"")))</f>
        <v>3.1</v>
      </c>
      <c r="CT83" s="12">
        <f>IF('Données projet'!$A$140&gt;35,CT82+CS83-DB82,IF(A83&lt;'Données projet'!$A$140,$CQ$205^A83,IF(A83='Données projet'!$A$140,'Données projet'!$B$140,CT82+CS83-DB82)))</f>
        <v>284.00000000000006</v>
      </c>
      <c r="CU83" s="17">
        <f>CT83*VLOOKUP('Données projet'!$B$13,Paramètres!$A$1:$I$89,3,0)*VLOOKUP('Données projet'!$B$13,Paramètres!$A$1:$I$89,5,0)</f>
        <v>230.38080000000005</v>
      </c>
      <c r="CV83" s="13">
        <f t="shared" si="95"/>
        <v>56.365011465139979</v>
      </c>
      <c r="CW83" s="20">
        <f t="shared" si="67"/>
        <v>499.4156216351189</v>
      </c>
      <c r="CX83" s="59">
        <f t="shared" si="68"/>
        <v>792.74895496845215</v>
      </c>
      <c r="CY83" s="59">
        <f ca="1">AVERAGE(OFFSET($CX$3,0,0,'Données projet'!$E$13+1,1))-AVERAGE(OFFSET($H$3,0,0,'Données projet'!$E$13+1,1))</f>
        <v>234.59657655504111</v>
      </c>
      <c r="CZ83" s="59">
        <f t="shared" si="96"/>
        <v>285.10598666479211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284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2.1265940978176876</v>
      </c>
      <c r="DH83" s="21">
        <f>EXP(-LN(2)/2)*DH82+(1-EXP(-LN(2)/2))/(LN(2)/2)*DB83*DE83*VLOOKUP('Données projet'!$B$13,Paramètres!$A$1:$I$89,3,0)*0.475*44/12</f>
        <v>3.2700804895481225E-7</v>
      </c>
      <c r="DI83" s="22">
        <f t="shared" si="69"/>
        <v>2.1265944248257367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206</v>
      </c>
      <c r="DM83" s="12">
        <f>VLOOKUP(A83,'Données projet'!$A$165:$I$185,9,0)</f>
        <v>4.8</v>
      </c>
      <c r="DN83" s="12">
        <f t="array" ref="DN83">INDEX(DM:DM,MIN(IF(ISNUMBER(DM83:DM279),ROW(DM83:DM279),"")))</f>
        <v>4.8</v>
      </c>
      <c r="DO83" s="12">
        <f>IF('Données projet'!$A$166&gt;35,DO82+DN83-DW82,IF(A83&lt;'Données projet'!$A$166,$DL$205^A83,IF(A83='Données projet'!$A$166,'Données projet'!$B$166,DO82+DN83-DW82)))</f>
        <v>206.00000000000006</v>
      </c>
      <c r="DP83" s="17">
        <f>DO83*VLOOKUP('Données projet'!$B$14,Paramètres!$A$1:$I$89,3,0)*VLOOKUP('Données projet'!$B$14,Paramètres!$A$1:$I$89,5,0)</f>
        <v>199.24320000000006</v>
      </c>
      <c r="DQ83" s="13">
        <f t="shared" si="97"/>
        <v>49.577809310922277</v>
      </c>
      <c r="DR83" s="20">
        <f t="shared" si="70"/>
        <v>433.36325788318965</v>
      </c>
      <c r="DS83" s="59">
        <f t="shared" si="71"/>
        <v>726.69659121652296</v>
      </c>
      <c r="DT83" s="59">
        <f ca="1">AVERAGE(OFFSET($DS$3,0,0,'Données projet'!$E$14+1,1))-AVERAGE(OFFSET($H$3,0,0,'Données projet'!$E$14+1,1))</f>
        <v>186.90852124957956</v>
      </c>
      <c r="DU83" s="59">
        <f t="shared" si="98"/>
        <v>93.013797128776446</v>
      </c>
      <c r="DV83" s="15">
        <f>IF(ISNA(VLOOKUP(A83,'Données projet'!$A$165:$I$185,3,0)),0,VLOOKUP(A83,'Données projet'!$A$165:$I$185,3,0))</f>
        <v>5</v>
      </c>
      <c r="DW83" s="15">
        <f>IF(ISNA(VLOOKUP(A83,'Données projet'!$A$165:$I$185,4,0)),0,VLOOKUP(A83,'Données projet'!$A$165:$I$185,4,0))</f>
        <v>28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206</v>
      </c>
      <c r="EH83" s="12">
        <f>VLOOKUP(A83,'Données projet'!$A$191:$I$211,9,0)</f>
        <v>4.8</v>
      </c>
      <c r="EI83" s="12">
        <f t="array" ref="EI83">INDEX(EH:EH,MIN(IF(ISNUMBER(EH83:EH279),ROW(EH83:EH279),"")))</f>
        <v>4.8</v>
      </c>
      <c r="EJ83" s="12">
        <f>IF('Données projet'!$A$192&gt;35,EJ82+EI83-ER82,IF(A83&lt;'Données projet'!$A$192,$EG$205^A83,IF(A83='Données projet'!$A$192,'Données projet'!$B$192,EJ82+EI83-ER82)))</f>
        <v>206.00000000000006</v>
      </c>
      <c r="EK83" s="17">
        <f>EJ83*VLOOKUP('Données projet'!$B$15,Paramètres!$A$1:$I$89,3,0)*VLOOKUP('Données projet'!$B$15,Paramètres!$A$1:$I$89,5,0)</f>
        <v>221.73840000000004</v>
      </c>
      <c r="EL83" s="13">
        <f t="shared" si="99"/>
        <v>54.492545120441797</v>
      </c>
      <c r="EM83" s="20">
        <f t="shared" si="73"/>
        <v>481.10222941810292</v>
      </c>
      <c r="EN83" s="59">
        <f t="shared" si="74"/>
        <v>774.43556275143624</v>
      </c>
      <c r="EO83" s="59">
        <f ca="1">AVERAGE(OFFSET($EN$3,0,0,'Données projet'!$E$15+1,1))-AVERAGE(OFFSET($H$3,0,0,'Données projet'!$E$15+1,1))</f>
        <v>217.10418688911096</v>
      </c>
      <c r="EP83" s="59">
        <f t="shared" si="100"/>
        <v>105.90631421515786</v>
      </c>
      <c r="EQ83" s="15">
        <f>IF(ISNA(VLOOKUP(A83,'Données projet'!$A$191:$I$211,3,0)),0,VLOOKUP(A83,'Données projet'!$A$191:$I$211,3,0))</f>
        <v>5</v>
      </c>
      <c r="ER83" s="15">
        <f>IF(ISNA(VLOOKUP(A83,'Données projet'!$A$191:$I$211,4,0)),0,VLOOKUP(A83,'Données projet'!$A$191:$I$211,4,0))</f>
        <v>28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145.19188637714888</v>
      </c>
      <c r="T84" s="59">
        <f t="shared" si="88"/>
        <v>169.74069292032493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0.80574951515521998</v>
      </c>
      <c r="AA84" s="21">
        <f>EXP(-LN(2)/25)*AA83+(1-EXP(-LN(2)/25))/(LN(2)/25)*Calculateur!V84*Calculateur!X84*VLOOKUP('Données projet'!$B$9,Paramètres!$A$1:$I$89,3,0)*0.475*44/12</f>
        <v>2.1047254152385078</v>
      </c>
      <c r="AB84" s="21">
        <f>EXP(-LN(2)/2)*AB83+(1-EXP(-LN(2)/2))/(LN(2)/2)*V84*Y84*VLOOKUP('Données projet'!$B$9,Paramètres!$A$1:$I$89,3,0)*0.475*44/12</f>
        <v>8.5253014309798767E-8</v>
      </c>
      <c r="AC84" s="22">
        <f t="shared" si="57"/>
        <v>2.910475015646742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2.9</v>
      </c>
      <c r="AI84" s="13">
        <f>IF('Données projet'!$A$62&gt;35,AI83+AH84-AQ83,IF(A84&lt;'Données projet'!$A$62,$AF$205^A84,IF(A84='Données projet'!$A$62,'Données projet'!$B$62,AI83+AH84-AQ83)))</f>
        <v>221.89999999999992</v>
      </c>
      <c r="AJ84" s="13">
        <f>AI84*VLOOKUP('Données projet'!$B$10,Paramètres!$A$1:$I$89,3,0)*VLOOKUP('Données projet'!$B$10,Paramètres!$A$1:$I$89,5,0)</f>
        <v>193.85183999999995</v>
      </c>
      <c r="AK84" s="13">
        <f t="shared" si="89"/>
        <v>48.390542715745532</v>
      </c>
      <c r="AL84" s="20">
        <f t="shared" si="58"/>
        <v>421.90548322992339</v>
      </c>
      <c r="AM84" s="59">
        <f t="shared" si="59"/>
        <v>715.23881656325671</v>
      </c>
      <c r="AN84" s="59">
        <f ca="1">AVERAGE(OFFSET($AM$3,0,0,'Données projet'!$E$10+1,1))-AVERAGE(OFFSET($H$3,0,0,'Données projet'!$E$10+1,1))</f>
        <v>254.24072778190163</v>
      </c>
      <c r="AO84" s="59">
        <f t="shared" si="90"/>
        <v>356.78706780980383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1.1192219093166851</v>
      </c>
      <c r="AV84" s="21">
        <f>EXP(-LN(2)/25)*AV83+(1-EXP(-LN(2)/25))/(LN(2)/25)*Calculateur!AQ84*Calculateur!AS84*VLOOKUP('Données projet'!$B$10,Paramètres!$A$1:$I$89,3,0)*0.475*44/12</f>
        <v>4.3021512451748105</v>
      </c>
      <c r="AW84" s="21">
        <f>EXP(-LN(2)/2)*AW83+(1-EXP(-LN(2)/2))/(LN(2)/2)*AQ84*AT84*VLOOKUP('Données projet'!$B$10,Paramètres!$A$1:$I$89,3,0)*0.475*44/12</f>
        <v>5.8520913506618051E-7</v>
      </c>
      <c r="AX84" s="21">
        <f t="shared" si="60"/>
        <v>5.4213737397006314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-4.5474735088646412E-13</v>
      </c>
      <c r="BE84" s="13">
        <f>BD84*VLOOKUP('Données projet'!$B$11,Paramètres!$A$1:$I$89,3,0)*VLOOKUP('Données projet'!$B$11,Paramètres!$A$1:$I$89,5,0)</f>
        <v>-2.7193891583010558E-13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246.59447135626942</v>
      </c>
      <c r="BJ84" s="59">
        <f t="shared" si="92"/>
        <v>262.00382544285367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3.1244749410778754</v>
      </c>
      <c r="BR84" s="21">
        <f>EXP(-LN(2)/2)*BR83+(1-EXP(-LN(2)/2))/(LN(2)/2)*BL84*BO84*VLOOKUP('Données projet'!$B$11,Paramètres!$A$1:$I$89,3,0)*0.475*44/12</f>
        <v>5.0005886793116784E-7</v>
      </c>
      <c r="BS84" s="22">
        <f t="shared" si="63"/>
        <v>3.1244754411367435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4.3</v>
      </c>
      <c r="BY84" s="12">
        <f>IF('Données projet'!$A$114&gt;35,BY83+BX84-CG83,IF(A84&lt;'Données projet'!$A$114,$BV$205^A84,IF(A84='Données projet'!$A$114,'Données projet'!$B$114,BY83+BX84-CG83)))</f>
        <v>182.30000000000007</v>
      </c>
      <c r="BZ84" s="13">
        <f>BY84*VLOOKUP('Données projet'!$B$12,Paramètres!$A$1:$I$89,3,0)*VLOOKUP('Données projet'!$B$12,Paramètres!$A$1:$I$89,5,0)</f>
        <v>164.94504000000006</v>
      </c>
      <c r="CA84" s="13">
        <f t="shared" si="93"/>
        <v>41.955899409919269</v>
      </c>
      <c r="CB84" s="20">
        <f t="shared" si="64"/>
        <v>360.35246947227614</v>
      </c>
      <c r="CC84" s="59">
        <f t="shared" si="65"/>
        <v>653.68580280560946</v>
      </c>
      <c r="CD84" s="59">
        <f ca="1">AVERAGE(OFFSET($CC$3,0,0,'Données projet'!$E$12+1,1))-AVERAGE(OFFSET($H$3,0,0,'Données projet'!$E$12+1,1))</f>
        <v>169.62156467157178</v>
      </c>
      <c r="CE84" s="59">
        <f t="shared" si="94"/>
        <v>85.631326020763254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4.6111381379887463E-14</v>
      </c>
      <c r="CV84" s="13">
        <f t="shared" si="95"/>
        <v>7.5804141040779151E-13</v>
      </c>
      <c r="CW84" s="20">
        <f t="shared" si="67"/>
        <v>1.4005661123635408E-12</v>
      </c>
      <c r="CX84" s="59">
        <f t="shared" si="68"/>
        <v>293.33333333333474</v>
      </c>
      <c r="CY84" s="59">
        <f ca="1">AVERAGE(OFFSET($CX$3,0,0,'Données projet'!$E$13+1,1))-AVERAGE(OFFSET($H$3,0,0,'Données projet'!$E$13+1,1))</f>
        <v>234.59657655504111</v>
      </c>
      <c r="CZ84" s="59">
        <f t="shared" si="96"/>
        <v>285.10598666479211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2.0684422703801397</v>
      </c>
      <c r="DH84" s="21">
        <f>EXP(-LN(2)/2)*DH83+(1-EXP(-LN(2)/2))/(LN(2)/2)*DB84*DE84*VLOOKUP('Données projet'!$B$13,Paramètres!$A$1:$I$89,3,0)*0.475*44/12</f>
        <v>2.3122960891853025E-7</v>
      </c>
      <c r="DI84" s="22">
        <f t="shared" si="69"/>
        <v>2.0684425016097485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4.3</v>
      </c>
      <c r="DO84" s="12">
        <f>IF('Données projet'!$A$166&gt;35,DO83+DN84-DW83,IF(A84&lt;'Données projet'!$A$166,$DL$205^A84,IF(A84='Données projet'!$A$166,'Données projet'!$B$166,DO83+DN84-DW83)))</f>
        <v>182.30000000000007</v>
      </c>
      <c r="DP84" s="17">
        <f>DO84*VLOOKUP('Données projet'!$B$14,Paramètres!$A$1:$I$89,3,0)*VLOOKUP('Données projet'!$B$14,Paramètres!$A$1:$I$89,5,0)</f>
        <v>176.32056000000006</v>
      </c>
      <c r="DQ84" s="13">
        <f t="shared" si="97"/>
        <v>44.502597181125708</v>
      </c>
      <c r="DR84" s="20">
        <f t="shared" si="70"/>
        <v>384.60033209046077</v>
      </c>
      <c r="DS84" s="59">
        <f t="shared" si="71"/>
        <v>677.93366542379408</v>
      </c>
      <c r="DT84" s="59">
        <f ca="1">AVERAGE(OFFSET($DS$3,0,0,'Données projet'!$E$14+1,1))-AVERAGE(OFFSET($H$3,0,0,'Données projet'!$E$14+1,1))</f>
        <v>186.90852124957956</v>
      </c>
      <c r="DU84" s="59">
        <f t="shared" si="98"/>
        <v>93.013797128776446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4.3</v>
      </c>
      <c r="EJ84" s="12">
        <f>IF('Données projet'!$A$192&gt;35,EJ83+EI84-ER83,IF(A84&lt;'Données projet'!$A$192,$EG$205^A84,IF(A84='Données projet'!$A$192,'Données projet'!$B$192,EJ83+EI84-ER83)))</f>
        <v>182.30000000000007</v>
      </c>
      <c r="EK84" s="17">
        <f>EJ84*VLOOKUP('Données projet'!$B$15,Paramètres!$A$1:$I$89,3,0)*VLOOKUP('Données projet'!$B$15,Paramètres!$A$1:$I$89,5,0)</f>
        <v>196.22772000000006</v>
      </c>
      <c r="EL84" s="13">
        <f t="shared" si="99"/>
        <v>48.91421824753926</v>
      </c>
      <c r="EM84" s="20">
        <f t="shared" si="73"/>
        <v>426.95554244779765</v>
      </c>
      <c r="EN84" s="59">
        <f t="shared" si="74"/>
        <v>720.28887578113097</v>
      </c>
      <c r="EO84" s="59">
        <f ca="1">AVERAGE(OFFSET($EN$3,0,0,'Données projet'!$E$15+1,1))-AVERAGE(OFFSET($H$3,0,0,'Données projet'!$E$15+1,1))</f>
        <v>217.10418688911096</v>
      </c>
      <c r="EP84" s="59">
        <f t="shared" si="100"/>
        <v>105.90631421515786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145.19188637714888</v>
      </c>
      <c r="T85" s="59">
        <f t="shared" si="88"/>
        <v>169.74069292032493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0.78994925862170284</v>
      </c>
      <c r="AA85" s="21">
        <f>EXP(-LN(2)/25)*AA84+(1-EXP(-LN(2)/25))/(LN(2)/25)*Calculateur!V85*Calculateur!X85*VLOOKUP('Données projet'!$B$9,Paramètres!$A$1:$I$89,3,0)*0.475*44/12</f>
        <v>2.0471715880761114</v>
      </c>
      <c r="AB85" s="21">
        <f>EXP(-LN(2)/2)*AB84+(1-EXP(-LN(2)/2))/(LN(2)/2)*V85*Y85*VLOOKUP('Données projet'!$B$9,Paramètres!$A$1:$I$89,3,0)*0.475*44/12</f>
        <v>6.0282984535052481E-8</v>
      </c>
      <c r="AC85" s="22">
        <f t="shared" si="57"/>
        <v>2.8371209069807986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2.9</v>
      </c>
      <c r="AI85" s="13">
        <f>IF('Données projet'!$A$62&gt;35,AI84+AH85-AQ84,IF(A85&lt;'Données projet'!$A$62,$AF$205^A85,IF(A85='Données projet'!$A$62,'Données projet'!$B$62,AI84+AH85-AQ84)))</f>
        <v>224.79999999999993</v>
      </c>
      <c r="AJ85" s="13">
        <f>AI85*VLOOKUP('Données projet'!$B$10,Paramètres!$A$1:$I$89,3,0)*VLOOKUP('Données projet'!$B$10,Paramètres!$A$1:$I$89,5,0)</f>
        <v>196.38527999999997</v>
      </c>
      <c r="AK85" s="13">
        <f t="shared" si="89"/>
        <v>48.948920378863868</v>
      </c>
      <c r="AL85" s="20">
        <f t="shared" si="58"/>
        <v>427.29039899318786</v>
      </c>
      <c r="AM85" s="59">
        <f t="shared" si="59"/>
        <v>720.62373232652112</v>
      </c>
      <c r="AN85" s="59">
        <f ca="1">AVERAGE(OFFSET($AM$3,0,0,'Données projet'!$E$10+1,1))-AVERAGE(OFFSET($H$3,0,0,'Données projet'!$E$10+1,1))</f>
        <v>254.24072778190163</v>
      </c>
      <c r="AO85" s="59">
        <f t="shared" si="90"/>
        <v>356.78706780980383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1.0972746503329427</v>
      </c>
      <c r="AV85" s="21">
        <f>EXP(-LN(2)/25)*AV84+(1-EXP(-LN(2)/25))/(LN(2)/25)*Calculateur!AQ85*Calculateur!AS85*VLOOKUP('Données projet'!$B$10,Paramètres!$A$1:$I$89,3,0)*0.475*44/12</f>
        <v>4.1845086931352045</v>
      </c>
      <c r="AW85" s="21">
        <f>EXP(-LN(2)/2)*AW84+(1-EXP(-LN(2)/2))/(LN(2)/2)*AQ85*AT85*VLOOKUP('Données projet'!$B$10,Paramètres!$A$1:$I$89,3,0)*0.475*44/12</f>
        <v>4.1380534781761044E-7</v>
      </c>
      <c r="AX85" s="21">
        <f t="shared" si="60"/>
        <v>5.2817837572734954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-4.5474735088646412E-13</v>
      </c>
      <c r="BE85" s="13">
        <f>BD85*VLOOKUP('Données projet'!$B$11,Paramètres!$A$1:$I$89,3,0)*VLOOKUP('Données projet'!$B$11,Paramètres!$A$1:$I$89,5,0)</f>
        <v>-2.7193891583010558E-13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246.59447135626942</v>
      </c>
      <c r="BJ85" s="59">
        <f t="shared" si="92"/>
        <v>262.00382544285367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3.039036009505105</v>
      </c>
      <c r="BR85" s="21">
        <f>EXP(-LN(2)/2)*BR84+(1-EXP(-LN(2)/2))/(LN(2)/2)*BL85*BO85*VLOOKUP('Données projet'!$B$11,Paramètres!$A$1:$I$89,3,0)*0.475*44/12</f>
        <v>3.5359501650659697E-7</v>
      </c>
      <c r="BS85" s="22">
        <f t="shared" si="63"/>
        <v>3.0390363631001214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4.3</v>
      </c>
      <c r="BY85" s="12">
        <f>IF('Données projet'!$A$114&gt;35,BY84+BX85-CG84,IF(A85&lt;'Données projet'!$A$114,$BV$205^A85,IF(A85='Données projet'!$A$114,'Données projet'!$B$114,BY84+BX85-CG84)))</f>
        <v>186.60000000000008</v>
      </c>
      <c r="BZ85" s="13">
        <f>BY85*VLOOKUP('Données projet'!$B$12,Paramètres!$A$1:$I$89,3,0)*VLOOKUP('Données projet'!$B$12,Paramètres!$A$1:$I$89,5,0)</f>
        <v>168.83568000000005</v>
      </c>
      <c r="CA85" s="13">
        <f t="shared" si="93"/>
        <v>42.829150426593429</v>
      </c>
      <c r="CB85" s="20">
        <f t="shared" si="64"/>
        <v>368.64957965965027</v>
      </c>
      <c r="CC85" s="59">
        <f t="shared" si="65"/>
        <v>661.98291299298353</v>
      </c>
      <c r="CD85" s="59">
        <f ca="1">AVERAGE(OFFSET($CC$3,0,0,'Données projet'!$E$12+1,1))-AVERAGE(OFFSET($H$3,0,0,'Données projet'!$E$12+1,1))</f>
        <v>169.62156467157178</v>
      </c>
      <c r="CE85" s="59">
        <f t="shared" si="94"/>
        <v>85.631326020763254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4.6111381379887463E-14</v>
      </c>
      <c r="CV85" s="13">
        <f t="shared" si="95"/>
        <v>7.5804141040779151E-13</v>
      </c>
      <c r="CW85" s="20">
        <f t="shared" si="67"/>
        <v>1.4005661123635408E-12</v>
      </c>
      <c r="CX85" s="59">
        <f t="shared" si="68"/>
        <v>293.33333333333474</v>
      </c>
      <c r="CY85" s="59">
        <f ca="1">AVERAGE(OFFSET($CX$3,0,0,'Données projet'!$E$13+1,1))-AVERAGE(OFFSET($H$3,0,0,'Données projet'!$E$13+1,1))</f>
        <v>234.59657655504111</v>
      </c>
      <c r="CZ85" s="59">
        <f t="shared" si="96"/>
        <v>285.10598666479211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2.0118806077219431</v>
      </c>
      <c r="DH85" s="21">
        <f>EXP(-LN(2)/2)*DH84+(1-EXP(-LN(2)/2))/(LN(2)/2)*DB85*DE85*VLOOKUP('Données projet'!$B$13,Paramètres!$A$1:$I$89,3,0)*0.475*44/12</f>
        <v>1.6350402447740613E-7</v>
      </c>
      <c r="DI85" s="22">
        <f t="shared" si="69"/>
        <v>2.0118807712259676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4.3</v>
      </c>
      <c r="DO85" s="12">
        <f>IF('Données projet'!$A$166&gt;35,DO84+DN85-DW84,IF(A85&lt;'Données projet'!$A$166,$DL$205^A85,IF(A85='Données projet'!$A$166,'Données projet'!$B$166,DO84+DN85-DW84)))</f>
        <v>186.60000000000008</v>
      </c>
      <c r="DP85" s="17">
        <f>DO85*VLOOKUP('Données projet'!$B$14,Paramètres!$A$1:$I$89,3,0)*VLOOKUP('Données projet'!$B$14,Paramètres!$A$1:$I$89,5,0)</f>
        <v>180.47952000000009</v>
      </c>
      <c r="DQ85" s="13">
        <f t="shared" si="97"/>
        <v>45.428854007451079</v>
      </c>
      <c r="DR85" s="20">
        <f t="shared" si="70"/>
        <v>393.45708472964412</v>
      </c>
      <c r="DS85" s="59">
        <f t="shared" si="71"/>
        <v>686.79041806297744</v>
      </c>
      <c r="DT85" s="59">
        <f ca="1">AVERAGE(OFFSET($DS$3,0,0,'Données projet'!$E$14+1,1))-AVERAGE(OFFSET($H$3,0,0,'Données projet'!$E$14+1,1))</f>
        <v>186.90852124957956</v>
      </c>
      <c r="DU85" s="59">
        <f t="shared" si="98"/>
        <v>93.013797128776446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4.3</v>
      </c>
      <c r="EJ85" s="12">
        <f>IF('Données projet'!$A$192&gt;35,EJ84+EI85-ER84,IF(A85&lt;'Données projet'!$A$192,$EG$205^A85,IF(A85='Données projet'!$A$192,'Données projet'!$B$192,EJ84+EI85-ER84)))</f>
        <v>186.60000000000008</v>
      </c>
      <c r="EK85" s="17">
        <f>EJ85*VLOOKUP('Données projet'!$B$15,Paramètres!$A$1:$I$89,3,0)*VLOOKUP('Données projet'!$B$15,Paramètres!$A$1:$I$89,5,0)</f>
        <v>200.85624000000007</v>
      </c>
      <c r="EL85" s="13">
        <f t="shared" si="99"/>
        <v>49.932296549166296</v>
      </c>
      <c r="EM85" s="20">
        <f t="shared" si="73"/>
        <v>436.79003448979807</v>
      </c>
      <c r="EN85" s="59">
        <f t="shared" si="74"/>
        <v>730.12336782313139</v>
      </c>
      <c r="EO85" s="59">
        <f ca="1">AVERAGE(OFFSET($EN$3,0,0,'Données projet'!$E$15+1,1))-AVERAGE(OFFSET($H$3,0,0,'Données projet'!$E$15+1,1))</f>
        <v>217.10418688911096</v>
      </c>
      <c r="EP85" s="59">
        <f t="shared" si="100"/>
        <v>105.90631421515786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145.19188637714888</v>
      </c>
      <c r="T86" s="59">
        <f t="shared" si="88"/>
        <v>169.74069292032493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0.7744588354816031</v>
      </c>
      <c r="AA86" s="21">
        <f>EXP(-LN(2)/25)*AA85+(1-EXP(-LN(2)/25))/(LN(2)/25)*Calculateur!V86*Calculateur!X86*VLOOKUP('Données projet'!$B$9,Paramètres!$A$1:$I$89,3,0)*0.475*44/12</f>
        <v>1.9911915733440952</v>
      </c>
      <c r="AB86" s="21">
        <f>EXP(-LN(2)/2)*AB85+(1-EXP(-LN(2)/2))/(LN(2)/2)*V86*Y86*VLOOKUP('Données projet'!$B$9,Paramètres!$A$1:$I$89,3,0)*0.475*44/12</f>
        <v>4.2626507154899384E-8</v>
      </c>
      <c r="AC86" s="22">
        <f t="shared" si="57"/>
        <v>2.7656504514522058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2.9</v>
      </c>
      <c r="AI86" s="13">
        <f>IF('Données projet'!$A$62&gt;35,AI85+AH86-AQ85,IF(A86&lt;'Données projet'!$A$62,$AF$205^A86,IF(A86='Données projet'!$A$62,'Données projet'!$B$62,AI85+AH86-AQ85)))</f>
        <v>227.69999999999993</v>
      </c>
      <c r="AJ86" s="13">
        <f>AI86*VLOOKUP('Données projet'!$B$10,Paramètres!$A$1:$I$89,3,0)*VLOOKUP('Données projet'!$B$10,Paramètres!$A$1:$I$89,5,0)</f>
        <v>198.91871999999995</v>
      </c>
      <c r="AK86" s="13">
        <f t="shared" si="89"/>
        <v>49.506460185916012</v>
      </c>
      <c r="AL86" s="20">
        <f t="shared" si="58"/>
        <v>432.67385549047032</v>
      </c>
      <c r="AM86" s="59">
        <f t="shared" si="59"/>
        <v>726.00718882380363</v>
      </c>
      <c r="AN86" s="59">
        <f ca="1">AVERAGE(OFFSET($AM$3,0,0,'Données projet'!$E$10+1,1))-AVERAGE(OFFSET($H$3,0,0,'Données projet'!$E$10+1,1))</f>
        <v>254.24072778190163</v>
      </c>
      <c r="AO86" s="59">
        <f t="shared" si="90"/>
        <v>356.78706780980383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1.0757577637113653</v>
      </c>
      <c r="AV86" s="21">
        <f>EXP(-LN(2)/25)*AV85+(1-EXP(-LN(2)/25))/(LN(2)/25)*Calculateur!AQ86*Calculateur!AS86*VLOOKUP('Données projet'!$B$10,Paramètres!$A$1:$I$89,3,0)*0.475*44/12</f>
        <v>4.070083082867674</v>
      </c>
      <c r="AW86" s="21">
        <f>EXP(-LN(2)/2)*AW85+(1-EXP(-LN(2)/2))/(LN(2)/2)*AQ86*AT86*VLOOKUP('Données projet'!$B$10,Paramètres!$A$1:$I$89,3,0)*0.475*44/12</f>
        <v>2.9260456753309025E-7</v>
      </c>
      <c r="AX86" s="21">
        <f t="shared" si="60"/>
        <v>5.1458411391836067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-4.5474735088646412E-13</v>
      </c>
      <c r="BE86" s="13">
        <f>BD86*VLOOKUP('Données projet'!$B$11,Paramètres!$A$1:$I$89,3,0)*VLOOKUP('Données projet'!$B$11,Paramètres!$A$1:$I$89,5,0)</f>
        <v>-2.7193891583010558E-13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246.59447135626942</v>
      </c>
      <c r="BJ86" s="59">
        <f t="shared" si="92"/>
        <v>262.00382544285367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2.95593341000923</v>
      </c>
      <c r="BR86" s="21">
        <f>EXP(-LN(2)/2)*BR85+(1-EXP(-LN(2)/2))/(LN(2)/2)*BL86*BO86*VLOOKUP('Données projet'!$B$11,Paramètres!$A$1:$I$89,3,0)*0.475*44/12</f>
        <v>2.5002943396558392E-7</v>
      </c>
      <c r="BS86" s="22">
        <f t="shared" si="63"/>
        <v>2.9559336600386641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4.3</v>
      </c>
      <c r="BY86" s="12">
        <f>IF('Données projet'!$A$114&gt;35,BY85+BX86-CG85,IF(A86&lt;'Données projet'!$A$114,$BV$205^A86,IF(A86='Données projet'!$A$114,'Données projet'!$B$114,BY85+BX86-CG85)))</f>
        <v>190.90000000000009</v>
      </c>
      <c r="BZ86" s="13">
        <f>BY86*VLOOKUP('Données projet'!$B$12,Paramètres!$A$1:$I$89,3,0)*VLOOKUP('Données projet'!$B$12,Paramètres!$A$1:$I$89,5,0)</f>
        <v>172.72632000000007</v>
      </c>
      <c r="CA86" s="13">
        <f t="shared" si="93"/>
        <v>43.700062028669173</v>
      </c>
      <c r="CB86" s="20">
        <f t="shared" si="64"/>
        <v>376.942615366599</v>
      </c>
      <c r="CC86" s="59">
        <f t="shared" si="65"/>
        <v>670.27594869993231</v>
      </c>
      <c r="CD86" s="59">
        <f ca="1">AVERAGE(OFFSET($CC$3,0,0,'Données projet'!$E$12+1,1))-AVERAGE(OFFSET($H$3,0,0,'Données projet'!$E$12+1,1))</f>
        <v>169.62156467157178</v>
      </c>
      <c r="CE86" s="59">
        <f t="shared" si="94"/>
        <v>85.631326020763254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4.6111381379887463E-14</v>
      </c>
      <c r="CV86" s="13">
        <f t="shared" si="95"/>
        <v>7.5804141040779151E-13</v>
      </c>
      <c r="CW86" s="20">
        <f t="shared" si="67"/>
        <v>1.4005661123635408E-12</v>
      </c>
      <c r="CX86" s="59">
        <f t="shared" si="68"/>
        <v>293.33333333333474</v>
      </c>
      <c r="CY86" s="59">
        <f ca="1">AVERAGE(OFFSET($CX$3,0,0,'Données projet'!$E$13+1,1))-AVERAGE(OFFSET($H$3,0,0,'Données projet'!$E$13+1,1))</f>
        <v>234.59657655504111</v>
      </c>
      <c r="CZ86" s="59">
        <f t="shared" si="96"/>
        <v>285.10598666479211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1.9568656267035835</v>
      </c>
      <c r="DH86" s="21">
        <f>EXP(-LN(2)/2)*DH85+(1-EXP(-LN(2)/2))/(LN(2)/2)*DB86*DE86*VLOOKUP('Données projet'!$B$13,Paramètres!$A$1:$I$89,3,0)*0.475*44/12</f>
        <v>1.1561480445926513E-7</v>
      </c>
      <c r="DI86" s="22">
        <f t="shared" si="69"/>
        <v>1.9568657423183879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4.3</v>
      </c>
      <c r="DO86" s="12">
        <f>IF('Données projet'!$A$166&gt;35,DO85+DN86-DW85,IF(A86&lt;'Données projet'!$A$166,$DL$205^A86,IF(A86='Données projet'!$A$166,'Données projet'!$B$166,DO85+DN86-DW85)))</f>
        <v>190.90000000000009</v>
      </c>
      <c r="DP86" s="17">
        <f>DO86*VLOOKUP('Données projet'!$B$14,Paramètres!$A$1:$I$89,3,0)*VLOOKUP('Données projet'!$B$14,Paramètres!$A$1:$I$89,5,0)</f>
        <v>184.6384800000001</v>
      </c>
      <c r="DQ86" s="13">
        <f t="shared" si="97"/>
        <v>46.352629418123904</v>
      </c>
      <c r="DR86" s="20">
        <f t="shared" si="70"/>
        <v>402.3095155698993</v>
      </c>
      <c r="DS86" s="59">
        <f t="shared" si="71"/>
        <v>695.64284890323256</v>
      </c>
      <c r="DT86" s="59">
        <f ca="1">AVERAGE(OFFSET($DS$3,0,0,'Données projet'!$E$14+1,1))-AVERAGE(OFFSET($H$3,0,0,'Données projet'!$E$14+1,1))</f>
        <v>186.90852124957956</v>
      </c>
      <c r="DU86" s="59">
        <f t="shared" si="98"/>
        <v>93.013797128776446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4.3</v>
      </c>
      <c r="EJ86" s="12">
        <f>IF('Données projet'!$A$192&gt;35,EJ85+EI86-ER85,IF(A86&lt;'Données projet'!$A$192,$EG$205^A86,IF(A86='Données projet'!$A$192,'Données projet'!$B$192,EJ85+EI86-ER85)))</f>
        <v>190.90000000000009</v>
      </c>
      <c r="EK86" s="17">
        <f>EJ86*VLOOKUP('Données projet'!$B$15,Paramètres!$A$1:$I$89,3,0)*VLOOKUP('Données projet'!$B$15,Paramètres!$A$1:$I$89,5,0)</f>
        <v>205.48476000000011</v>
      </c>
      <c r="EL86" s="13">
        <f t="shared" si="99"/>
        <v>50.94764744802405</v>
      </c>
      <c r="EM86" s="20">
        <f t="shared" si="73"/>
        <v>446.61977630530873</v>
      </c>
      <c r="EN86" s="59">
        <f t="shared" si="74"/>
        <v>739.95310963864199</v>
      </c>
      <c r="EO86" s="59">
        <f ca="1">AVERAGE(OFFSET($EN$3,0,0,'Données projet'!$E$15+1,1))-AVERAGE(OFFSET($H$3,0,0,'Données projet'!$E$15+1,1))</f>
        <v>217.10418688911096</v>
      </c>
      <c r="EP86" s="59">
        <f t="shared" si="100"/>
        <v>105.90631421515786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145.19188637714888</v>
      </c>
      <c r="T87" s="59">
        <f t="shared" si="88"/>
        <v>169.74069292032493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0.75927217009105552</v>
      </c>
      <c r="AA87" s="21">
        <f>EXP(-LN(2)/25)*AA86+(1-EXP(-LN(2)/25))/(LN(2)/25)*Calculateur!V87*Calculateur!X87*VLOOKUP('Données projet'!$B$9,Paramètres!$A$1:$I$89,3,0)*0.475*44/12</f>
        <v>1.9367423350587871</v>
      </c>
      <c r="AB87" s="21">
        <f>EXP(-LN(2)/2)*AB86+(1-EXP(-LN(2)/2))/(LN(2)/2)*V87*Y87*VLOOKUP('Données projet'!$B$9,Paramètres!$A$1:$I$89,3,0)*0.475*44/12</f>
        <v>3.0141492267526241E-8</v>
      </c>
      <c r="AC87" s="22">
        <f t="shared" si="57"/>
        <v>2.6960145352913352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2.9</v>
      </c>
      <c r="AI87" s="13">
        <f>IF('Données projet'!$A$62&gt;35,AI86+AH87-AQ86,IF(A87&lt;'Données projet'!$A$62,$AF$205^A87,IF(A87='Données projet'!$A$62,'Données projet'!$B$62,AI86+AH87-AQ86)))</f>
        <v>230.59999999999994</v>
      </c>
      <c r="AJ87" s="13">
        <f>AI87*VLOOKUP('Données projet'!$B$10,Paramètres!$A$1:$I$89,3,0)*VLOOKUP('Données projet'!$B$10,Paramètres!$A$1:$I$89,5,0)</f>
        <v>201.45215999999996</v>
      </c>
      <c r="AK87" s="13">
        <f t="shared" si="89"/>
        <v>50.063174041807549</v>
      </c>
      <c r="AL87" s="20">
        <f t="shared" si="58"/>
        <v>438.05587345614805</v>
      </c>
      <c r="AM87" s="59">
        <f t="shared" si="59"/>
        <v>731.38920678948136</v>
      </c>
      <c r="AN87" s="59">
        <f ca="1">AVERAGE(OFFSET($AM$3,0,0,'Données projet'!$E$10+1,1))-AVERAGE(OFFSET($H$3,0,0,'Données projet'!$E$10+1,1))</f>
        <v>254.24072778190163</v>
      </c>
      <c r="AO87" s="59">
        <f t="shared" si="90"/>
        <v>356.78706780980383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1.0546628101124322</v>
      </c>
      <c r="AV87" s="21">
        <f>EXP(-LN(2)/25)*AV86+(1-EXP(-LN(2)/25))/(LN(2)/25)*Calculateur!AQ87*Calculateur!AS87*VLOOKUP('Données projet'!$B$10,Paramètres!$A$1:$I$89,3,0)*0.475*44/12</f>
        <v>3.9587864469302905</v>
      </c>
      <c r="AW87" s="21">
        <f>EXP(-LN(2)/2)*AW86+(1-EXP(-LN(2)/2))/(LN(2)/2)*AQ87*AT87*VLOOKUP('Données projet'!$B$10,Paramètres!$A$1:$I$89,3,0)*0.475*44/12</f>
        <v>2.0690267390880522E-7</v>
      </c>
      <c r="AX87" s="21">
        <f t="shared" si="60"/>
        <v>5.0134494639453964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-4.5474735088646412E-13</v>
      </c>
      <c r="BE87" s="13">
        <f>BD87*VLOOKUP('Données projet'!$B$11,Paramètres!$A$1:$I$89,3,0)*VLOOKUP('Données projet'!$B$11,Paramètres!$A$1:$I$89,5,0)</f>
        <v>-2.7193891583010558E-13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246.59447135626942</v>
      </c>
      <c r="BJ87" s="59">
        <f t="shared" si="92"/>
        <v>262.00382544285367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2.8751032554667453</v>
      </c>
      <c r="BR87" s="21">
        <f>EXP(-LN(2)/2)*BR86+(1-EXP(-LN(2)/2))/(LN(2)/2)*BL87*BO87*VLOOKUP('Données projet'!$B$11,Paramètres!$A$1:$I$89,3,0)*0.475*44/12</f>
        <v>1.7679750825329849E-7</v>
      </c>
      <c r="BS87" s="22">
        <f t="shared" si="63"/>
        <v>2.8751034322642535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4.3</v>
      </c>
      <c r="BY87" s="12">
        <f>IF('Données projet'!$A$114&gt;35,BY86+BX87-CG86,IF(A87&lt;'Données projet'!$A$114,$BV$205^A87,IF(A87='Données projet'!$A$114,'Données projet'!$B$114,BY86+BX87-CG86)))</f>
        <v>195.2000000000001</v>
      </c>
      <c r="BZ87" s="13">
        <f>BY87*VLOOKUP('Données projet'!$B$12,Paramètres!$A$1:$I$89,3,0)*VLOOKUP('Données projet'!$B$12,Paramètres!$A$1:$I$89,5,0)</f>
        <v>176.61696000000009</v>
      </c>
      <c r="CA87" s="13">
        <f t="shared" si="93"/>
        <v>44.56869297787356</v>
      </c>
      <c r="CB87" s="20">
        <f t="shared" si="64"/>
        <v>385.23167893646331</v>
      </c>
      <c r="CC87" s="59">
        <f t="shared" si="65"/>
        <v>678.56501226979663</v>
      </c>
      <c r="CD87" s="59">
        <f ca="1">AVERAGE(OFFSET($CC$3,0,0,'Données projet'!$E$12+1,1))-AVERAGE(OFFSET($H$3,0,0,'Données projet'!$E$12+1,1))</f>
        <v>169.62156467157178</v>
      </c>
      <c r="CE87" s="59">
        <f t="shared" si="94"/>
        <v>85.631326020763254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4.6111381379887463E-14</v>
      </c>
      <c r="CV87" s="13">
        <f t="shared" si="95"/>
        <v>7.5804141040779151E-13</v>
      </c>
      <c r="CW87" s="20">
        <f t="shared" si="67"/>
        <v>1.4005661123635408E-12</v>
      </c>
      <c r="CX87" s="59">
        <f t="shared" si="68"/>
        <v>293.33333333333474</v>
      </c>
      <c r="CY87" s="59">
        <f ca="1">AVERAGE(OFFSET($CX$3,0,0,'Données projet'!$E$13+1,1))-AVERAGE(OFFSET($H$3,0,0,'Données projet'!$E$13+1,1))</f>
        <v>234.59657655504111</v>
      </c>
      <c r="CZ87" s="59">
        <f t="shared" si="96"/>
        <v>285.10598666479211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1.9033550332342832</v>
      </c>
      <c r="DH87" s="21">
        <f>EXP(-LN(2)/2)*DH86+(1-EXP(-LN(2)/2))/(LN(2)/2)*DB87*DE87*VLOOKUP('Données projet'!$B$13,Paramètres!$A$1:$I$89,3,0)*0.475*44/12</f>
        <v>8.1752012238703063E-8</v>
      </c>
      <c r="DI87" s="22">
        <f t="shared" si="69"/>
        <v>1.9033551149862955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4.3</v>
      </c>
      <c r="DO87" s="12">
        <f>IF('Données projet'!$A$166&gt;35,DO86+DN87-DW86,IF(A87&lt;'Données projet'!$A$166,$DL$205^A87,IF(A87='Données projet'!$A$166,'Données projet'!$B$166,DO86+DN87-DW86)))</f>
        <v>195.2000000000001</v>
      </c>
      <c r="DP87" s="17">
        <f>DO87*VLOOKUP('Données projet'!$B$14,Paramètres!$A$1:$I$89,3,0)*VLOOKUP('Données projet'!$B$14,Paramètres!$A$1:$I$89,5,0)</f>
        <v>188.79744000000011</v>
      </c>
      <c r="DQ87" s="13">
        <f t="shared" si="97"/>
        <v>47.27398574167259</v>
      </c>
      <c r="DR87" s="20">
        <f t="shared" si="70"/>
        <v>411.1577331667466</v>
      </c>
      <c r="DS87" s="59">
        <f t="shared" si="71"/>
        <v>704.49106650007991</v>
      </c>
      <c r="DT87" s="59">
        <f ca="1">AVERAGE(OFFSET($DS$3,0,0,'Données projet'!$E$14+1,1))-AVERAGE(OFFSET($H$3,0,0,'Données projet'!$E$14+1,1))</f>
        <v>186.90852124957956</v>
      </c>
      <c r="DU87" s="59">
        <f t="shared" si="98"/>
        <v>93.013797128776446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4.3</v>
      </c>
      <c r="EJ87" s="12">
        <f>IF('Données projet'!$A$192&gt;35,EJ86+EI87-ER86,IF(A87&lt;'Données projet'!$A$192,$EG$205^A87,IF(A87='Données projet'!$A$192,'Données projet'!$B$192,EJ86+EI87-ER86)))</f>
        <v>195.2000000000001</v>
      </c>
      <c r="EK87" s="17">
        <f>EJ87*VLOOKUP('Données projet'!$B$15,Paramètres!$A$1:$I$89,3,0)*VLOOKUP('Données projet'!$B$15,Paramètres!$A$1:$I$89,5,0)</f>
        <v>210.11328000000012</v>
      </c>
      <c r="EL87" s="13">
        <f t="shared" si="99"/>
        <v>51.960339451378104</v>
      </c>
      <c r="EM87" s="20">
        <f t="shared" si="73"/>
        <v>456.44488721115044</v>
      </c>
      <c r="EN87" s="59">
        <f t="shared" si="74"/>
        <v>749.7782205444837</v>
      </c>
      <c r="EO87" s="59">
        <f ca="1">AVERAGE(OFFSET($EN$3,0,0,'Données projet'!$E$15+1,1))-AVERAGE(OFFSET($H$3,0,0,'Données projet'!$E$15+1,1))</f>
        <v>217.10418688911096</v>
      </c>
      <c r="EP87" s="59">
        <f t="shared" si="100"/>
        <v>105.90631421515786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145.19188637714888</v>
      </c>
      <c r="T88" s="59">
        <f t="shared" si="88"/>
        <v>169.74069292032493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0.74438330594586533</v>
      </c>
      <c r="AA88" s="21">
        <f>EXP(-LN(2)/25)*AA87+(1-EXP(-LN(2)/25))/(LN(2)/25)*Calculateur!V88*Calculateur!X88*VLOOKUP('Données projet'!$B$9,Paramètres!$A$1:$I$89,3,0)*0.475*44/12</f>
        <v>1.8837820140577517</v>
      </c>
      <c r="AB88" s="21">
        <f>EXP(-LN(2)/2)*AB87+(1-EXP(-LN(2)/2))/(LN(2)/2)*V88*Y88*VLOOKUP('Données projet'!$B$9,Paramètres!$A$1:$I$89,3,0)*0.475*44/12</f>
        <v>2.1313253577449692E-8</v>
      </c>
      <c r="AC88" s="22">
        <f t="shared" si="57"/>
        <v>2.6281653413168704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2.9</v>
      </c>
      <c r="AI88" s="13">
        <f>IF('Données projet'!$A$62&gt;35,AI87+AH88-AQ87,IF(A88&lt;'Données projet'!$A$62,$AF$205^A88,IF(A88='Données projet'!$A$62,'Données projet'!$B$62,AI87+AH88-AQ87)))</f>
        <v>233.49999999999994</v>
      </c>
      <c r="AJ88" s="13">
        <f>AI88*VLOOKUP('Données projet'!$B$10,Paramètres!$A$1:$I$89,3,0)*VLOOKUP('Données projet'!$B$10,Paramètres!$A$1:$I$89,5,0)</f>
        <v>203.98560000000001</v>
      </c>
      <c r="AK88" s="13">
        <f t="shared" si="89"/>
        <v>50.619073534794722</v>
      </c>
      <c r="AL88" s="20">
        <f t="shared" si="58"/>
        <v>443.43647307310084</v>
      </c>
      <c r="AM88" s="59">
        <f t="shared" si="59"/>
        <v>736.7698064064341</v>
      </c>
      <c r="AN88" s="59">
        <f ca="1">AVERAGE(OFFSET($AM$3,0,0,'Données projet'!$E$10+1,1))-AVERAGE(OFFSET($H$3,0,0,'Données projet'!$E$10+1,1))</f>
        <v>254.24072778190163</v>
      </c>
      <c r="AO88" s="59">
        <f t="shared" si="90"/>
        <v>356.78706780980383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1.033981515686923</v>
      </c>
      <c r="AV88" s="21">
        <f>EXP(-LN(2)/25)*AV87+(1-EXP(-LN(2)/25))/(LN(2)/25)*Calculateur!AQ88*Calculateur!AS88*VLOOKUP('Données projet'!$B$10,Paramètres!$A$1:$I$89,3,0)*0.475*44/12</f>
        <v>3.8505332233554506</v>
      </c>
      <c r="AW88" s="21">
        <f>EXP(-LN(2)/2)*AW87+(1-EXP(-LN(2)/2))/(LN(2)/2)*AQ88*AT88*VLOOKUP('Données projet'!$B$10,Paramètres!$A$1:$I$89,3,0)*0.475*44/12</f>
        <v>1.4630228376654513E-7</v>
      </c>
      <c r="AX88" s="21">
        <f t="shared" si="60"/>
        <v>4.8845148853446574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-4.5474735088646412E-13</v>
      </c>
      <c r="BE88" s="13">
        <f>BD88*VLOOKUP('Données projet'!$B$11,Paramètres!$A$1:$I$89,3,0)*VLOOKUP('Données projet'!$B$11,Paramètres!$A$1:$I$89,5,0)</f>
        <v>-2.7193891583010558E-13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246.59447135626942</v>
      </c>
      <c r="BJ88" s="59">
        <f t="shared" si="92"/>
        <v>262.00382544285367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2.796483405750898</v>
      </c>
      <c r="BR88" s="21">
        <f>EXP(-LN(2)/2)*BR87+(1-EXP(-LN(2)/2))/(LN(2)/2)*BL88*BO88*VLOOKUP('Données projet'!$B$11,Paramètres!$A$1:$I$89,3,0)*0.475*44/12</f>
        <v>1.2501471698279196E-7</v>
      </c>
      <c r="BS88" s="22">
        <f t="shared" si="63"/>
        <v>2.7964835307656148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4.3</v>
      </c>
      <c r="BY88" s="12">
        <f>IF('Données projet'!$A$114&gt;35,BY87+BX88-CG87,IF(A88&lt;'Données projet'!$A$114,$BV$205^A88,IF(A88='Données projet'!$A$114,'Données projet'!$B$114,BY87+BX88-CG87)))</f>
        <v>199.50000000000011</v>
      </c>
      <c r="BZ88" s="13">
        <f>BY88*VLOOKUP('Données projet'!$B$12,Paramètres!$A$1:$I$89,3,0)*VLOOKUP('Données projet'!$B$12,Paramètres!$A$1:$I$89,5,0)</f>
        <v>180.50760000000011</v>
      </c>
      <c r="CA88" s="13">
        <f t="shared" si="93"/>
        <v>45.435099299216908</v>
      </c>
      <c r="CB88" s="20">
        <f t="shared" si="64"/>
        <v>393.5168679461363</v>
      </c>
      <c r="CC88" s="59">
        <f t="shared" si="65"/>
        <v>686.85020127946962</v>
      </c>
      <c r="CD88" s="59">
        <f ca="1">AVERAGE(OFFSET($CC$3,0,0,'Données projet'!$E$12+1,1))-AVERAGE(OFFSET($H$3,0,0,'Données projet'!$E$12+1,1))</f>
        <v>169.62156467157178</v>
      </c>
      <c r="CE88" s="59">
        <f t="shared" si="94"/>
        <v>85.631326020763254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4.6111381379887463E-14</v>
      </c>
      <c r="CV88" s="13">
        <f t="shared" si="95"/>
        <v>7.5804141040779151E-13</v>
      </c>
      <c r="CW88" s="20">
        <f t="shared" si="67"/>
        <v>1.4005661123635408E-12</v>
      </c>
      <c r="CX88" s="59">
        <f t="shared" si="68"/>
        <v>293.33333333333474</v>
      </c>
      <c r="CY88" s="59">
        <f ca="1">AVERAGE(OFFSET($CX$3,0,0,'Données projet'!$E$13+1,1))-AVERAGE(OFFSET($H$3,0,0,'Données projet'!$E$13+1,1))</f>
        <v>234.59657655504111</v>
      </c>
      <c r="CZ88" s="59">
        <f t="shared" si="96"/>
        <v>285.10598666479211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1.8513076897574008</v>
      </c>
      <c r="DH88" s="21">
        <f>EXP(-LN(2)/2)*DH87+(1-EXP(-LN(2)/2))/(LN(2)/2)*DB88*DE88*VLOOKUP('Données projet'!$B$13,Paramètres!$A$1:$I$89,3,0)*0.475*44/12</f>
        <v>5.7807402229632563E-8</v>
      </c>
      <c r="DI88" s="22">
        <f t="shared" si="69"/>
        <v>1.851307747564803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4.3</v>
      </c>
      <c r="DO88" s="12">
        <f>IF('Données projet'!$A$166&gt;35,DO87+DN88-DW87,IF(A88&lt;'Données projet'!$A$166,$DL$205^A88,IF(A88='Données projet'!$A$166,'Données projet'!$B$166,DO87+DN88-DW87)))</f>
        <v>199.50000000000011</v>
      </c>
      <c r="DP88" s="17">
        <f>DO88*VLOOKUP('Données projet'!$B$14,Paramètres!$A$1:$I$89,3,0)*VLOOKUP('Données projet'!$B$14,Paramètres!$A$1:$I$89,5,0)</f>
        <v>192.95640000000012</v>
      </c>
      <c r="DQ88" s="13">
        <f t="shared" si="97"/>
        <v>48.192982403791724</v>
      </c>
      <c r="DR88" s="20">
        <f t="shared" si="70"/>
        <v>420.00184101993744</v>
      </c>
      <c r="DS88" s="59">
        <f t="shared" si="71"/>
        <v>713.33517435327076</v>
      </c>
      <c r="DT88" s="59">
        <f ca="1">AVERAGE(OFFSET($DS$3,0,0,'Données projet'!$E$14+1,1))-AVERAGE(OFFSET($H$3,0,0,'Données projet'!$E$14+1,1))</f>
        <v>186.90852124957956</v>
      </c>
      <c r="DU88" s="59">
        <f t="shared" si="98"/>
        <v>93.013797128776446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4.3</v>
      </c>
      <c r="EJ88" s="12">
        <f>IF('Données projet'!$A$192&gt;35,EJ87+EI88-ER87,IF(A88&lt;'Données projet'!$A$192,$EG$205^A88,IF(A88='Données projet'!$A$192,'Données projet'!$B$192,EJ87+EI88-ER87)))</f>
        <v>199.50000000000011</v>
      </c>
      <c r="EK88" s="17">
        <f>EJ88*VLOOKUP('Données projet'!$B$15,Paramètres!$A$1:$I$89,3,0)*VLOOKUP('Données projet'!$B$15,Paramètres!$A$1:$I$89,5,0)</f>
        <v>214.7418000000001</v>
      </c>
      <c r="EL88" s="13">
        <f t="shared" si="99"/>
        <v>52.970437875897041</v>
      </c>
      <c r="EM88" s="20">
        <f t="shared" si="73"/>
        <v>466.26548096718744</v>
      </c>
      <c r="EN88" s="59">
        <f t="shared" si="74"/>
        <v>759.59881430052076</v>
      </c>
      <c r="EO88" s="59">
        <f ca="1">AVERAGE(OFFSET($EN$3,0,0,'Données projet'!$E$15+1,1))-AVERAGE(OFFSET($H$3,0,0,'Données projet'!$E$15+1,1))</f>
        <v>217.10418688911096</v>
      </c>
      <c r="EP88" s="59">
        <f t="shared" si="100"/>
        <v>105.90631421515786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145.19188637714888</v>
      </c>
      <c r="T89" s="59">
        <f t="shared" si="88"/>
        <v>169.74069292032493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0.72978640334525191</v>
      </c>
      <c r="AA89" s="21">
        <f>EXP(-LN(2)/25)*AA88+(1-EXP(-LN(2)/25))/(LN(2)/25)*Calculateur!V89*Calculateur!X89*VLOOKUP('Données projet'!$B$9,Paramètres!$A$1:$I$89,3,0)*0.475*44/12</f>
        <v>1.8322698958195518</v>
      </c>
      <c r="AB89" s="21">
        <f>EXP(-LN(2)/2)*AB88+(1-EXP(-LN(2)/2))/(LN(2)/2)*V89*Y89*VLOOKUP('Données projet'!$B$9,Paramètres!$A$1:$I$89,3,0)*0.475*44/12</f>
        <v>1.507074613376312E-8</v>
      </c>
      <c r="AC89" s="22">
        <f t="shared" si="57"/>
        <v>2.5620563142355497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2.9</v>
      </c>
      <c r="AI89" s="13">
        <f>IF('Données projet'!$A$62&gt;35,AI88+AH89-AQ88,IF(A89&lt;'Données projet'!$A$62,$AF$205^A89,IF(A89='Données projet'!$A$62,'Données projet'!$B$62,AI88+AH89-AQ88)))</f>
        <v>236.39999999999995</v>
      </c>
      <c r="AJ89" s="13">
        <f>AI89*VLOOKUP('Données projet'!$B$10,Paramètres!$A$1:$I$89,3,0)*VLOOKUP('Données projet'!$B$10,Paramètres!$A$1:$I$89,5,0)</f>
        <v>206.51903999999999</v>
      </c>
      <c r="AK89" s="13">
        <f t="shared" si="89"/>
        <v>51.174169948732491</v>
      </c>
      <c r="AL89" s="20">
        <f t="shared" si="58"/>
        <v>448.81567399404236</v>
      </c>
      <c r="AM89" s="59">
        <f t="shared" si="59"/>
        <v>742.14900732737567</v>
      </c>
      <c r="AN89" s="59">
        <f ca="1">AVERAGE(OFFSET($AM$3,0,0,'Données projet'!$E$10+1,1))-AVERAGE(OFFSET($H$3,0,0,'Données projet'!$E$10+1,1))</f>
        <v>254.24072778190163</v>
      </c>
      <c r="AO89" s="59">
        <f t="shared" si="90"/>
        <v>356.78706780980383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1.0137057688307538</v>
      </c>
      <c r="AV89" s="21">
        <f>EXP(-LN(2)/25)*AV88+(1-EXP(-LN(2)/25))/(LN(2)/25)*Calculateur!AQ89*Calculateur!AS89*VLOOKUP('Données projet'!$B$10,Paramètres!$A$1:$I$89,3,0)*0.475*44/12</f>
        <v>3.745240189872054</v>
      </c>
      <c r="AW89" s="21">
        <f>EXP(-LN(2)/2)*AW88+(1-EXP(-LN(2)/2))/(LN(2)/2)*AQ89*AT89*VLOOKUP('Données projet'!$B$10,Paramètres!$A$1:$I$89,3,0)*0.475*44/12</f>
        <v>1.0345133695440261E-7</v>
      </c>
      <c r="AX89" s="21">
        <f t="shared" si="60"/>
        <v>4.7589460621541448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-4.5474735088646412E-13</v>
      </c>
      <c r="BE89" s="13">
        <f>BD89*VLOOKUP('Données projet'!$B$11,Paramètres!$A$1:$I$89,3,0)*VLOOKUP('Données projet'!$B$11,Paramètres!$A$1:$I$89,5,0)</f>
        <v>-2.7193891583010558E-13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246.59447135626942</v>
      </c>
      <c r="BJ89" s="59">
        <f t="shared" si="92"/>
        <v>262.00382544285367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2.7200134199599688</v>
      </c>
      <c r="BR89" s="21">
        <f>EXP(-LN(2)/2)*BR88+(1-EXP(-LN(2)/2))/(LN(2)/2)*BL89*BO89*VLOOKUP('Données projet'!$B$11,Paramètres!$A$1:$I$89,3,0)*0.475*44/12</f>
        <v>8.8398754126649244E-8</v>
      </c>
      <c r="BS89" s="22">
        <f t="shared" si="63"/>
        <v>2.7200135083587229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4.3</v>
      </c>
      <c r="BY89" s="12">
        <f>IF('Données projet'!$A$114&gt;35,BY88+BX89-CG88,IF(A89&lt;'Données projet'!$A$114,$BV$205^A89,IF(A89='Données projet'!$A$114,'Données projet'!$B$114,BY88+BX89-CG88)))</f>
        <v>203.80000000000013</v>
      </c>
      <c r="BZ89" s="13">
        <f>BY89*VLOOKUP('Données projet'!$B$12,Paramètres!$A$1:$I$89,3,0)*VLOOKUP('Données projet'!$B$12,Paramètres!$A$1:$I$89,5,0)</f>
        <v>184.3982400000001</v>
      </c>
      <c r="CA89" s="13">
        <f t="shared" si="93"/>
        <v>46.299334464645959</v>
      </c>
      <c r="CB89" s="20">
        <f t="shared" si="64"/>
        <v>401.79827552592519</v>
      </c>
      <c r="CC89" s="59">
        <f t="shared" si="65"/>
        <v>695.13160885925845</v>
      </c>
      <c r="CD89" s="59">
        <f ca="1">AVERAGE(OFFSET($CC$3,0,0,'Données projet'!$E$12+1,1))-AVERAGE(OFFSET($H$3,0,0,'Données projet'!$E$12+1,1))</f>
        <v>169.62156467157178</v>
      </c>
      <c r="CE89" s="59">
        <f t="shared" si="94"/>
        <v>85.631326020763254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4.6111381379887463E-14</v>
      </c>
      <c r="CV89" s="13">
        <f t="shared" si="95"/>
        <v>7.5804141040779151E-13</v>
      </c>
      <c r="CW89" s="20">
        <f t="shared" si="67"/>
        <v>1.4005661123635408E-12</v>
      </c>
      <c r="CX89" s="59">
        <f t="shared" si="68"/>
        <v>293.33333333333474</v>
      </c>
      <c r="CY89" s="59">
        <f ca="1">AVERAGE(OFFSET($CX$3,0,0,'Données projet'!$E$13+1,1))-AVERAGE(OFFSET($H$3,0,0,'Données projet'!$E$13+1,1))</f>
        <v>234.59657655504111</v>
      </c>
      <c r="CZ89" s="59">
        <f t="shared" si="96"/>
        <v>285.10598666479211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1.8006835836249444</v>
      </c>
      <c r="DH89" s="21">
        <f>EXP(-LN(2)/2)*DH88+(1-EXP(-LN(2)/2))/(LN(2)/2)*DB89*DE89*VLOOKUP('Données projet'!$B$13,Paramètres!$A$1:$I$89,3,0)*0.475*44/12</f>
        <v>4.0876006119351532E-8</v>
      </c>
      <c r="DI89" s="22">
        <f t="shared" si="69"/>
        <v>1.8006836245009505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4.3</v>
      </c>
      <c r="DO89" s="12">
        <f>IF('Données projet'!$A$166&gt;35,DO88+DN89-DW88,IF(A89&lt;'Données projet'!$A$166,$DL$205^A89,IF(A89='Données projet'!$A$166,'Données projet'!$B$166,DO88+DN89-DW88)))</f>
        <v>203.80000000000013</v>
      </c>
      <c r="DP89" s="17">
        <f>DO89*VLOOKUP('Données projet'!$B$14,Paramètres!$A$1:$I$89,3,0)*VLOOKUP('Données projet'!$B$14,Paramètres!$A$1:$I$89,5,0)</f>
        <v>197.11536000000012</v>
      </c>
      <c r="DQ89" s="13">
        <f t="shared" si="97"/>
        <v>49.109676122143078</v>
      </c>
      <c r="DR89" s="20">
        <f t="shared" si="70"/>
        <v>428.8419379127327</v>
      </c>
      <c r="DS89" s="59">
        <f t="shared" si="71"/>
        <v>722.17527124606602</v>
      </c>
      <c r="DT89" s="59">
        <f ca="1">AVERAGE(OFFSET($DS$3,0,0,'Données projet'!$E$14+1,1))-AVERAGE(OFFSET($H$3,0,0,'Données projet'!$E$14+1,1))</f>
        <v>186.90852124957956</v>
      </c>
      <c r="DU89" s="59">
        <f t="shared" si="98"/>
        <v>93.013797128776446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4.3</v>
      </c>
      <c r="EJ89" s="12">
        <f>IF('Données projet'!$A$192&gt;35,EJ88+EI89-ER88,IF(A89&lt;'Données projet'!$A$192,$EG$205^A89,IF(A89='Données projet'!$A$192,'Données projet'!$B$192,EJ88+EI89-ER88)))</f>
        <v>203.80000000000013</v>
      </c>
      <c r="EK89" s="17">
        <f>EJ89*VLOOKUP('Données projet'!$B$15,Paramètres!$A$1:$I$89,3,0)*VLOOKUP('Données projet'!$B$15,Paramètres!$A$1:$I$89,5,0)</f>
        <v>219.37032000000011</v>
      </c>
      <c r="EL89" s="13">
        <f t="shared" si="99"/>
        <v>53.978005061764598</v>
      </c>
      <c r="EM89" s="20">
        <f t="shared" si="73"/>
        <v>476.08166614924016</v>
      </c>
      <c r="EN89" s="59">
        <f t="shared" si="74"/>
        <v>769.41499948257342</v>
      </c>
      <c r="EO89" s="59">
        <f ca="1">AVERAGE(OFFSET($EN$3,0,0,'Données projet'!$E$15+1,1))-AVERAGE(OFFSET($H$3,0,0,'Données projet'!$E$15+1,1))</f>
        <v>217.10418688911096</v>
      </c>
      <c r="EP89" s="59">
        <f t="shared" si="100"/>
        <v>105.90631421515786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145.19188637714888</v>
      </c>
      <c r="T90" s="59">
        <f t="shared" si="88"/>
        <v>169.74069292032493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0.715475737101405</v>
      </c>
      <c r="AA90" s="21">
        <f>EXP(-LN(2)/25)*AA89+(1-EXP(-LN(2)/25))/(LN(2)/25)*Calculateur!V90*Calculateur!X90*VLOOKUP('Données projet'!$B$9,Paramètres!$A$1:$I$89,3,0)*0.475*44/12</f>
        <v>1.7821663791634801</v>
      </c>
      <c r="AB90" s="21">
        <f>EXP(-LN(2)/2)*AB89+(1-EXP(-LN(2)/2))/(LN(2)/2)*V90*Y90*VLOOKUP('Données projet'!$B$9,Paramètres!$A$1:$I$89,3,0)*0.475*44/12</f>
        <v>1.0656626788724846E-8</v>
      </c>
      <c r="AC90" s="22">
        <f t="shared" si="57"/>
        <v>2.4976421269215119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2.9</v>
      </c>
      <c r="AI90" s="13">
        <f>IF('Données projet'!$A$62&gt;35,AI89+AH90-AQ89,IF(A90&lt;'Données projet'!$A$62,$AF$205^A90,IF(A90='Données projet'!$A$62,'Données projet'!$B$62,AI89+AH90-AQ89)))</f>
        <v>239.29999999999995</v>
      </c>
      <c r="AJ90" s="13">
        <f>AI90*VLOOKUP('Données projet'!$B$10,Paramètres!$A$1:$I$89,3,0)*VLOOKUP('Données projet'!$B$10,Paramètres!$A$1:$I$89,5,0)</f>
        <v>209.05247999999997</v>
      </c>
      <c r="AK90" s="13">
        <f t="shared" si="89"/>
        <v>51.728474274704773</v>
      </c>
      <c r="AL90" s="20">
        <f t="shared" si="58"/>
        <v>454.19349536177742</v>
      </c>
      <c r="AM90" s="59">
        <f t="shared" si="59"/>
        <v>747.52682869511068</v>
      </c>
      <c r="AN90" s="59">
        <f ca="1">AVERAGE(OFFSET($AM$3,0,0,'Données projet'!$E$10+1,1))-AVERAGE(OFFSET($H$3,0,0,'Données projet'!$E$10+1,1))</f>
        <v>254.24072778190163</v>
      </c>
      <c r="AO90" s="59">
        <f t="shared" si="90"/>
        <v>356.78706780980383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0.99382761700344968</v>
      </c>
      <c r="AV90" s="21">
        <f>EXP(-LN(2)/25)*AV89+(1-EXP(-LN(2)/25))/(LN(2)/25)*Calculateur!AQ90*Calculateur!AS90*VLOOKUP('Données projet'!$B$10,Paramètres!$A$1:$I$89,3,0)*0.475*44/12</f>
        <v>3.6428263999263808</v>
      </c>
      <c r="AW90" s="21">
        <f>EXP(-LN(2)/2)*AW89+(1-EXP(-LN(2)/2))/(LN(2)/2)*AQ90*AT90*VLOOKUP('Données projet'!$B$10,Paramètres!$A$1:$I$89,3,0)*0.475*44/12</f>
        <v>7.3151141883272563E-8</v>
      </c>
      <c r="AX90" s="21">
        <f t="shared" si="60"/>
        <v>4.6366540900809721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-4.5474735088646412E-13</v>
      </c>
      <c r="BE90" s="13">
        <f>BD90*VLOOKUP('Données projet'!$B$11,Paramètres!$A$1:$I$89,3,0)*VLOOKUP('Données projet'!$B$11,Paramètres!$A$1:$I$89,5,0)</f>
        <v>-2.7193891583010558E-13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246.59447135626942</v>
      </c>
      <c r="BJ90" s="59">
        <f t="shared" si="92"/>
        <v>262.00382544285367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2.6456345099518743</v>
      </c>
      <c r="BR90" s="21">
        <f>EXP(-LN(2)/2)*BR89+(1-EXP(-LN(2)/2))/(LN(2)/2)*BL90*BO90*VLOOKUP('Données projet'!$B$11,Paramètres!$A$1:$I$89,3,0)*0.475*44/12</f>
        <v>6.250735849139598E-8</v>
      </c>
      <c r="BS90" s="22">
        <f t="shared" si="63"/>
        <v>2.6456345724592327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4.3</v>
      </c>
      <c r="BY90" s="12">
        <f>IF('Données projet'!$A$114&gt;35,BY89+BX90-CG89,IF(A90&lt;'Données projet'!$A$114,$BV$205^A90,IF(A90='Données projet'!$A$114,'Données projet'!$B$114,BY89+BX90-CG89)))</f>
        <v>208.10000000000014</v>
      </c>
      <c r="BZ90" s="13">
        <f>BY90*VLOOKUP('Données projet'!$B$12,Paramètres!$A$1:$I$89,3,0)*VLOOKUP('Données projet'!$B$12,Paramètres!$A$1:$I$89,5,0)</f>
        <v>188.28888000000012</v>
      </c>
      <c r="CA90" s="13">
        <f t="shared" si="93"/>
        <v>47.161449560760431</v>
      </c>
      <c r="CB90" s="20">
        <f t="shared" si="64"/>
        <v>410.075990651658</v>
      </c>
      <c r="CC90" s="59">
        <f t="shared" si="65"/>
        <v>703.40932398499126</v>
      </c>
      <c r="CD90" s="59">
        <f ca="1">AVERAGE(OFFSET($CC$3,0,0,'Données projet'!$E$12+1,1))-AVERAGE(OFFSET($H$3,0,0,'Données projet'!$E$12+1,1))</f>
        <v>169.62156467157178</v>
      </c>
      <c r="CE90" s="59">
        <f t="shared" si="94"/>
        <v>85.631326020763254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4.6111381379887463E-14</v>
      </c>
      <c r="CV90" s="13">
        <f t="shared" si="95"/>
        <v>7.5804141040779151E-13</v>
      </c>
      <c r="CW90" s="20">
        <f t="shared" si="67"/>
        <v>1.4005661123635408E-12</v>
      </c>
      <c r="CX90" s="59">
        <f t="shared" si="68"/>
        <v>293.33333333333474</v>
      </c>
      <c r="CY90" s="59">
        <f ca="1">AVERAGE(OFFSET($CX$3,0,0,'Données projet'!$E$13+1,1))-AVERAGE(OFFSET($H$3,0,0,'Données projet'!$E$13+1,1))</f>
        <v>234.59657655504111</v>
      </c>
      <c r="CZ90" s="59">
        <f t="shared" si="96"/>
        <v>285.10598666479211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1.7514437963368861</v>
      </c>
      <c r="DH90" s="21">
        <f>EXP(-LN(2)/2)*DH89+(1-EXP(-LN(2)/2))/(LN(2)/2)*DB90*DE90*VLOOKUP('Données projet'!$B$13,Paramètres!$A$1:$I$89,3,0)*0.475*44/12</f>
        <v>2.8903701114816281E-8</v>
      </c>
      <c r="DI90" s="22">
        <f t="shared" si="69"/>
        <v>1.7514438252405873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4.3</v>
      </c>
      <c r="DO90" s="12">
        <f>IF('Données projet'!$A$166&gt;35,DO89+DN90-DW89,IF(A90&lt;'Données projet'!$A$166,$DL$205^A90,IF(A90='Données projet'!$A$166,'Données projet'!$B$166,DO89+DN90-DW89)))</f>
        <v>208.10000000000014</v>
      </c>
      <c r="DP90" s="17">
        <f>DO90*VLOOKUP('Données projet'!$B$14,Paramètres!$A$1:$I$89,3,0)*VLOOKUP('Données projet'!$B$14,Paramètres!$A$1:$I$89,5,0)</f>
        <v>201.27432000000013</v>
      </c>
      <c r="DQ90" s="13">
        <f t="shared" si="97"/>
        <v>50.024121084251973</v>
      </c>
      <c r="DR90" s="20">
        <f t="shared" si="70"/>
        <v>437.678118221739</v>
      </c>
      <c r="DS90" s="59">
        <f t="shared" si="71"/>
        <v>731.01145155507231</v>
      </c>
      <c r="DT90" s="59">
        <f ca="1">AVERAGE(OFFSET($DS$3,0,0,'Données projet'!$E$14+1,1))-AVERAGE(OFFSET($H$3,0,0,'Données projet'!$E$14+1,1))</f>
        <v>186.90852124957956</v>
      </c>
      <c r="DU90" s="59">
        <f t="shared" si="98"/>
        <v>93.013797128776446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4.3</v>
      </c>
      <c r="EJ90" s="12">
        <f>IF('Données projet'!$A$192&gt;35,EJ89+EI90-ER89,IF(A90&lt;'Données projet'!$A$192,$EG$205^A90,IF(A90='Données projet'!$A$192,'Données projet'!$B$192,EJ89+EI90-ER89)))</f>
        <v>208.10000000000014</v>
      </c>
      <c r="EK90" s="17">
        <f>EJ90*VLOOKUP('Données projet'!$B$15,Paramètres!$A$1:$I$89,3,0)*VLOOKUP('Données projet'!$B$15,Paramètres!$A$1:$I$89,5,0)</f>
        <v>223.99884000000014</v>
      </c>
      <c r="EL90" s="13">
        <f t="shared" si="99"/>
        <v>54.983100568211349</v>
      </c>
      <c r="EM90" s="20">
        <f t="shared" si="73"/>
        <v>485.89354648963507</v>
      </c>
      <c r="EN90" s="59">
        <f t="shared" si="74"/>
        <v>779.22687982296839</v>
      </c>
      <c r="EO90" s="59">
        <f ca="1">AVERAGE(OFFSET($EN$3,0,0,'Données projet'!$E$15+1,1))-AVERAGE(OFFSET($H$3,0,0,'Données projet'!$E$15+1,1))</f>
        <v>217.10418688911096</v>
      </c>
      <c r="EP90" s="59">
        <f t="shared" si="100"/>
        <v>105.90631421515786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145.19188637714888</v>
      </c>
      <c r="T91" s="59">
        <f t="shared" si="88"/>
        <v>169.74069292032493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0.70144569429395542</v>
      </c>
      <c r="AA91" s="21">
        <f>EXP(-LN(2)/25)*AA90+(1-EXP(-LN(2)/25))/(LN(2)/25)*Calculateur!V91*Calculateur!X91*VLOOKUP('Données projet'!$B$9,Paramètres!$A$1:$I$89,3,0)*0.475*44/12</f>
        <v>1.733432945805198</v>
      </c>
      <c r="AB91" s="21">
        <f>EXP(-LN(2)/2)*AB90+(1-EXP(-LN(2)/2))/(LN(2)/2)*V91*Y91*VLOOKUP('Données projet'!$B$9,Paramètres!$A$1:$I$89,3,0)*0.475*44/12</f>
        <v>7.5353730668815601E-9</v>
      </c>
      <c r="AC91" s="22">
        <f t="shared" si="57"/>
        <v>2.4348786476345268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2.9</v>
      </c>
      <c r="AI91" s="13">
        <f>IF('Données projet'!$A$62&gt;35,AI90+AH91-AQ90,IF(A91&lt;'Données projet'!$A$62,$AF$205^A91,IF(A91='Données projet'!$A$62,'Données projet'!$B$62,AI90+AH91-AQ90)))</f>
        <v>242.19999999999996</v>
      </c>
      <c r="AJ91" s="13">
        <f>AI91*VLOOKUP('Données projet'!$B$10,Paramètres!$A$1:$I$89,3,0)*VLOOKUP('Données projet'!$B$10,Paramètres!$A$1:$I$89,5,0)</f>
        <v>211.58591999999996</v>
      </c>
      <c r="AK91" s="13">
        <f t="shared" si="89"/>
        <v>52.281997222074629</v>
      </c>
      <c r="AL91" s="20">
        <f t="shared" si="58"/>
        <v>459.56995582844655</v>
      </c>
      <c r="AM91" s="59">
        <f t="shared" si="59"/>
        <v>752.90328916177987</v>
      </c>
      <c r="AN91" s="59">
        <f ca="1">AVERAGE(OFFSET($AM$3,0,0,'Données projet'!$E$10+1,1))-AVERAGE(OFFSET($H$3,0,0,'Données projet'!$E$10+1,1))</f>
        <v>254.24072778190163</v>
      </c>
      <c r="AO91" s="59">
        <f t="shared" si="90"/>
        <v>356.78706780980383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0.97433926360900358</v>
      </c>
      <c r="AV91" s="21">
        <f>EXP(-LN(2)/25)*AV90+(1-EXP(-LN(2)/25))/(LN(2)/25)*Calculateur!AQ91*Calculateur!AS91*VLOOKUP('Données projet'!$B$10,Paramètres!$A$1:$I$89,3,0)*0.475*44/12</f>
        <v>3.5432131204524793</v>
      </c>
      <c r="AW91" s="21">
        <f>EXP(-LN(2)/2)*AW90+(1-EXP(-LN(2)/2))/(LN(2)/2)*AQ91*AT91*VLOOKUP('Données projet'!$B$10,Paramètres!$A$1:$I$89,3,0)*0.475*44/12</f>
        <v>5.1725668477201305E-8</v>
      </c>
      <c r="AX91" s="21">
        <f t="shared" si="60"/>
        <v>4.5175524357871515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-4.5474735088646412E-13</v>
      </c>
      <c r="BE91" s="13">
        <f>BD91*VLOOKUP('Données projet'!$B$11,Paramètres!$A$1:$I$89,3,0)*VLOOKUP('Données projet'!$B$11,Paramètres!$A$1:$I$89,5,0)</f>
        <v>-2.7193891583010558E-13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246.59447135626942</v>
      </c>
      <c r="BJ91" s="59">
        <f t="shared" si="92"/>
        <v>262.00382544285367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2.5732894951493681</v>
      </c>
      <c r="BR91" s="21">
        <f>EXP(-LN(2)/2)*BR90+(1-EXP(-LN(2)/2))/(LN(2)/2)*BL91*BO91*VLOOKUP('Données projet'!$B$11,Paramètres!$A$1:$I$89,3,0)*0.475*44/12</f>
        <v>4.4199377063324622E-8</v>
      </c>
      <c r="BS91" s="22">
        <f t="shared" si="63"/>
        <v>2.5732895393487452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4.3</v>
      </c>
      <c r="BY91" s="12">
        <f>IF('Données projet'!$A$114&gt;35,BY90+BX91-CG90,IF(A91&lt;'Données projet'!$A$114,$BV$205^A91,IF(A91='Données projet'!$A$114,'Données projet'!$B$114,BY90+BX91-CG90)))</f>
        <v>212.40000000000015</v>
      </c>
      <c r="BZ91" s="13">
        <f>BY91*VLOOKUP('Données projet'!$B$12,Paramètres!$A$1:$I$89,3,0)*VLOOKUP('Données projet'!$B$12,Paramètres!$A$1:$I$89,5,0)</f>
        <v>192.17952000000014</v>
      </c>
      <c r="CA91" s="13">
        <f t="shared" si="93"/>
        <v>48.021493442275357</v>
      </c>
      <c r="CB91" s="20">
        <f t="shared" si="64"/>
        <v>418.35009841196319</v>
      </c>
      <c r="CC91" s="59">
        <f t="shared" si="65"/>
        <v>711.6834317452965</v>
      </c>
      <c r="CD91" s="59">
        <f ca="1">AVERAGE(OFFSET($CC$3,0,0,'Données projet'!$E$12+1,1))-AVERAGE(OFFSET($H$3,0,0,'Données projet'!$E$12+1,1))</f>
        <v>169.62156467157178</v>
      </c>
      <c r="CE91" s="59">
        <f t="shared" si="94"/>
        <v>85.631326020763254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4.6111381379887463E-14</v>
      </c>
      <c r="CV91" s="13">
        <f t="shared" si="95"/>
        <v>7.5804141040779151E-13</v>
      </c>
      <c r="CW91" s="20">
        <f t="shared" si="67"/>
        <v>1.4005661123635408E-12</v>
      </c>
      <c r="CX91" s="59">
        <f t="shared" si="68"/>
        <v>293.33333333333474</v>
      </c>
      <c r="CY91" s="59">
        <f ca="1">AVERAGE(OFFSET($CX$3,0,0,'Données projet'!$E$13+1,1))-AVERAGE(OFFSET($H$3,0,0,'Données projet'!$E$13+1,1))</f>
        <v>234.59657655504111</v>
      </c>
      <c r="CZ91" s="59">
        <f t="shared" si="96"/>
        <v>285.10598666479211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1.7035504736216276</v>
      </c>
      <c r="DH91" s="21">
        <f>EXP(-LN(2)/2)*DH90+(1-EXP(-LN(2)/2))/(LN(2)/2)*DB91*DE91*VLOOKUP('Données projet'!$B$13,Paramètres!$A$1:$I$89,3,0)*0.475*44/12</f>
        <v>2.0438003059675766E-8</v>
      </c>
      <c r="DI91" s="22">
        <f t="shared" si="69"/>
        <v>1.7035504940596307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4.3</v>
      </c>
      <c r="DO91" s="12">
        <f>IF('Données projet'!$A$166&gt;35,DO90+DN91-DW90,IF(A91&lt;'Données projet'!$A$166,$DL$205^A91,IF(A91='Données projet'!$A$166,'Données projet'!$B$166,DO90+DN91-DW90)))</f>
        <v>212.40000000000015</v>
      </c>
      <c r="DP91" s="17">
        <f>DO91*VLOOKUP('Données projet'!$B$14,Paramètres!$A$1:$I$89,3,0)*VLOOKUP('Données projet'!$B$14,Paramètres!$A$1:$I$89,5,0)</f>
        <v>205.43328000000017</v>
      </c>
      <c r="DQ91" s="13">
        <f t="shared" si="97"/>
        <v>50.93636911028532</v>
      </c>
      <c r="DR91" s="20">
        <f t="shared" si="70"/>
        <v>446.51047220041386</v>
      </c>
      <c r="DS91" s="59">
        <f t="shared" si="71"/>
        <v>739.84380553374717</v>
      </c>
      <c r="DT91" s="59">
        <f ca="1">AVERAGE(OFFSET($DS$3,0,0,'Données projet'!$E$14+1,1))-AVERAGE(OFFSET($H$3,0,0,'Données projet'!$E$14+1,1))</f>
        <v>186.90852124957956</v>
      </c>
      <c r="DU91" s="59">
        <f t="shared" si="98"/>
        <v>93.013797128776446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4.3</v>
      </c>
      <c r="EJ91" s="12">
        <f>IF('Données projet'!$A$192&gt;35,EJ90+EI91-ER90,IF(A91&lt;'Données projet'!$A$192,$EG$205^A91,IF(A91='Données projet'!$A$192,'Données projet'!$B$192,EJ90+EI91-ER90)))</f>
        <v>212.40000000000015</v>
      </c>
      <c r="EK91" s="17">
        <f>EJ91*VLOOKUP('Données projet'!$B$15,Paramètres!$A$1:$I$89,3,0)*VLOOKUP('Données projet'!$B$15,Paramètres!$A$1:$I$89,5,0)</f>
        <v>228.62736000000015</v>
      </c>
      <c r="EL91" s="13">
        <f t="shared" si="99"/>
        <v>55.985781352428695</v>
      </c>
      <c r="EM91" s="20">
        <f t="shared" si="73"/>
        <v>495.70122118881358</v>
      </c>
      <c r="EN91" s="59">
        <f t="shared" si="74"/>
        <v>789.03455452214689</v>
      </c>
      <c r="EO91" s="59">
        <f ca="1">AVERAGE(OFFSET($EN$3,0,0,'Données projet'!$E$15+1,1))-AVERAGE(OFFSET($H$3,0,0,'Données projet'!$E$15+1,1))</f>
        <v>217.10418688911096</v>
      </c>
      <c r="EP91" s="59">
        <f t="shared" si="100"/>
        <v>105.90631421515786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145.19188637714888</v>
      </c>
      <c r="T92" s="59">
        <f t="shared" si="88"/>
        <v>169.74069292032493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0.68769077206847884</v>
      </c>
      <c r="AA92" s="21">
        <f>EXP(-LN(2)/25)*AA91+(1-EXP(-LN(2)/25))/(LN(2)/25)*Calculateur!V92*Calculateur!X92*VLOOKUP('Données projet'!$B$9,Paramètres!$A$1:$I$89,3,0)*0.475*44/12</f>
        <v>1.686032130744878</v>
      </c>
      <c r="AB92" s="21">
        <f>EXP(-LN(2)/2)*AB91+(1-EXP(-LN(2)/2))/(LN(2)/2)*V92*Y92*VLOOKUP('Données projet'!$B$9,Paramètres!$A$1:$I$89,3,0)*0.475*44/12</f>
        <v>5.3283133943624229E-9</v>
      </c>
      <c r="AC92" s="22">
        <f t="shared" si="57"/>
        <v>2.3737229081416702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2.9</v>
      </c>
      <c r="AI92" s="13">
        <f>IF('Données projet'!$A$62&gt;35,AI91+AH92-AQ91,IF(A92&lt;'Données projet'!$A$62,$AF$205^A92,IF(A92='Données projet'!$A$62,'Données projet'!$B$62,AI91+AH92-AQ91)))</f>
        <v>245.09999999999997</v>
      </c>
      <c r="AJ92" s="13">
        <f>AI92*VLOOKUP('Données projet'!$B$10,Paramètres!$A$1:$I$89,3,0)*VLOOKUP('Données projet'!$B$10,Paramètres!$A$1:$I$89,5,0)</f>
        <v>214.11936</v>
      </c>
      <c r="AK92" s="13">
        <f t="shared" si="89"/>
        <v>52.834749228990397</v>
      </c>
      <c r="AL92" s="20">
        <f t="shared" si="58"/>
        <v>464.94507357382491</v>
      </c>
      <c r="AM92" s="59">
        <f t="shared" si="59"/>
        <v>758.27840690715823</v>
      </c>
      <c r="AN92" s="59">
        <f ca="1">AVERAGE(OFFSET($AM$3,0,0,'Données projet'!$E$10+1,1))-AVERAGE(OFFSET($H$3,0,0,'Données projet'!$E$10+1,1))</f>
        <v>254.24072778190163</v>
      </c>
      <c r="AO92" s="59">
        <f t="shared" si="90"/>
        <v>356.78706780980383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0.95523306493790072</v>
      </c>
      <c r="AV92" s="21">
        <f>EXP(-LN(2)/25)*AV91+(1-EXP(-LN(2)/25))/(LN(2)/25)*Calculateur!AQ92*Calculateur!AS92*VLOOKUP('Données projet'!$B$10,Paramètres!$A$1:$I$89,3,0)*0.475*44/12</f>
        <v>3.4463237713442263</v>
      </c>
      <c r="AW92" s="21">
        <f>EXP(-LN(2)/2)*AW91+(1-EXP(-LN(2)/2))/(LN(2)/2)*AQ92*AT92*VLOOKUP('Données projet'!$B$10,Paramètres!$A$1:$I$89,3,0)*0.475*44/12</f>
        <v>3.6575570941636282E-8</v>
      </c>
      <c r="AX92" s="21">
        <f t="shared" si="60"/>
        <v>4.4015568728576984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-4.5474735088646412E-13</v>
      </c>
      <c r="BE92" s="13">
        <f>BD92*VLOOKUP('Données projet'!$B$11,Paramètres!$A$1:$I$89,3,0)*VLOOKUP('Données projet'!$B$11,Paramètres!$A$1:$I$89,5,0)</f>
        <v>-2.7193891583010558E-13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246.59447135626942</v>
      </c>
      <c r="BJ92" s="59">
        <f t="shared" si="92"/>
        <v>262.00382544285367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2.5029227585810956</v>
      </c>
      <c r="BR92" s="21">
        <f>EXP(-LN(2)/2)*BR91+(1-EXP(-LN(2)/2))/(LN(2)/2)*BL92*BO92*VLOOKUP('Données projet'!$B$11,Paramètres!$A$1:$I$89,3,0)*0.475*44/12</f>
        <v>3.125367924569799E-8</v>
      </c>
      <c r="BS92" s="22">
        <f t="shared" si="63"/>
        <v>2.5029227898347748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4.3</v>
      </c>
      <c r="BY92" s="12">
        <f>IF('Données projet'!$A$114&gt;35,BY91+BX92-CG91,IF(A92&lt;'Données projet'!$A$114,$BV$205^A92,IF(A92='Données projet'!$A$114,'Données projet'!$B$114,BY91+BX92-CG91)))</f>
        <v>216.70000000000016</v>
      </c>
      <c r="BZ92" s="13">
        <f>BY92*VLOOKUP('Données projet'!$B$12,Paramètres!$A$1:$I$89,3,0)*VLOOKUP('Données projet'!$B$12,Paramètres!$A$1:$I$89,5,0)</f>
        <v>196.07016000000013</v>
      </c>
      <c r="CA92" s="13">
        <f t="shared" si="93"/>
        <v>48.879512872705831</v>
      </c>
      <c r="CB92" s="20">
        <f t="shared" si="64"/>
        <v>426.62068025329614</v>
      </c>
      <c r="CC92" s="59">
        <f t="shared" si="65"/>
        <v>719.95401358662946</v>
      </c>
      <c r="CD92" s="59">
        <f ca="1">AVERAGE(OFFSET($CC$3,0,0,'Données projet'!$E$12+1,1))-AVERAGE(OFFSET($H$3,0,0,'Données projet'!$E$12+1,1))</f>
        <v>169.62156467157178</v>
      </c>
      <c r="CE92" s="59">
        <f t="shared" si="94"/>
        <v>85.631326020763254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4.6111381379887463E-14</v>
      </c>
      <c r="CV92" s="13">
        <f t="shared" si="95"/>
        <v>7.5804141040779151E-13</v>
      </c>
      <c r="CW92" s="20">
        <f t="shared" si="67"/>
        <v>1.4005661123635408E-12</v>
      </c>
      <c r="CX92" s="59">
        <f t="shared" si="68"/>
        <v>293.33333333333474</v>
      </c>
      <c r="CY92" s="59">
        <f ca="1">AVERAGE(OFFSET($CX$3,0,0,'Données projet'!$E$13+1,1))-AVERAGE(OFFSET($H$3,0,0,'Données projet'!$E$13+1,1))</f>
        <v>234.59657655504111</v>
      </c>
      <c r="CZ92" s="59">
        <f t="shared" si="96"/>
        <v>285.10598666479211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1.6569667963346182</v>
      </c>
      <c r="DH92" s="21">
        <f>EXP(-LN(2)/2)*DH91+(1-EXP(-LN(2)/2))/(LN(2)/2)*DB92*DE92*VLOOKUP('Données projet'!$B$13,Paramètres!$A$1:$I$89,3,0)*0.475*44/12</f>
        <v>1.4451850557408141E-8</v>
      </c>
      <c r="DI92" s="22">
        <f t="shared" si="69"/>
        <v>1.6569668107864688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4.3</v>
      </c>
      <c r="DO92" s="12">
        <f>IF('Données projet'!$A$166&gt;35,DO91+DN92-DW91,IF(A92&lt;'Données projet'!$A$166,$DL$205^A92,IF(A92='Données projet'!$A$166,'Données projet'!$B$166,DO91+DN92-DW91)))</f>
        <v>216.70000000000016</v>
      </c>
      <c r="DP92" s="17">
        <f>DO92*VLOOKUP('Données projet'!$B$14,Paramètres!$A$1:$I$89,3,0)*VLOOKUP('Données projet'!$B$14,Paramètres!$A$1:$I$89,5,0)</f>
        <v>209.59224000000017</v>
      </c>
      <c r="DQ92" s="13">
        <f t="shared" si="97"/>
        <v>51.846469802275266</v>
      </c>
      <c r="DR92" s="20">
        <f t="shared" si="70"/>
        <v>455.33908623896303</v>
      </c>
      <c r="DS92" s="59">
        <f t="shared" si="71"/>
        <v>748.67241957229635</v>
      </c>
      <c r="DT92" s="59">
        <f ca="1">AVERAGE(OFFSET($DS$3,0,0,'Données projet'!$E$14+1,1))-AVERAGE(OFFSET($H$3,0,0,'Données projet'!$E$14+1,1))</f>
        <v>186.90852124957956</v>
      </c>
      <c r="DU92" s="59">
        <f t="shared" si="98"/>
        <v>93.013797128776446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4.3</v>
      </c>
      <c r="EJ92" s="12">
        <f>IF('Données projet'!$A$192&gt;35,EJ91+EI92-ER91,IF(A92&lt;'Données projet'!$A$192,$EG$205^A92,IF(A92='Données projet'!$A$192,'Données projet'!$B$192,EJ91+EI92-ER91)))</f>
        <v>216.70000000000016</v>
      </c>
      <c r="EK92" s="17">
        <f>EJ92*VLOOKUP('Données projet'!$B$15,Paramètres!$A$1:$I$89,3,0)*VLOOKUP('Données projet'!$B$15,Paramètres!$A$1:$I$89,5,0)</f>
        <v>233.25588000000019</v>
      </c>
      <c r="EL92" s="13">
        <f t="shared" si="99"/>
        <v>56.986101933585992</v>
      </c>
      <c r="EM92" s="20">
        <f t="shared" si="73"/>
        <v>505.50478520099597</v>
      </c>
      <c r="EN92" s="59">
        <f t="shared" si="74"/>
        <v>798.83811853432928</v>
      </c>
      <c r="EO92" s="59">
        <f ca="1">AVERAGE(OFFSET($EN$3,0,0,'Données projet'!$E$15+1,1))-AVERAGE(OFFSET($H$3,0,0,'Données projet'!$E$15+1,1))</f>
        <v>217.10418688911096</v>
      </c>
      <c r="EP92" s="59">
        <f t="shared" si="100"/>
        <v>105.90631421515786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145.19188637714888</v>
      </c>
      <c r="T93" s="59">
        <f t="shared" si="88"/>
        <v>169.74069292032493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0.67420557547816973</v>
      </c>
      <c r="AA93" s="21">
        <f>EXP(-LN(2)/25)*AA92+(1-EXP(-LN(2)/25))/(LN(2)/25)*Calculateur!V93*Calculateur!X93*VLOOKUP('Données projet'!$B$9,Paramètres!$A$1:$I$89,3,0)*0.475*44/12</f>
        <v>1.6399274934650832</v>
      </c>
      <c r="AB93" s="21">
        <f>EXP(-LN(2)/2)*AB92+(1-EXP(-LN(2)/2))/(LN(2)/2)*V93*Y93*VLOOKUP('Données projet'!$B$9,Paramètres!$A$1:$I$89,3,0)*0.475*44/12</f>
        <v>3.7676865334407801E-9</v>
      </c>
      <c r="AC93" s="22">
        <f t="shared" si="57"/>
        <v>2.3141330727109395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248</v>
      </c>
      <c r="AG93" s="12">
        <f>VLOOKUP(A93,'Données projet'!$A$61:$I$81,9,0)</f>
        <v>2.9</v>
      </c>
      <c r="AH93" s="12">
        <f t="array" ref="AH93">INDEX(AG:AG,MIN(IF(ISNUMBER(AG93:AG289),ROW(AG93:AG289),"")))</f>
        <v>2.9</v>
      </c>
      <c r="AI93" s="13">
        <f>IF('Données projet'!$A$62&gt;35,AI92+AH93-AQ92,IF(A93&lt;'Données projet'!$A$62,$AF$205^A93,IF(A93='Données projet'!$A$62,'Données projet'!$B$62,AI92+AH93-AQ92)))</f>
        <v>247.99999999999997</v>
      </c>
      <c r="AJ93" s="13">
        <f>AI93*VLOOKUP('Données projet'!$B$10,Paramètres!$A$1:$I$89,3,0)*VLOOKUP('Données projet'!$B$10,Paramètres!$A$1:$I$89,5,0)</f>
        <v>216.65280000000001</v>
      </c>
      <c r="AK93" s="13">
        <f t="shared" si="89"/>
        <v>53.38674047237982</v>
      </c>
      <c r="AL93" s="20">
        <f t="shared" si="58"/>
        <v>470.31886632272813</v>
      </c>
      <c r="AM93" s="59">
        <f t="shared" si="59"/>
        <v>763.65219965606138</v>
      </c>
      <c r="AN93" s="59">
        <f ca="1">AVERAGE(OFFSET($AM$3,0,0,'Données projet'!$E$10+1,1))-AVERAGE(OFFSET($H$3,0,0,'Données projet'!$E$10+1,1))</f>
        <v>254.24072778190163</v>
      </c>
      <c r="AO93" s="59">
        <f t="shared" si="90"/>
        <v>356.78706780980383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248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0.93650152716910773</v>
      </c>
      <c r="AV93" s="21">
        <f>EXP(-LN(2)/25)*AV92+(1-EXP(-LN(2)/25))/(LN(2)/25)*Calculateur!AQ93*Calculateur!AS93*VLOOKUP('Données projet'!$B$10,Paramètres!$A$1:$I$89,3,0)*0.475*44/12</f>
        <v>3.3520838665825279</v>
      </c>
      <c r="AW93" s="21">
        <f>EXP(-LN(2)/2)*AW92+(1-EXP(-LN(2)/2))/(LN(2)/2)*AQ93*AT93*VLOOKUP('Données projet'!$B$10,Paramètres!$A$1:$I$89,3,0)*0.475*44/12</f>
        <v>2.5862834238600653E-8</v>
      </c>
      <c r="AX93" s="21">
        <f t="shared" si="60"/>
        <v>4.2885854196144697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-4.5474735088646412E-13</v>
      </c>
      <c r="BE93" s="13">
        <f>BD93*VLOOKUP('Données projet'!$B$11,Paramètres!$A$1:$I$89,3,0)*VLOOKUP('Données projet'!$B$11,Paramètres!$A$1:$I$89,5,0)</f>
        <v>-2.7193891583010558E-13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246.59447135626942</v>
      </c>
      <c r="BJ93" s="59">
        <f t="shared" si="92"/>
        <v>262.00382544285367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2.434480204124708</v>
      </c>
      <c r="BR93" s="21">
        <f>EXP(-LN(2)/2)*BR92+(1-EXP(-LN(2)/2))/(LN(2)/2)*BL93*BO93*VLOOKUP('Données projet'!$B$11,Paramètres!$A$1:$I$89,3,0)*0.475*44/12</f>
        <v>2.2099688531662311E-8</v>
      </c>
      <c r="BS93" s="22">
        <f t="shared" si="63"/>
        <v>2.4344802262243967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221</v>
      </c>
      <c r="BW93" s="12">
        <f>VLOOKUP(A93,'Données projet'!$A$113:$I$133,9,0)</f>
        <v>4.3</v>
      </c>
      <c r="BX93" s="12">
        <f t="array" ref="BX93">INDEX(BW:BW,MIN(IF(ISNUMBER(BW93:BW289),ROW(BW93:BW289),"")))</f>
        <v>4.3</v>
      </c>
      <c r="BY93" s="12">
        <f>IF('Données projet'!$A$114&gt;35,BY92+BX93-CG92,IF(A93&lt;'Données projet'!$A$114,$BV$205^A93,IF(A93='Données projet'!$A$114,'Données projet'!$B$114,BY92+BX93-CG92)))</f>
        <v>221.00000000000017</v>
      </c>
      <c r="BZ93" s="13">
        <f>BY93*VLOOKUP('Données projet'!$B$12,Paramètres!$A$1:$I$89,3,0)*VLOOKUP('Données projet'!$B$12,Paramètres!$A$1:$I$89,5,0)</f>
        <v>199.96080000000015</v>
      </c>
      <c r="CA93" s="13">
        <f t="shared" si="93"/>
        <v>49.735552653569265</v>
      </c>
      <c r="CB93" s="20">
        <f t="shared" si="64"/>
        <v>434.88781420496679</v>
      </c>
      <c r="CC93" s="59">
        <f t="shared" si="65"/>
        <v>728.2211475383001</v>
      </c>
      <c r="CD93" s="59">
        <f ca="1">AVERAGE(OFFSET($CC$3,0,0,'Données projet'!$E$12+1,1))-AVERAGE(OFFSET($H$3,0,0,'Données projet'!$E$12+1,1))</f>
        <v>169.62156467157178</v>
      </c>
      <c r="CE93" s="59">
        <f t="shared" si="94"/>
        <v>85.631326020763254</v>
      </c>
      <c r="CF93" s="15">
        <f>IF(ISNA(VLOOKUP(A93,'Données projet'!$A$113:$I$133,3,0)),0,VLOOKUP(A93,'Données projet'!$A$113:$I$133,3,0))</f>
        <v>6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4.6111381379887463E-14</v>
      </c>
      <c r="CV93" s="13">
        <f t="shared" si="95"/>
        <v>7.5804141040779151E-13</v>
      </c>
      <c r="CW93" s="20">
        <f t="shared" si="67"/>
        <v>1.4005661123635408E-12</v>
      </c>
      <c r="CX93" s="59">
        <f t="shared" si="68"/>
        <v>293.33333333333474</v>
      </c>
      <c r="CY93" s="59">
        <f ca="1">AVERAGE(OFFSET($CX$3,0,0,'Données projet'!$E$13+1,1))-AVERAGE(OFFSET($H$3,0,0,'Données projet'!$E$13+1,1))</f>
        <v>234.59657655504111</v>
      </c>
      <c r="CZ93" s="59">
        <f t="shared" si="96"/>
        <v>285.10598666479211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1.6116569521527513</v>
      </c>
      <c r="DH93" s="21">
        <f>EXP(-LN(2)/2)*DH92+(1-EXP(-LN(2)/2))/(LN(2)/2)*DB93*DE93*VLOOKUP('Données projet'!$B$13,Paramètres!$A$1:$I$89,3,0)*0.475*44/12</f>
        <v>1.0219001529837883E-8</v>
      </c>
      <c r="DI93" s="22">
        <f t="shared" si="69"/>
        <v>1.6116569623717527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221</v>
      </c>
      <c r="DM93" s="12">
        <f>VLOOKUP(A93,'Données projet'!$A$165:$I$185,9,0)</f>
        <v>4.3</v>
      </c>
      <c r="DN93" s="12">
        <f t="array" ref="DN93">INDEX(DM:DM,MIN(IF(ISNUMBER(DM93:DM289),ROW(DM93:DM289),"")))</f>
        <v>4.3</v>
      </c>
      <c r="DO93" s="12">
        <f>IF('Données projet'!$A$166&gt;35,DO92+DN93-DW92,IF(A93&lt;'Données projet'!$A$166,$DL$205^A93,IF(A93='Données projet'!$A$166,'Données projet'!$B$166,DO92+DN93-DW92)))</f>
        <v>221.00000000000017</v>
      </c>
      <c r="DP93" s="17">
        <f>DO93*VLOOKUP('Données projet'!$B$14,Paramètres!$A$1:$I$89,3,0)*VLOOKUP('Données projet'!$B$14,Paramètres!$A$1:$I$89,5,0)</f>
        <v>213.75120000000015</v>
      </c>
      <c r="DQ93" s="13">
        <f t="shared" si="97"/>
        <v>52.75447068116425</v>
      </c>
      <c r="DR93" s="20">
        <f t="shared" si="70"/>
        <v>464.16404310302801</v>
      </c>
      <c r="DS93" s="59">
        <f t="shared" si="71"/>
        <v>757.49737643636126</v>
      </c>
      <c r="DT93" s="59">
        <f ca="1">AVERAGE(OFFSET($DS$3,0,0,'Données projet'!$E$14+1,1))-AVERAGE(OFFSET($H$3,0,0,'Données projet'!$E$14+1,1))</f>
        <v>186.90852124957956</v>
      </c>
      <c r="DU93" s="59">
        <f t="shared" si="98"/>
        <v>93.013797128776446</v>
      </c>
      <c r="DV93" s="15">
        <f>IF(ISNA(VLOOKUP(A93,'Données projet'!$A$165:$I$185,3,0)),0,VLOOKUP(A93,'Données projet'!$A$165:$I$185,3,0))</f>
        <v>6</v>
      </c>
      <c r="DW93" s="15">
        <f>IF(ISNA(VLOOKUP(A93,'Données projet'!$A$165:$I$185,4,0)),0,VLOOKUP(A93,'Données projet'!$A$165:$I$185,4,0))</f>
        <v>28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221</v>
      </c>
      <c r="EH93" s="12">
        <f>VLOOKUP(A93,'Données projet'!$A$191:$I$211,9,0)</f>
        <v>4.3</v>
      </c>
      <c r="EI93" s="12">
        <f t="array" ref="EI93">INDEX(EH:EH,MIN(IF(ISNUMBER(EH93:EH289),ROW(EH93:EH289),"")))</f>
        <v>4.3</v>
      </c>
      <c r="EJ93" s="12">
        <f>IF('Données projet'!$A$192&gt;35,EJ92+EI93-ER92,IF(A93&lt;'Données projet'!$A$192,$EG$205^A93,IF(A93='Données projet'!$A$192,'Données projet'!$B$192,EJ92+EI93-ER92)))</f>
        <v>221.00000000000017</v>
      </c>
      <c r="EK93" s="17">
        <f>EJ93*VLOOKUP('Données projet'!$B$15,Paramètres!$A$1:$I$89,3,0)*VLOOKUP('Données projet'!$B$15,Paramètres!$A$1:$I$89,5,0)</f>
        <v>237.88440000000014</v>
      </c>
      <c r="EL93" s="13">
        <f t="shared" si="99"/>
        <v>57.984114543460585</v>
      </c>
      <c r="EM93" s="20">
        <f t="shared" si="73"/>
        <v>515.30432949652743</v>
      </c>
      <c r="EN93" s="59">
        <f t="shared" si="74"/>
        <v>808.6376628298608</v>
      </c>
      <c r="EO93" s="59">
        <f ca="1">AVERAGE(OFFSET($EN$3,0,0,'Données projet'!$E$15+1,1))-AVERAGE(OFFSET($H$3,0,0,'Données projet'!$E$15+1,1))</f>
        <v>217.10418688911096</v>
      </c>
      <c r="EP93" s="59">
        <f t="shared" si="100"/>
        <v>105.90631421515786</v>
      </c>
      <c r="EQ93" s="15">
        <f>IF(ISNA(VLOOKUP(A93,'Données projet'!$A$191:$I$211,3,0)),0,VLOOKUP(A93,'Données projet'!$A$191:$I$211,3,0))</f>
        <v>6</v>
      </c>
      <c r="ER93" s="15">
        <f>IF(ISNA(VLOOKUP(A93,'Données projet'!$A$191:$I$211,4,0)),0,VLOOKUP(A93,'Données projet'!$A$191:$I$211,4,0))</f>
        <v>28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145.19188637714888</v>
      </c>
      <c r="T94" s="59">
        <f t="shared" si="88"/>
        <v>169.74069292032493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0.66098481536783882</v>
      </c>
      <c r="AA94" s="21">
        <f>EXP(-LN(2)/25)*AA93+(1-EXP(-LN(2)/25))/(LN(2)/25)*Calculateur!V94*Calculateur!X94*VLOOKUP('Données projet'!$B$9,Paramètres!$A$1:$I$89,3,0)*0.475*44/12</f>
        <v>1.5950835899162417</v>
      </c>
      <c r="AB94" s="21">
        <f>EXP(-LN(2)/2)*AB93+(1-EXP(-LN(2)/2))/(LN(2)/2)*V94*Y94*VLOOKUP('Données projet'!$B$9,Paramètres!$A$1:$I$89,3,0)*0.475*44/12</f>
        <v>2.6641566971812115E-9</v>
      </c>
      <c r="AC94" s="22">
        <f t="shared" si="57"/>
        <v>2.2560684079482374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-2.8421709430404007E-14</v>
      </c>
      <c r="AJ94" s="13">
        <f>AI94*VLOOKUP('Données projet'!$B$10,Paramètres!$A$1:$I$89,3,0)*VLOOKUP('Données projet'!$B$10,Paramètres!$A$1:$I$89,5,0)</f>
        <v>-2.4829205358400945E-14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254.24072778190163</v>
      </c>
      <c r="AO94" s="59">
        <f t="shared" si="90"/>
        <v>356.78706780980383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0.91813730343085087</v>
      </c>
      <c r="AV94" s="21">
        <f>EXP(-LN(2)/25)*AV93+(1-EXP(-LN(2)/25))/(LN(2)/25)*Calculateur!AQ94*Calculateur!AS94*VLOOKUP('Données projet'!$B$10,Paramètres!$A$1:$I$89,3,0)*0.475*44/12</f>
        <v>3.2604209569723994</v>
      </c>
      <c r="AW94" s="21">
        <f>EXP(-LN(2)/2)*AW93+(1-EXP(-LN(2)/2))/(LN(2)/2)*AQ94*AT94*VLOOKUP('Données projet'!$B$10,Paramètres!$A$1:$I$89,3,0)*0.475*44/12</f>
        <v>1.8287785470818141E-8</v>
      </c>
      <c r="AX94" s="21">
        <f t="shared" si="60"/>
        <v>4.1785582786910354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-4.5474735088646412E-13</v>
      </c>
      <c r="BE94" s="13">
        <f>BD94*VLOOKUP('Données projet'!$B$11,Paramètres!$A$1:$I$89,3,0)*VLOOKUP('Données projet'!$B$11,Paramètres!$A$1:$I$89,5,0)</f>
        <v>-2.7193891583010558E-13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246.59447135626942</v>
      </c>
      <c r="BJ94" s="59">
        <f t="shared" si="92"/>
        <v>262.00382544285367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2.3679092149191678</v>
      </c>
      <c r="BR94" s="21">
        <f>EXP(-LN(2)/2)*BR93+(1-EXP(-LN(2)/2))/(LN(2)/2)*BL94*BO94*VLOOKUP('Données projet'!$B$11,Paramètres!$A$1:$I$89,3,0)*0.475*44/12</f>
        <v>1.5626839622848995E-8</v>
      </c>
      <c r="BS94" s="22">
        <f t="shared" si="63"/>
        <v>2.3679092305460077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</v>
      </c>
      <c r="BY94" s="12">
        <f>IF('Données projet'!$A$114&gt;35,BY93+BX94-CG93,IF(A94&lt;'Données projet'!$A$114,$BV$205^A94,IF(A94='Données projet'!$A$114,'Données projet'!$B$114,BY93+BX94-CG93)))</f>
        <v>196.70000000000016</v>
      </c>
      <c r="BZ94" s="13">
        <f>BY94*VLOOKUP('Données projet'!$B$12,Paramètres!$A$1:$I$89,3,0)*VLOOKUP('Données projet'!$B$12,Paramètres!$A$1:$I$89,5,0)</f>
        <v>177.97416000000013</v>
      </c>
      <c r="CA94" s="13">
        <f t="shared" si="93"/>
        <v>44.871177620414102</v>
      </c>
      <c r="CB94" s="20">
        <f t="shared" si="64"/>
        <v>388.12229635555474</v>
      </c>
      <c r="CC94" s="59">
        <f t="shared" si="65"/>
        <v>681.45562968888805</v>
      </c>
      <c r="CD94" s="59">
        <f ca="1">AVERAGE(OFFSET($CC$3,0,0,'Données projet'!$E$12+1,1))-AVERAGE(OFFSET($H$3,0,0,'Données projet'!$E$12+1,1))</f>
        <v>169.62156467157178</v>
      </c>
      <c r="CE94" s="59">
        <f t="shared" si="94"/>
        <v>85.631326020763254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4.6111381379887463E-14</v>
      </c>
      <c r="CV94" s="13">
        <f t="shared" si="95"/>
        <v>7.5804141040779151E-13</v>
      </c>
      <c r="CW94" s="20">
        <f t="shared" si="67"/>
        <v>1.4005661123635408E-12</v>
      </c>
      <c r="CX94" s="59">
        <f t="shared" si="68"/>
        <v>293.33333333333474</v>
      </c>
      <c r="CY94" s="59">
        <f ca="1">AVERAGE(OFFSET($CX$3,0,0,'Données projet'!$E$13+1,1))-AVERAGE(OFFSET($H$3,0,0,'Données projet'!$E$13+1,1))</f>
        <v>234.59657655504111</v>
      </c>
      <c r="CZ94" s="59">
        <f t="shared" si="96"/>
        <v>285.10598666479211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1.5675861080427786</v>
      </c>
      <c r="DH94" s="21">
        <f>EXP(-LN(2)/2)*DH93+(1-EXP(-LN(2)/2))/(LN(2)/2)*DB94*DE94*VLOOKUP('Données projet'!$B$13,Paramètres!$A$1:$I$89,3,0)*0.475*44/12</f>
        <v>7.2259252787040704E-9</v>
      </c>
      <c r="DI94" s="22">
        <f t="shared" si="69"/>
        <v>1.5675861152687038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3.7</v>
      </c>
      <c r="DO94" s="12">
        <f>IF('Données projet'!$A$166&gt;35,DO93+DN94-DW93,IF(A94&lt;'Données projet'!$A$166,$DL$205^A94,IF(A94='Données projet'!$A$166,'Données projet'!$B$166,DO93+DN94-DW93)))</f>
        <v>196.70000000000016</v>
      </c>
      <c r="DP94" s="17">
        <f>DO94*VLOOKUP('Données projet'!$B$14,Paramètres!$A$1:$I$89,3,0)*VLOOKUP('Données projet'!$B$14,Paramètres!$A$1:$I$89,5,0)</f>
        <v>190.24824000000015</v>
      </c>
      <c r="DQ94" s="13">
        <f t="shared" si="97"/>
        <v>47.59483101944722</v>
      </c>
      <c r="DR94" s="20">
        <f t="shared" si="70"/>
        <v>414.24334869220411</v>
      </c>
      <c r="DS94" s="59">
        <f t="shared" si="71"/>
        <v>707.57668202553737</v>
      </c>
      <c r="DT94" s="59">
        <f ca="1">AVERAGE(OFFSET($DS$3,0,0,'Données projet'!$E$14+1,1))-AVERAGE(OFFSET($H$3,0,0,'Données projet'!$E$14+1,1))</f>
        <v>186.90852124957956</v>
      </c>
      <c r="DU94" s="59">
        <f t="shared" si="98"/>
        <v>93.013797128776446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3.7</v>
      </c>
      <c r="EJ94" s="12">
        <f>IF('Données projet'!$A$192&gt;35,EJ93+EI94-ER93,IF(A94&lt;'Données projet'!$A$192,$EG$205^A94,IF(A94='Données projet'!$A$192,'Données projet'!$B$192,EJ93+EI94-ER93)))</f>
        <v>196.70000000000016</v>
      </c>
      <c r="EK94" s="17">
        <f>EJ94*VLOOKUP('Données projet'!$B$15,Paramètres!$A$1:$I$89,3,0)*VLOOKUP('Données projet'!$B$15,Paramètres!$A$1:$I$89,5,0)</f>
        <v>211.72788000000017</v>
      </c>
      <c r="EL94" s="13">
        <f t="shared" si="99"/>
        <v>52.312990688268499</v>
      </c>
      <c r="EM94" s="20">
        <f t="shared" si="73"/>
        <v>459.87118311540127</v>
      </c>
      <c r="EN94" s="59">
        <f t="shared" si="74"/>
        <v>753.20451644873458</v>
      </c>
      <c r="EO94" s="59">
        <f ca="1">AVERAGE(OFFSET($EN$3,0,0,'Données projet'!$E$15+1,1))-AVERAGE(OFFSET($H$3,0,0,'Données projet'!$E$15+1,1))</f>
        <v>217.10418688911096</v>
      </c>
      <c r="EP94" s="59">
        <f t="shared" si="100"/>
        <v>105.90631421515786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145.19188637714888</v>
      </c>
      <c r="T95" s="59">
        <f t="shared" si="88"/>
        <v>169.74069292032493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0.64802330629940408</v>
      </c>
      <c r="AA95" s="21">
        <f>EXP(-LN(2)/25)*AA94+(1-EXP(-LN(2)/25))/(LN(2)/25)*Calculateur!V95*Calculateur!X95*VLOOKUP('Données projet'!$B$9,Paramètres!$A$1:$I$89,3,0)*0.475*44/12</f>
        <v>1.5514659452681816</v>
      </c>
      <c r="AB95" s="21">
        <f>EXP(-LN(2)/2)*AB94+(1-EXP(-LN(2)/2))/(LN(2)/2)*V95*Y95*VLOOKUP('Données projet'!$B$9,Paramètres!$A$1:$I$89,3,0)*0.475*44/12</f>
        <v>1.88384326672039E-9</v>
      </c>
      <c r="AC95" s="22">
        <f t="shared" si="57"/>
        <v>2.199489253451429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-2.8421709430404007E-14</v>
      </c>
      <c r="AJ95" s="13">
        <f>AI95*VLOOKUP('Données projet'!$B$10,Paramètres!$A$1:$I$89,3,0)*VLOOKUP('Données projet'!$B$10,Paramètres!$A$1:$I$89,5,0)</f>
        <v>-2.4829205358400945E-14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254.24072778190163</v>
      </c>
      <c r="AO95" s="59">
        <f t="shared" si="90"/>
        <v>356.78706780980383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0.90013319091903077</v>
      </c>
      <c r="AV95" s="21">
        <f>EXP(-LN(2)/25)*AV94+(1-EXP(-LN(2)/25))/(LN(2)/25)*Calculateur!AQ95*Calculateur!AS95*VLOOKUP('Données projet'!$B$10,Paramètres!$A$1:$I$89,3,0)*0.475*44/12</f>
        <v>3.1712645744459027</v>
      </c>
      <c r="AW95" s="21">
        <f>EXP(-LN(2)/2)*AW94+(1-EXP(-LN(2)/2))/(LN(2)/2)*AQ95*AT95*VLOOKUP('Données projet'!$B$10,Paramètres!$A$1:$I$89,3,0)*0.475*44/12</f>
        <v>1.2931417119300326E-8</v>
      </c>
      <c r="AX95" s="21">
        <f t="shared" si="60"/>
        <v>4.0713977782963502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-4.5474735088646412E-13</v>
      </c>
      <c r="BE95" s="13">
        <f>BD95*VLOOKUP('Données projet'!$B$11,Paramètres!$A$1:$I$89,3,0)*VLOOKUP('Données projet'!$B$11,Paramètres!$A$1:$I$89,5,0)</f>
        <v>-2.7193891583010558E-13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246.59447135626942</v>
      </c>
      <c r="BJ95" s="59">
        <f t="shared" si="92"/>
        <v>262.00382544285367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2.3031586129142694</v>
      </c>
      <c r="BR95" s="21">
        <f>EXP(-LN(2)/2)*BR94+(1-EXP(-LN(2)/2))/(LN(2)/2)*BL95*BO95*VLOOKUP('Données projet'!$B$11,Paramètres!$A$1:$I$89,3,0)*0.475*44/12</f>
        <v>1.1049844265831155E-8</v>
      </c>
      <c r="BS95" s="22">
        <f t="shared" si="63"/>
        <v>2.3031586239641135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</v>
      </c>
      <c r="BY95" s="12">
        <f>IF('Données projet'!$A$114&gt;35,BY94+BX95-CG94,IF(A95&lt;'Données projet'!$A$114,$BV$205^A95,IF(A95='Données projet'!$A$114,'Données projet'!$B$114,BY94+BX95-CG94)))</f>
        <v>200.40000000000015</v>
      </c>
      <c r="BZ95" s="13">
        <f>BY95*VLOOKUP('Données projet'!$B$12,Paramètres!$A$1:$I$89,3,0)*VLOOKUP('Données projet'!$B$12,Paramètres!$A$1:$I$89,5,0)</f>
        <v>181.32192000000015</v>
      </c>
      <c r="CA95" s="13">
        <f t="shared" si="93"/>
        <v>45.616163648177974</v>
      </c>
      <c r="CB95" s="20">
        <f t="shared" si="64"/>
        <v>395.25049568724353</v>
      </c>
      <c r="CC95" s="59">
        <f t="shared" si="65"/>
        <v>688.58382902057679</v>
      </c>
      <c r="CD95" s="59">
        <f ca="1">AVERAGE(OFFSET($CC$3,0,0,'Données projet'!$E$12+1,1))-AVERAGE(OFFSET($H$3,0,0,'Données projet'!$E$12+1,1))</f>
        <v>169.62156467157178</v>
      </c>
      <c r="CE95" s="59">
        <f t="shared" si="94"/>
        <v>85.631326020763254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4.6111381379887463E-14</v>
      </c>
      <c r="CV95" s="13">
        <f t="shared" si="95"/>
        <v>7.5804141040779151E-13</v>
      </c>
      <c r="CW95" s="20">
        <f t="shared" si="67"/>
        <v>1.4005661123635408E-12</v>
      </c>
      <c r="CX95" s="59">
        <f t="shared" si="68"/>
        <v>293.33333333333474</v>
      </c>
      <c r="CY95" s="59">
        <f ca="1">AVERAGE(OFFSET($CX$3,0,0,'Données projet'!$E$13+1,1))-AVERAGE(OFFSET($H$3,0,0,'Données projet'!$E$13+1,1))</f>
        <v>234.59657655504111</v>
      </c>
      <c r="CZ95" s="59">
        <f t="shared" si="96"/>
        <v>285.10598666479211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1.5247203834825782</v>
      </c>
      <c r="DH95" s="21">
        <f>EXP(-LN(2)/2)*DH94+(1-EXP(-LN(2)/2))/(LN(2)/2)*DB95*DE95*VLOOKUP('Données projet'!$B$13,Paramètres!$A$1:$I$89,3,0)*0.475*44/12</f>
        <v>5.1095007649189415E-9</v>
      </c>
      <c r="DI95" s="22">
        <f t="shared" si="69"/>
        <v>1.524720388592079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3.7</v>
      </c>
      <c r="DO95" s="12">
        <f>IF('Données projet'!$A$166&gt;35,DO94+DN95-DW94,IF(A95&lt;'Données projet'!$A$166,$DL$205^A95,IF(A95='Données projet'!$A$166,'Données projet'!$B$166,DO94+DN95-DW94)))</f>
        <v>200.40000000000015</v>
      </c>
      <c r="DP95" s="17">
        <f>DO95*VLOOKUP('Données projet'!$B$14,Paramètres!$A$1:$I$89,3,0)*VLOOKUP('Données projet'!$B$14,Paramètres!$A$1:$I$89,5,0)</f>
        <v>193.82688000000016</v>
      </c>
      <c r="DQ95" s="13">
        <f t="shared" si="97"/>
        <v>48.385037249451258</v>
      </c>
      <c r="DR95" s="20">
        <f t="shared" si="70"/>
        <v>421.8524225427945</v>
      </c>
      <c r="DS95" s="59">
        <f t="shared" si="71"/>
        <v>715.18575587612781</v>
      </c>
      <c r="DT95" s="59">
        <f ca="1">AVERAGE(OFFSET($DS$3,0,0,'Données projet'!$E$14+1,1))-AVERAGE(OFFSET($H$3,0,0,'Données projet'!$E$14+1,1))</f>
        <v>186.90852124957956</v>
      </c>
      <c r="DU95" s="59">
        <f t="shared" si="98"/>
        <v>93.013797128776446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3.7</v>
      </c>
      <c r="EJ95" s="12">
        <f>IF('Données projet'!$A$192&gt;35,EJ94+EI95-ER94,IF(A95&lt;'Données projet'!$A$192,$EG$205^A95,IF(A95='Données projet'!$A$192,'Données projet'!$B$192,EJ94+EI95-ER94)))</f>
        <v>200.40000000000015</v>
      </c>
      <c r="EK95" s="17">
        <f>EJ95*VLOOKUP('Données projet'!$B$15,Paramètres!$A$1:$I$89,3,0)*VLOOKUP('Données projet'!$B$15,Paramètres!$A$1:$I$89,5,0)</f>
        <v>215.71056000000016</v>
      </c>
      <c r="EL95" s="13">
        <f t="shared" si="99"/>
        <v>53.181531457645832</v>
      </c>
      <c r="EM95" s="20">
        <f t="shared" si="73"/>
        <v>468.32039262206672</v>
      </c>
      <c r="EN95" s="59">
        <f t="shared" si="74"/>
        <v>761.65372595539998</v>
      </c>
      <c r="EO95" s="59">
        <f ca="1">AVERAGE(OFFSET($EN$3,0,0,'Données projet'!$E$15+1,1))-AVERAGE(OFFSET($H$3,0,0,'Données projet'!$E$15+1,1))</f>
        <v>217.10418688911096</v>
      </c>
      <c r="EP95" s="59">
        <f t="shared" si="100"/>
        <v>105.90631421515786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145.19188637714888</v>
      </c>
      <c r="T96" s="59">
        <f t="shared" si="88"/>
        <v>169.74069292032493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0.63531596451806138</v>
      </c>
      <c r="AA96" s="21">
        <f>EXP(-LN(2)/25)*AA95+(1-EXP(-LN(2)/25))/(LN(2)/25)*Calculateur!V96*Calculateur!X96*VLOOKUP('Données projet'!$B$9,Paramètres!$A$1:$I$89,3,0)*0.475*44/12</f>
        <v>1.5090410274067749</v>
      </c>
      <c r="AB96" s="21">
        <f>EXP(-LN(2)/2)*AB95+(1-EXP(-LN(2)/2))/(LN(2)/2)*V96*Y96*VLOOKUP('Données projet'!$B$9,Paramètres!$A$1:$I$89,3,0)*0.475*44/12</f>
        <v>1.3320783485906057E-9</v>
      </c>
      <c r="AC96" s="22">
        <f t="shared" si="57"/>
        <v>2.1443569932569146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-2.8421709430404007E-14</v>
      </c>
      <c r="AJ96" s="13">
        <f>AI96*VLOOKUP('Données projet'!$B$10,Paramètres!$A$1:$I$89,3,0)*VLOOKUP('Données projet'!$B$10,Paramètres!$A$1:$I$89,5,0)</f>
        <v>-2.4829205358400945E-14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254.24072778190163</v>
      </c>
      <c r="AO96" s="59">
        <f t="shared" si="90"/>
        <v>356.78706780980383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0.8824821280721431</v>
      </c>
      <c r="AV96" s="21">
        <f>EXP(-LN(2)/25)*AV95+(1-EXP(-LN(2)/25))/(LN(2)/25)*Calculateur!AQ96*Calculateur!AS96*VLOOKUP('Données projet'!$B$10,Paramètres!$A$1:$I$89,3,0)*0.475*44/12</f>
        <v>3.0845461778881234</v>
      </c>
      <c r="AW96" s="21">
        <f>EXP(-LN(2)/2)*AW95+(1-EXP(-LN(2)/2))/(LN(2)/2)*AQ96*AT96*VLOOKUP('Données projet'!$B$10,Paramètres!$A$1:$I$89,3,0)*0.475*44/12</f>
        <v>9.1438927354090704E-9</v>
      </c>
      <c r="AX96" s="21">
        <f t="shared" si="60"/>
        <v>3.9670283151041592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-4.5474735088646412E-13</v>
      </c>
      <c r="BE96" s="13">
        <f>BD96*VLOOKUP('Données projet'!$B$11,Paramètres!$A$1:$I$89,3,0)*VLOOKUP('Données projet'!$B$11,Paramètres!$A$1:$I$89,5,0)</f>
        <v>-2.7193891583010558E-13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246.59447135626942</v>
      </c>
      <c r="BJ96" s="59">
        <f t="shared" si="92"/>
        <v>262.00382544285367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2.2401786195262812</v>
      </c>
      <c r="BR96" s="21">
        <f>EXP(-LN(2)/2)*BR95+(1-EXP(-LN(2)/2))/(LN(2)/2)*BL96*BO96*VLOOKUP('Données projet'!$B$11,Paramètres!$A$1:$I$89,3,0)*0.475*44/12</f>
        <v>7.8134198114244975E-9</v>
      </c>
      <c r="BS96" s="22">
        <f t="shared" si="63"/>
        <v>2.2401786273397009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</v>
      </c>
      <c r="BY96" s="12">
        <f>IF('Données projet'!$A$114&gt;35,BY95+BX96-CG95,IF(A96&lt;'Données projet'!$A$114,$BV$205^A96,IF(A96='Données projet'!$A$114,'Données projet'!$B$114,BY95+BX96-CG95)))</f>
        <v>204.10000000000014</v>
      </c>
      <c r="BZ96" s="13">
        <f>BY96*VLOOKUP('Données projet'!$B$12,Paramètres!$A$1:$I$89,3,0)*VLOOKUP('Données projet'!$B$12,Paramètres!$A$1:$I$89,5,0)</f>
        <v>184.66968000000011</v>
      </c>
      <c r="CA96" s="13">
        <f t="shared" si="93"/>
        <v>46.359550248246585</v>
      </c>
      <c r="CB96" s="20">
        <f t="shared" si="64"/>
        <v>402.37590934902966</v>
      </c>
      <c r="CC96" s="59">
        <f t="shared" si="65"/>
        <v>695.70924268236297</v>
      </c>
      <c r="CD96" s="59">
        <f ca="1">AVERAGE(OFFSET($CC$3,0,0,'Données projet'!$E$12+1,1))-AVERAGE(OFFSET($H$3,0,0,'Données projet'!$E$12+1,1))</f>
        <v>169.62156467157178</v>
      </c>
      <c r="CE96" s="59">
        <f t="shared" si="94"/>
        <v>85.631326020763254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4.6111381379887463E-14</v>
      </c>
      <c r="CV96" s="13">
        <f t="shared" si="95"/>
        <v>7.5804141040779151E-13</v>
      </c>
      <c r="CW96" s="20">
        <f t="shared" si="67"/>
        <v>1.4005661123635408E-12</v>
      </c>
      <c r="CX96" s="59">
        <f t="shared" si="68"/>
        <v>293.33333333333474</v>
      </c>
      <c r="CY96" s="59">
        <f ca="1">AVERAGE(OFFSET($CX$3,0,0,'Données projet'!$E$13+1,1))-AVERAGE(OFFSET($H$3,0,0,'Données projet'!$E$13+1,1))</f>
        <v>234.59657655504111</v>
      </c>
      <c r="CZ96" s="59">
        <f t="shared" si="96"/>
        <v>285.10598666479211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1.4830268244146869</v>
      </c>
      <c r="DH96" s="21">
        <f>EXP(-LN(2)/2)*DH95+(1-EXP(-LN(2)/2))/(LN(2)/2)*DB96*DE96*VLOOKUP('Données projet'!$B$13,Paramètres!$A$1:$I$89,3,0)*0.475*44/12</f>
        <v>3.6129626393520352E-9</v>
      </c>
      <c r="DI96" s="22">
        <f t="shared" si="69"/>
        <v>1.4830268280276495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3.7</v>
      </c>
      <c r="DO96" s="12">
        <f>IF('Données projet'!$A$166&gt;35,DO95+DN96-DW95,IF(A96&lt;'Données projet'!$A$166,$DL$205^A96,IF(A96='Données projet'!$A$166,'Données projet'!$B$166,DO95+DN96-DW95)))</f>
        <v>204.10000000000014</v>
      </c>
      <c r="DP96" s="17">
        <f>DO96*VLOOKUP('Données projet'!$B$14,Paramètres!$A$1:$I$89,3,0)*VLOOKUP('Données projet'!$B$14,Paramètres!$A$1:$I$89,5,0)</f>
        <v>197.40552000000014</v>
      </c>
      <c r="DQ96" s="13">
        <f t="shared" si="97"/>
        <v>49.173546967464326</v>
      </c>
      <c r="DR96" s="20">
        <f t="shared" si="70"/>
        <v>429.45854163500059</v>
      </c>
      <c r="DS96" s="59">
        <f t="shared" si="71"/>
        <v>722.7918749683339</v>
      </c>
      <c r="DT96" s="59">
        <f ca="1">AVERAGE(OFFSET($DS$3,0,0,'Données projet'!$E$14+1,1))-AVERAGE(OFFSET($H$3,0,0,'Données projet'!$E$14+1,1))</f>
        <v>186.90852124957956</v>
      </c>
      <c r="DU96" s="59">
        <f t="shared" si="98"/>
        <v>93.013797128776446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3.7</v>
      </c>
      <c r="EJ96" s="12">
        <f>IF('Données projet'!$A$192&gt;35,EJ95+EI96-ER95,IF(A96&lt;'Données projet'!$A$192,$EG$205^A96,IF(A96='Données projet'!$A$192,'Données projet'!$B$192,EJ95+EI96-ER95)))</f>
        <v>204.10000000000014</v>
      </c>
      <c r="EK96" s="17">
        <f>EJ96*VLOOKUP('Données projet'!$B$15,Paramètres!$A$1:$I$89,3,0)*VLOOKUP('Données projet'!$B$15,Paramètres!$A$1:$I$89,5,0)</f>
        <v>219.69324000000015</v>
      </c>
      <c r="EL96" s="13">
        <f t="shared" si="99"/>
        <v>54.04820753680179</v>
      </c>
      <c r="EM96" s="20">
        <f t="shared" si="73"/>
        <v>476.76635445993014</v>
      </c>
      <c r="EN96" s="59">
        <f t="shared" si="74"/>
        <v>770.09968779326346</v>
      </c>
      <c r="EO96" s="59">
        <f ca="1">AVERAGE(OFFSET($EN$3,0,0,'Données projet'!$E$15+1,1))-AVERAGE(OFFSET($H$3,0,0,'Données projet'!$E$15+1,1))</f>
        <v>217.10418688911096</v>
      </c>
      <c r="EP96" s="59">
        <f t="shared" si="100"/>
        <v>105.90631421515786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145.19188637714888</v>
      </c>
      <c r="T97" s="59">
        <f t="shared" si="88"/>
        <v>169.74069292032493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0.62285780595833762</v>
      </c>
      <c r="AA97" s="21">
        <f>EXP(-LN(2)/25)*AA96+(1-EXP(-LN(2)/25))/(LN(2)/25)*Calculateur!V97*Calculateur!X97*VLOOKUP('Données projet'!$B$9,Paramètres!$A$1:$I$89,3,0)*0.475*44/12</f>
        <v>1.467776221155318</v>
      </c>
      <c r="AB97" s="21">
        <f>EXP(-LN(2)/2)*AB96+(1-EXP(-LN(2)/2))/(LN(2)/2)*V97*Y97*VLOOKUP('Données projet'!$B$9,Paramètres!$A$1:$I$89,3,0)*0.475*44/12</f>
        <v>9.4192163336019502E-10</v>
      </c>
      <c r="AC97" s="22">
        <f t="shared" si="57"/>
        <v>2.0906340280555775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-2.8421709430404007E-14</v>
      </c>
      <c r="AJ97" s="13">
        <f>AI97*VLOOKUP('Données projet'!$B$10,Paramètres!$A$1:$I$89,3,0)*VLOOKUP('Données projet'!$B$10,Paramètres!$A$1:$I$89,5,0)</f>
        <v>-2.4829205358400945E-14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254.24072778190163</v>
      </c>
      <c r="AO97" s="59">
        <f t="shared" si="90"/>
        <v>356.78706780980383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0.86517719180159769</v>
      </c>
      <c r="AV97" s="21">
        <f>EXP(-LN(2)/25)*AV96+(1-EXP(-LN(2)/25))/(LN(2)/25)*Calculateur!AQ97*Calculateur!AS97*VLOOKUP('Données projet'!$B$10,Paramètres!$A$1:$I$89,3,0)*0.475*44/12</f>
        <v>3.0001991004445387</v>
      </c>
      <c r="AW97" s="21">
        <f>EXP(-LN(2)/2)*AW96+(1-EXP(-LN(2)/2))/(LN(2)/2)*AQ97*AT97*VLOOKUP('Données projet'!$B$10,Paramètres!$A$1:$I$89,3,0)*0.475*44/12</f>
        <v>6.4657085596501632E-9</v>
      </c>
      <c r="AX97" s="21">
        <f t="shared" si="60"/>
        <v>3.865376298711845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-4.5474735088646412E-13</v>
      </c>
      <c r="BE97" s="13">
        <f>BD97*VLOOKUP('Données projet'!$B$11,Paramètres!$A$1:$I$89,3,0)*VLOOKUP('Données projet'!$B$11,Paramètres!$A$1:$I$89,5,0)</f>
        <v>-2.7193891583010558E-13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246.59447135626942</v>
      </c>
      <c r="BJ97" s="59">
        <f t="shared" si="92"/>
        <v>262.00382544285367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2.1789208173694612</v>
      </c>
      <c r="BR97" s="21">
        <f>EXP(-LN(2)/2)*BR96+(1-EXP(-LN(2)/2))/(LN(2)/2)*BL97*BO97*VLOOKUP('Données projet'!$B$11,Paramètres!$A$1:$I$89,3,0)*0.475*44/12</f>
        <v>5.5249221329155777E-9</v>
      </c>
      <c r="BS97" s="22">
        <f t="shared" si="63"/>
        <v>2.1789208228943835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</v>
      </c>
      <c r="BY97" s="12">
        <f>IF('Données projet'!$A$114&gt;35,BY96+BX97-CG96,IF(A97&lt;'Données projet'!$A$114,$BV$205^A97,IF(A97='Données projet'!$A$114,'Données projet'!$B$114,BY96+BX97-CG96)))</f>
        <v>207.80000000000013</v>
      </c>
      <c r="BZ97" s="13">
        <f>BY97*VLOOKUP('Données projet'!$B$12,Paramètres!$A$1:$I$89,3,0)*VLOOKUP('Données projet'!$B$12,Paramètres!$A$1:$I$89,5,0)</f>
        <v>188.01744000000011</v>
      </c>
      <c r="CA97" s="13">
        <f t="shared" si="93"/>
        <v>47.101369760097391</v>
      </c>
      <c r="CB97" s="20">
        <f t="shared" si="64"/>
        <v>409.49859366550317</v>
      </c>
      <c r="CC97" s="59">
        <f t="shared" si="65"/>
        <v>702.83192699883648</v>
      </c>
      <c r="CD97" s="59">
        <f ca="1">AVERAGE(OFFSET($CC$3,0,0,'Données projet'!$E$12+1,1))-AVERAGE(OFFSET($H$3,0,0,'Données projet'!$E$12+1,1))</f>
        <v>169.62156467157178</v>
      </c>
      <c r="CE97" s="59">
        <f t="shared" si="94"/>
        <v>85.631326020763254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4.6111381379887463E-14</v>
      </c>
      <c r="CV97" s="13">
        <f t="shared" si="95"/>
        <v>7.5804141040779151E-13</v>
      </c>
      <c r="CW97" s="20">
        <f t="shared" si="67"/>
        <v>1.4005661123635408E-12</v>
      </c>
      <c r="CX97" s="59">
        <f t="shared" si="68"/>
        <v>293.33333333333474</v>
      </c>
      <c r="CY97" s="59">
        <f ca="1">AVERAGE(OFFSET($CX$3,0,0,'Données projet'!$E$13+1,1))-AVERAGE(OFFSET($H$3,0,0,'Données projet'!$E$13+1,1))</f>
        <v>234.59657655504111</v>
      </c>
      <c r="CZ97" s="59">
        <f t="shared" si="96"/>
        <v>285.10598666479211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1.4424733779120762</v>
      </c>
      <c r="DH97" s="21">
        <f>EXP(-LN(2)/2)*DH96+(1-EXP(-LN(2)/2))/(LN(2)/2)*DB97*DE97*VLOOKUP('Données projet'!$B$13,Paramètres!$A$1:$I$89,3,0)*0.475*44/12</f>
        <v>2.5547503824594707E-9</v>
      </c>
      <c r="DI97" s="22">
        <f t="shared" si="69"/>
        <v>1.4424733804668266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3.7</v>
      </c>
      <c r="DO97" s="12">
        <f>IF('Données projet'!$A$166&gt;35,DO96+DN97-DW96,IF(A97&lt;'Données projet'!$A$166,$DL$205^A97,IF(A97='Données projet'!$A$166,'Données projet'!$B$166,DO96+DN97-DW96)))</f>
        <v>207.80000000000013</v>
      </c>
      <c r="DP97" s="17">
        <f>DO97*VLOOKUP('Données projet'!$B$14,Paramètres!$A$1:$I$89,3,0)*VLOOKUP('Données projet'!$B$14,Paramètres!$A$1:$I$89,5,0)</f>
        <v>200.98416000000012</v>
      </c>
      <c r="DQ97" s="13">
        <f t="shared" si="97"/>
        <v>49.960394475950601</v>
      </c>
      <c r="DR97" s="20">
        <f t="shared" si="70"/>
        <v>437.06176571228087</v>
      </c>
      <c r="DS97" s="59">
        <f t="shared" si="71"/>
        <v>730.39509904561419</v>
      </c>
      <c r="DT97" s="59">
        <f ca="1">AVERAGE(OFFSET($DS$3,0,0,'Données projet'!$E$14+1,1))-AVERAGE(OFFSET($H$3,0,0,'Données projet'!$E$14+1,1))</f>
        <v>186.90852124957956</v>
      </c>
      <c r="DU97" s="59">
        <f t="shared" si="98"/>
        <v>93.013797128776446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3.7</v>
      </c>
      <c r="EJ97" s="12">
        <f>IF('Données projet'!$A$192&gt;35,EJ96+EI97-ER96,IF(A97&lt;'Données projet'!$A$192,$EG$205^A97,IF(A97='Données projet'!$A$192,'Données projet'!$B$192,EJ96+EI97-ER96)))</f>
        <v>207.80000000000013</v>
      </c>
      <c r="EK97" s="17">
        <f>EJ97*VLOOKUP('Données projet'!$B$15,Paramètres!$A$1:$I$89,3,0)*VLOOKUP('Données projet'!$B$15,Paramètres!$A$1:$I$89,5,0)</f>
        <v>223.6759200000001</v>
      </c>
      <c r="EL97" s="13">
        <f t="shared" si="99"/>
        <v>54.913056628664535</v>
      </c>
      <c r="EM97" s="20">
        <f t="shared" si="73"/>
        <v>485.20913429492413</v>
      </c>
      <c r="EN97" s="59">
        <f t="shared" si="74"/>
        <v>778.54246762825744</v>
      </c>
      <c r="EO97" s="59">
        <f ca="1">AVERAGE(OFFSET($EN$3,0,0,'Données projet'!$E$15+1,1))-AVERAGE(OFFSET($H$3,0,0,'Données projet'!$E$15+1,1))</f>
        <v>217.10418688911096</v>
      </c>
      <c r="EP97" s="59">
        <f t="shared" si="100"/>
        <v>105.90631421515786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145.19188637714888</v>
      </c>
      <c r="T98" s="59">
        <f t="shared" si="88"/>
        <v>169.74069292032493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0.61064394428924362</v>
      </c>
      <c r="AA98" s="21">
        <f>EXP(-LN(2)/25)*AA97+(1-EXP(-LN(2)/25))/(LN(2)/25)*Calculateur!V98*Calculateur!X98*VLOOKUP('Données projet'!$B$9,Paramètres!$A$1:$I$89,3,0)*0.475*44/12</f>
        <v>1.4276398032008291</v>
      </c>
      <c r="AB98" s="21">
        <f>EXP(-LN(2)/2)*AB97+(1-EXP(-LN(2)/2))/(LN(2)/2)*V98*Y98*VLOOKUP('Données projet'!$B$9,Paramètres!$A$1:$I$89,3,0)*0.475*44/12</f>
        <v>6.6603917429530287E-10</v>
      </c>
      <c r="AC98" s="22">
        <f t="shared" si="57"/>
        <v>2.038283748156112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-2.8421709430404007E-14</v>
      </c>
      <c r="AJ98" s="13">
        <f>AI98*VLOOKUP('Données projet'!$B$10,Paramètres!$A$1:$I$89,3,0)*VLOOKUP('Données projet'!$B$10,Paramètres!$A$1:$I$89,5,0)</f>
        <v>-2.4829205358400945E-14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254.24072778190163</v>
      </c>
      <c r="AO98" s="59">
        <f t="shared" si="90"/>
        <v>356.78706780980383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0.84821159477634867</v>
      </c>
      <c r="AV98" s="21">
        <f>EXP(-LN(2)/25)*AV97+(1-EXP(-LN(2)/25))/(LN(2)/25)*Calculateur!AQ98*Calculateur!AS98*VLOOKUP('Données projet'!$B$10,Paramètres!$A$1:$I$89,3,0)*0.475*44/12</f>
        <v>2.918158498269269</v>
      </c>
      <c r="AW98" s="21">
        <f>EXP(-LN(2)/2)*AW97+(1-EXP(-LN(2)/2))/(LN(2)/2)*AQ98*AT98*VLOOKUP('Données projet'!$B$10,Paramètres!$A$1:$I$89,3,0)*0.475*44/12</f>
        <v>4.5719463677045352E-9</v>
      </c>
      <c r="AX98" s="21">
        <f t="shared" si="60"/>
        <v>3.766370097617564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-4.5474735088646412E-13</v>
      </c>
      <c r="BE98" s="13">
        <f>BD98*VLOOKUP('Données projet'!$B$11,Paramètres!$A$1:$I$89,3,0)*VLOOKUP('Données projet'!$B$11,Paramètres!$A$1:$I$89,5,0)</f>
        <v>-2.7193891583010558E-13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246.59447135626942</v>
      </c>
      <c r="BJ98" s="59">
        <f t="shared" si="92"/>
        <v>262.00382544285367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2.1193381130340274</v>
      </c>
      <c r="BR98" s="21">
        <f>EXP(-LN(2)/2)*BR97+(1-EXP(-LN(2)/2))/(LN(2)/2)*BL98*BO98*VLOOKUP('Données projet'!$B$11,Paramètres!$A$1:$I$89,3,0)*0.475*44/12</f>
        <v>3.9067099057122488E-9</v>
      </c>
      <c r="BS98" s="22">
        <f t="shared" si="63"/>
        <v>2.1193381169407375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3.7</v>
      </c>
      <c r="BY98" s="12">
        <f>IF('Données projet'!$A$114&gt;35,BY97+BX98-CG97,IF(A98&lt;'Données projet'!$A$114,$BV$205^A98,IF(A98='Données projet'!$A$114,'Données projet'!$B$114,BY97+BX98-CG97)))</f>
        <v>211.50000000000011</v>
      </c>
      <c r="BZ98" s="13">
        <f>BY98*VLOOKUP('Données projet'!$B$12,Paramètres!$A$1:$I$89,3,0)*VLOOKUP('Données projet'!$B$12,Paramètres!$A$1:$I$89,5,0)</f>
        <v>191.3652000000001</v>
      </c>
      <c r="CA98" s="13">
        <f t="shared" si="93"/>
        <v>47.841653305605021</v>
      </c>
      <c r="CB98" s="20">
        <f t="shared" si="64"/>
        <v>416.61860284059554</v>
      </c>
      <c r="CC98" s="59">
        <f t="shared" si="65"/>
        <v>709.95193617392886</v>
      </c>
      <c r="CD98" s="59">
        <f ca="1">AVERAGE(OFFSET($CC$3,0,0,'Données projet'!$E$12+1,1))-AVERAGE(OFFSET($H$3,0,0,'Données projet'!$E$12+1,1))</f>
        <v>169.62156467157178</v>
      </c>
      <c r="CE98" s="59">
        <f t="shared" si="94"/>
        <v>85.631326020763254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4.6111381379887463E-14</v>
      </c>
      <c r="CV98" s="13">
        <f t="shared" si="95"/>
        <v>7.5804141040779151E-13</v>
      </c>
      <c r="CW98" s="20">
        <f t="shared" si="67"/>
        <v>1.4005661123635408E-12</v>
      </c>
      <c r="CX98" s="59">
        <f t="shared" si="68"/>
        <v>293.33333333333474</v>
      </c>
      <c r="CY98" s="59">
        <f ca="1">AVERAGE(OFFSET($CX$3,0,0,'Données projet'!$E$13+1,1))-AVERAGE(OFFSET($H$3,0,0,'Données projet'!$E$13+1,1))</f>
        <v>234.59657655504111</v>
      </c>
      <c r="CZ98" s="59">
        <f t="shared" si="96"/>
        <v>285.10598666479211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1.4030288675366924</v>
      </c>
      <c r="DH98" s="21">
        <f>EXP(-LN(2)/2)*DH97+(1-EXP(-LN(2)/2))/(LN(2)/2)*DB98*DE98*VLOOKUP('Données projet'!$B$13,Paramètres!$A$1:$I$89,3,0)*0.475*44/12</f>
        <v>1.8064813196760176E-9</v>
      </c>
      <c r="DI98" s="22">
        <f t="shared" si="69"/>
        <v>1.4030288693431738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3.7</v>
      </c>
      <c r="DO98" s="12">
        <f>IF('Données projet'!$A$166&gt;35,DO97+DN98-DW97,IF(A98&lt;'Données projet'!$A$166,$DL$205^A98,IF(A98='Données projet'!$A$166,'Données projet'!$B$166,DO97+DN98-DW97)))</f>
        <v>211.50000000000011</v>
      </c>
      <c r="DP98" s="17">
        <f>DO98*VLOOKUP('Données projet'!$B$14,Paramètres!$A$1:$I$89,3,0)*VLOOKUP('Données projet'!$B$14,Paramètres!$A$1:$I$89,5,0)</f>
        <v>204.56280000000012</v>
      </c>
      <c r="DQ98" s="13">
        <f t="shared" si="97"/>
        <v>50.745612785863763</v>
      </c>
      <c r="DR98" s="20">
        <f t="shared" si="70"/>
        <v>444.66215226871287</v>
      </c>
      <c r="DS98" s="59">
        <f t="shared" si="71"/>
        <v>737.99548560204619</v>
      </c>
      <c r="DT98" s="59">
        <f ca="1">AVERAGE(OFFSET($DS$3,0,0,'Données projet'!$E$14+1,1))-AVERAGE(OFFSET($H$3,0,0,'Données projet'!$E$14+1,1))</f>
        <v>186.90852124957956</v>
      </c>
      <c r="DU98" s="59">
        <f t="shared" si="98"/>
        <v>93.013797128776446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3.7</v>
      </c>
      <c r="EJ98" s="12">
        <f>IF('Données projet'!$A$192&gt;35,EJ97+EI98-ER97,IF(A98&lt;'Données projet'!$A$192,$EG$205^A98,IF(A98='Données projet'!$A$192,'Données projet'!$B$192,EJ97+EI98-ER97)))</f>
        <v>211.50000000000011</v>
      </c>
      <c r="EK98" s="17">
        <f>EJ98*VLOOKUP('Données projet'!$B$15,Paramètres!$A$1:$I$89,3,0)*VLOOKUP('Données projet'!$B$15,Paramètres!$A$1:$I$89,5,0)</f>
        <v>227.65860000000009</v>
      </c>
      <c r="EL98" s="13">
        <f t="shared" si="99"/>
        <v>55.776115016621858</v>
      </c>
      <c r="EM98" s="20">
        <f t="shared" si="73"/>
        <v>493.64879532061656</v>
      </c>
      <c r="EN98" s="59">
        <f t="shared" si="74"/>
        <v>786.98212865394987</v>
      </c>
      <c r="EO98" s="59">
        <f ca="1">AVERAGE(OFFSET($EN$3,0,0,'Données projet'!$E$15+1,1))-AVERAGE(OFFSET($H$3,0,0,'Données projet'!$E$15+1,1))</f>
        <v>217.10418688911096</v>
      </c>
      <c r="EP98" s="59">
        <f t="shared" si="100"/>
        <v>105.90631421515786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145.19188637714888</v>
      </c>
      <c r="T99" s="59">
        <f t="shared" si="88"/>
        <v>169.74069292032493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0.59866958899776057</v>
      </c>
      <c r="AA99" s="21">
        <f>EXP(-LN(2)/25)*AA98+(1-EXP(-LN(2)/25))/(LN(2)/25)*Calculateur!V99*Calculateur!X99*VLOOKUP('Données projet'!$B$9,Paramètres!$A$1:$I$89,3,0)*0.475*44/12</f>
        <v>1.3886009177059881</v>
      </c>
      <c r="AB99" s="21">
        <f>EXP(-LN(2)/2)*AB98+(1-EXP(-LN(2)/2))/(LN(2)/2)*V99*Y99*VLOOKUP('Données projet'!$B$9,Paramètres!$A$1:$I$89,3,0)*0.475*44/12</f>
        <v>4.7096081668009751E-10</v>
      </c>
      <c r="AC99" s="22">
        <f t="shared" si="57"/>
        <v>1.9872705071747097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-2.8421709430404007E-14</v>
      </c>
      <c r="AJ99" s="13">
        <f>AI99*VLOOKUP('Données projet'!$B$10,Paramètres!$A$1:$I$89,3,0)*VLOOKUP('Données projet'!$B$10,Paramètres!$A$1:$I$89,5,0)</f>
        <v>-2.4829205358400945E-14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254.24072778190163</v>
      </c>
      <c r="AO99" s="59">
        <f t="shared" si="90"/>
        <v>356.78706780980383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0.8315786827607724</v>
      </c>
      <c r="AV99" s="21">
        <f>EXP(-LN(2)/25)*AV98+(1-EXP(-LN(2)/25))/(LN(2)/25)*Calculateur!AQ99*Calculateur!AS99*VLOOKUP('Données projet'!$B$10,Paramètres!$A$1:$I$89,3,0)*0.475*44/12</f>
        <v>2.8383613006748099</v>
      </c>
      <c r="AW99" s="21">
        <f>EXP(-LN(2)/2)*AW98+(1-EXP(-LN(2)/2))/(LN(2)/2)*AQ99*AT99*VLOOKUP('Données projet'!$B$10,Paramètres!$A$1:$I$89,3,0)*0.475*44/12</f>
        <v>3.2328542798250816E-9</v>
      </c>
      <c r="AX99" s="21">
        <f t="shared" si="60"/>
        <v>3.6699399866684366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-4.5474735088646412E-13</v>
      </c>
      <c r="BE99" s="13">
        <f>BD99*VLOOKUP('Données projet'!$B$11,Paramètres!$A$1:$I$89,3,0)*VLOOKUP('Données projet'!$B$11,Paramètres!$A$1:$I$89,5,0)</f>
        <v>-2.7193891583010558E-13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246.59447135626942</v>
      </c>
      <c r="BJ99" s="59">
        <f t="shared" si="92"/>
        <v>262.00382544285367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2.0613847008819643</v>
      </c>
      <c r="BR99" s="21">
        <f>EXP(-LN(2)/2)*BR98+(1-EXP(-LN(2)/2))/(LN(2)/2)*BL99*BO99*VLOOKUP('Données projet'!$B$11,Paramètres!$A$1:$I$89,3,0)*0.475*44/12</f>
        <v>2.7624610664577889E-9</v>
      </c>
      <c r="BS99" s="22">
        <f t="shared" si="63"/>
        <v>2.0613847036444253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3.7</v>
      </c>
      <c r="BY99" s="12">
        <f>IF('Données projet'!$A$114&gt;35,BY98+BX99-CG98,IF(A99&lt;'Données projet'!$A$114,$BV$205^A99,IF(A99='Données projet'!$A$114,'Données projet'!$B$114,BY98+BX99-CG98)))</f>
        <v>215.2000000000001</v>
      </c>
      <c r="BZ99" s="13">
        <f>BY99*VLOOKUP('Données projet'!$B$12,Paramètres!$A$1:$I$89,3,0)*VLOOKUP('Données projet'!$B$12,Paramètres!$A$1:$I$89,5,0)</f>
        <v>194.71296000000007</v>
      </c>
      <c r="CA99" s="13">
        <f t="shared" si="93"/>
        <v>48.580430855369244</v>
      </c>
      <c r="CB99" s="20">
        <f t="shared" si="64"/>
        <v>423.73598907310151</v>
      </c>
      <c r="CC99" s="59">
        <f t="shared" si="65"/>
        <v>717.06932240643482</v>
      </c>
      <c r="CD99" s="59">
        <f ca="1">AVERAGE(OFFSET($CC$3,0,0,'Données projet'!$E$12+1,1))-AVERAGE(OFFSET($H$3,0,0,'Données projet'!$E$12+1,1))</f>
        <v>169.62156467157178</v>
      </c>
      <c r="CE99" s="59">
        <f t="shared" si="94"/>
        <v>85.631326020763254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4.6111381379887463E-14</v>
      </c>
      <c r="CV99" s="13">
        <f t="shared" si="95"/>
        <v>7.5804141040779151E-13</v>
      </c>
      <c r="CW99" s="20">
        <f t="shared" si="67"/>
        <v>1.4005661123635408E-12</v>
      </c>
      <c r="CX99" s="59">
        <f t="shared" si="68"/>
        <v>293.33333333333474</v>
      </c>
      <c r="CY99" s="59">
        <f ca="1">AVERAGE(OFFSET($CX$3,0,0,'Données projet'!$E$13+1,1))-AVERAGE(OFFSET($H$3,0,0,'Données projet'!$E$13+1,1))</f>
        <v>234.59657655504111</v>
      </c>
      <c r="CZ99" s="59">
        <f t="shared" si="96"/>
        <v>285.10598666479211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1.3646629693718202</v>
      </c>
      <c r="DH99" s="21">
        <f>EXP(-LN(2)/2)*DH98+(1-EXP(-LN(2)/2))/(LN(2)/2)*DB99*DE99*VLOOKUP('Données projet'!$B$13,Paramètres!$A$1:$I$89,3,0)*0.475*44/12</f>
        <v>1.2773751912297354E-9</v>
      </c>
      <c r="DI99" s="22">
        <f t="shared" si="69"/>
        <v>1.3646629706491953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3.7</v>
      </c>
      <c r="DO99" s="12">
        <f>IF('Données projet'!$A$166&gt;35,DO98+DN99-DW98,IF(A99&lt;'Données projet'!$A$166,$DL$205^A99,IF(A99='Données projet'!$A$166,'Données projet'!$B$166,DO98+DN99-DW98)))</f>
        <v>215.2000000000001</v>
      </c>
      <c r="DP99" s="17">
        <f>DO99*VLOOKUP('Données projet'!$B$14,Paramètres!$A$1:$I$89,3,0)*VLOOKUP('Données projet'!$B$14,Paramètres!$A$1:$I$89,5,0)</f>
        <v>208.1414400000001</v>
      </c>
      <c r="DQ99" s="13">
        <f t="shared" si="97"/>
        <v>51.529233687000762</v>
      </c>
      <c r="DR99" s="20">
        <f t="shared" si="70"/>
        <v>452.25975667152653</v>
      </c>
      <c r="DS99" s="59">
        <f t="shared" si="71"/>
        <v>745.59309000485985</v>
      </c>
      <c r="DT99" s="59">
        <f ca="1">AVERAGE(OFFSET($DS$3,0,0,'Données projet'!$E$14+1,1))-AVERAGE(OFFSET($H$3,0,0,'Données projet'!$E$14+1,1))</f>
        <v>186.90852124957956</v>
      </c>
      <c r="DU99" s="59">
        <f t="shared" si="98"/>
        <v>93.013797128776446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3.7</v>
      </c>
      <c r="EJ99" s="12">
        <f>IF('Données projet'!$A$192&gt;35,EJ98+EI99-ER98,IF(A99&lt;'Données projet'!$A$192,$EG$205^A99,IF(A99='Données projet'!$A$192,'Données projet'!$B$192,EJ98+EI99-ER98)))</f>
        <v>215.2000000000001</v>
      </c>
      <c r="EK99" s="17">
        <f>EJ99*VLOOKUP('Données projet'!$B$15,Paramètres!$A$1:$I$89,3,0)*VLOOKUP('Données projet'!$B$15,Paramètres!$A$1:$I$89,5,0)</f>
        <v>231.64128000000011</v>
      </c>
      <c r="EL99" s="13">
        <f t="shared" si="99"/>
        <v>56.637417641849474</v>
      </c>
      <c r="EM99" s="20">
        <f t="shared" si="73"/>
        <v>502.08539839288795</v>
      </c>
      <c r="EN99" s="59">
        <f t="shared" si="74"/>
        <v>795.41873172622127</v>
      </c>
      <c r="EO99" s="59">
        <f ca="1">AVERAGE(OFFSET($EN$3,0,0,'Données projet'!$E$15+1,1))-AVERAGE(OFFSET($H$3,0,0,'Données projet'!$E$15+1,1))</f>
        <v>217.10418688911096</v>
      </c>
      <c r="EP99" s="59">
        <f t="shared" si="100"/>
        <v>105.90631421515786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145.19188637714888</v>
      </c>
      <c r="T100" s="59">
        <f t="shared" si="88"/>
        <v>169.74069292032493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0.58693004350990796</v>
      </c>
      <c r="AA100" s="21">
        <f>EXP(-LN(2)/25)*AA99+(1-EXP(-LN(2)/25))/(LN(2)/25)*Calculateur!V100*Calculateur!X100*VLOOKUP('Données projet'!$B$9,Paramètres!$A$1:$I$89,3,0)*0.475*44/12</f>
        <v>1.3506295525879692</v>
      </c>
      <c r="AB100" s="21">
        <f>EXP(-LN(2)/2)*AB99+(1-EXP(-LN(2)/2))/(LN(2)/2)*V100*Y100*VLOOKUP('Données projet'!$B$9,Paramètres!$A$1:$I$89,3,0)*0.475*44/12</f>
        <v>3.3301958714765143E-10</v>
      </c>
      <c r="AC100" s="22">
        <f t="shared" si="57"/>
        <v>1.9375595964308967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-2.8421709430404007E-14</v>
      </c>
      <c r="AJ100" s="13">
        <f>AI100*VLOOKUP('Données projet'!$B$10,Paramètres!$A$1:$I$89,3,0)*VLOOKUP('Données projet'!$B$10,Paramètres!$A$1:$I$89,5,0)</f>
        <v>-2.4829205358400945E-14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254.24072778190163</v>
      </c>
      <c r="AO100" s="59">
        <f t="shared" si="90"/>
        <v>356.78706780980383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0.81527193200474701</v>
      </c>
      <c r="AV100" s="21">
        <f>EXP(-LN(2)/25)*AV99+(1-EXP(-LN(2)/25))/(LN(2)/25)*Calculateur!AQ100*Calculateur!AS100*VLOOKUP('Données projet'!$B$10,Paramètres!$A$1:$I$89,3,0)*0.475*44/12</f>
        <v>2.7607461616449234</v>
      </c>
      <c r="AW100" s="21">
        <f>EXP(-LN(2)/2)*AW99+(1-EXP(-LN(2)/2))/(LN(2)/2)*AQ100*AT100*VLOOKUP('Données projet'!$B$10,Paramètres!$A$1:$I$89,3,0)*0.475*44/12</f>
        <v>2.2859731838522676E-9</v>
      </c>
      <c r="AX100" s="21">
        <f t="shared" si="60"/>
        <v>3.5760180959356438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-4.5474735088646412E-13</v>
      </c>
      <c r="BE100" s="13">
        <f>BD100*VLOOKUP('Données projet'!$B$11,Paramètres!$A$1:$I$89,3,0)*VLOOKUP('Données projet'!$B$11,Paramètres!$A$1:$I$89,5,0)</f>
        <v>-2.7193891583010558E-13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246.59447135626942</v>
      </c>
      <c r="BJ100" s="59">
        <f t="shared" si="92"/>
        <v>262.00382544285367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2.0050160278328368</v>
      </c>
      <c r="BR100" s="21">
        <f>EXP(-LN(2)/2)*BR99+(1-EXP(-LN(2)/2))/(LN(2)/2)*BL100*BO100*VLOOKUP('Données projet'!$B$11,Paramètres!$A$1:$I$89,3,0)*0.475*44/12</f>
        <v>1.9533549528561244E-9</v>
      </c>
      <c r="BS100" s="22">
        <f t="shared" si="63"/>
        <v>2.0050160297861916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3.7</v>
      </c>
      <c r="BY100" s="12">
        <f>IF('Données projet'!$A$114&gt;35,BY99+BX100-CG99,IF(A100&lt;'Données projet'!$A$114,$BV$205^A100,IF(A100='Données projet'!$A$114,'Données projet'!$B$114,BY99+BX100-CG99)))</f>
        <v>218.90000000000009</v>
      </c>
      <c r="BZ100" s="13">
        <f>BY100*VLOOKUP('Données projet'!$B$12,Paramètres!$A$1:$I$89,3,0)*VLOOKUP('Données projet'!$B$12,Paramètres!$A$1:$I$89,5,0)</f>
        <v>198.06072000000009</v>
      </c>
      <c r="CA100" s="13">
        <f t="shared" si="93"/>
        <v>49.317731290351993</v>
      </c>
      <c r="CB100" s="20">
        <f t="shared" si="64"/>
        <v>430.8508026640298</v>
      </c>
      <c r="CC100" s="59">
        <f t="shared" si="65"/>
        <v>724.18413599736311</v>
      </c>
      <c r="CD100" s="59">
        <f ca="1">AVERAGE(OFFSET($CC$3,0,0,'Données projet'!$E$12+1,1))-AVERAGE(OFFSET($H$3,0,0,'Données projet'!$E$12+1,1))</f>
        <v>169.62156467157178</v>
      </c>
      <c r="CE100" s="59">
        <f t="shared" si="94"/>
        <v>85.631326020763254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4.6111381379887463E-14</v>
      </c>
      <c r="CV100" s="13">
        <f t="shared" si="95"/>
        <v>7.5804141040779151E-13</v>
      </c>
      <c r="CW100" s="20">
        <f t="shared" si="67"/>
        <v>1.4005661123635408E-12</v>
      </c>
      <c r="CX100" s="59">
        <f t="shared" si="68"/>
        <v>293.33333333333474</v>
      </c>
      <c r="CY100" s="59">
        <f ca="1">AVERAGE(OFFSET($CX$3,0,0,'Données projet'!$E$13+1,1))-AVERAGE(OFFSET($H$3,0,0,'Données projet'!$E$13+1,1))</f>
        <v>234.59657655504111</v>
      </c>
      <c r="CZ100" s="59">
        <f t="shared" si="96"/>
        <v>285.10598666479211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1.3273461887098412</v>
      </c>
      <c r="DH100" s="21">
        <f>EXP(-LN(2)/2)*DH99+(1-EXP(-LN(2)/2))/(LN(2)/2)*DB100*DE100*VLOOKUP('Données projet'!$B$13,Paramètres!$A$1:$I$89,3,0)*0.475*44/12</f>
        <v>9.0324065983800879E-10</v>
      </c>
      <c r="DI100" s="22">
        <f t="shared" si="69"/>
        <v>1.3273461896130818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3.7</v>
      </c>
      <c r="DO100" s="12">
        <f>IF('Données projet'!$A$166&gt;35,DO99+DN100-DW99,IF(A100&lt;'Données projet'!$A$166,$DL$205^A100,IF(A100='Données projet'!$A$166,'Données projet'!$B$166,DO99+DN100-DW99)))</f>
        <v>218.90000000000009</v>
      </c>
      <c r="DP100" s="17">
        <f>DO100*VLOOKUP('Données projet'!$B$14,Paramètres!$A$1:$I$89,3,0)*VLOOKUP('Données projet'!$B$14,Paramètres!$A$1:$I$89,5,0)</f>
        <v>211.72008000000008</v>
      </c>
      <c r="DQ100" s="13">
        <f t="shared" si="97"/>
        <v>52.31128781338063</v>
      </c>
      <c r="DR100" s="20">
        <f t="shared" si="70"/>
        <v>459.85463227497138</v>
      </c>
      <c r="DS100" s="59">
        <f t="shared" si="71"/>
        <v>753.18796560830469</v>
      </c>
      <c r="DT100" s="59">
        <f ca="1">AVERAGE(OFFSET($DS$3,0,0,'Données projet'!$E$14+1,1))-AVERAGE(OFFSET($H$3,0,0,'Données projet'!$E$14+1,1))</f>
        <v>186.90852124957956</v>
      </c>
      <c r="DU100" s="59">
        <f t="shared" si="98"/>
        <v>93.013797128776446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3.7</v>
      </c>
      <c r="EJ100" s="12">
        <f>IF('Données projet'!$A$192&gt;35,EJ99+EI100-ER99,IF(A100&lt;'Données projet'!$A$192,$EG$205^A100,IF(A100='Données projet'!$A$192,'Données projet'!$B$192,EJ99+EI100-ER99)))</f>
        <v>218.90000000000009</v>
      </c>
      <c r="EK100" s="17">
        <f>EJ100*VLOOKUP('Données projet'!$B$15,Paramètres!$A$1:$I$89,3,0)*VLOOKUP('Données projet'!$B$15,Paramètres!$A$1:$I$89,5,0)</f>
        <v>235.6239600000001</v>
      </c>
      <c r="EL100" s="13">
        <f t="shared" si="99"/>
        <v>57.496998175170688</v>
      </c>
      <c r="EM100" s="20">
        <f t="shared" si="73"/>
        <v>510.51900215508908</v>
      </c>
      <c r="EN100" s="59">
        <f t="shared" si="74"/>
        <v>803.85233548842234</v>
      </c>
      <c r="EO100" s="59">
        <f ca="1">AVERAGE(OFFSET($EN$3,0,0,'Données projet'!$E$15+1,1))-AVERAGE(OFFSET($H$3,0,0,'Données projet'!$E$15+1,1))</f>
        <v>217.10418688911096</v>
      </c>
      <c r="EP100" s="59">
        <f t="shared" si="100"/>
        <v>105.90631421515786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145.19188637714888</v>
      </c>
      <c r="T101" s="59">
        <f t="shared" si="88"/>
        <v>169.74069292032493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0.57542070334865647</v>
      </c>
      <c r="AA101" s="21">
        <f>EXP(-LN(2)/25)*AA100+(1-EXP(-LN(2)/25))/(LN(2)/25)*Calculateur!V101*Calculateur!X101*VLOOKUP('Données projet'!$B$9,Paramètres!$A$1:$I$89,3,0)*0.475*44/12</f>
        <v>1.31369651644593</v>
      </c>
      <c r="AB101" s="21">
        <f>EXP(-LN(2)/2)*AB100+(1-EXP(-LN(2)/2))/(LN(2)/2)*V101*Y101*VLOOKUP('Données projet'!$B$9,Paramètres!$A$1:$I$89,3,0)*0.475*44/12</f>
        <v>2.3548040834004875E-10</v>
      </c>
      <c r="AC101" s="22">
        <f t="shared" si="57"/>
        <v>1.8891172200300668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-2.8421709430404007E-14</v>
      </c>
      <c r="AJ101" s="13">
        <f>AI101*VLOOKUP('Données projet'!$B$10,Paramètres!$A$1:$I$89,3,0)*VLOOKUP('Données projet'!$B$10,Paramètres!$A$1:$I$89,5,0)</f>
        <v>-2.4829205358400945E-14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254.24072778190163</v>
      </c>
      <c r="AO101" s="59">
        <f t="shared" si="90"/>
        <v>356.78706780980383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0.79928494668491146</v>
      </c>
      <c r="AV101" s="21">
        <f>EXP(-LN(2)/25)*AV100+(1-EXP(-LN(2)/25))/(LN(2)/25)*Calculateur!AQ101*Calculateur!AS101*VLOOKUP('Données projet'!$B$10,Paramètres!$A$1:$I$89,3,0)*0.475*44/12</f>
        <v>2.6852534126734122</v>
      </c>
      <c r="AW101" s="21">
        <f>EXP(-LN(2)/2)*AW100+(1-EXP(-LN(2)/2))/(LN(2)/2)*AQ101*AT101*VLOOKUP('Données projet'!$B$10,Paramètres!$A$1:$I$89,3,0)*0.475*44/12</f>
        <v>1.6164271399125408E-9</v>
      </c>
      <c r="AX101" s="21">
        <f t="shared" si="60"/>
        <v>3.4845383609747507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-4.5474735088646412E-13</v>
      </c>
      <c r="BE101" s="13">
        <f>BD101*VLOOKUP('Données projet'!$B$11,Paramètres!$A$1:$I$89,3,0)*VLOOKUP('Données projet'!$B$11,Paramètres!$A$1:$I$89,5,0)</f>
        <v>-2.7193891583010558E-13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246.59447135626942</v>
      </c>
      <c r="BJ101" s="59">
        <f t="shared" si="92"/>
        <v>262.00382544285367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1.9501887591125375</v>
      </c>
      <c r="BR101" s="21">
        <f>EXP(-LN(2)/2)*BR100+(1-EXP(-LN(2)/2))/(LN(2)/2)*BL101*BO101*VLOOKUP('Données projet'!$B$11,Paramètres!$A$1:$I$89,3,0)*0.475*44/12</f>
        <v>1.3812305332288944E-9</v>
      </c>
      <c r="BS101" s="22">
        <f t="shared" si="63"/>
        <v>1.950188760493768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3.7</v>
      </c>
      <c r="BY101" s="12">
        <f>IF('Données projet'!$A$114&gt;35,BY100+BX101-CG100,IF(A101&lt;'Données projet'!$A$114,$BV$205^A101,IF(A101='Données projet'!$A$114,'Données projet'!$B$114,BY100+BX101-CG100)))</f>
        <v>222.60000000000008</v>
      </c>
      <c r="BZ101" s="13">
        <f>BY101*VLOOKUP('Données projet'!$B$12,Paramètres!$A$1:$I$89,3,0)*VLOOKUP('Données projet'!$B$12,Paramètres!$A$1:$I$89,5,0)</f>
        <v>201.40848000000005</v>
      </c>
      <c r="CA101" s="13">
        <f t="shared" si="93"/>
        <v>50.053582459229212</v>
      </c>
      <c r="CB101" s="20">
        <f t="shared" si="64"/>
        <v>437.96309211649094</v>
      </c>
      <c r="CC101" s="59">
        <f t="shared" si="65"/>
        <v>731.29642544982426</v>
      </c>
      <c r="CD101" s="59">
        <f ca="1">AVERAGE(OFFSET($CC$3,0,0,'Données projet'!$E$12+1,1))-AVERAGE(OFFSET($H$3,0,0,'Données projet'!$E$12+1,1))</f>
        <v>169.62156467157178</v>
      </c>
      <c r="CE101" s="59">
        <f t="shared" si="94"/>
        <v>85.631326020763254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4.6111381379887463E-14</v>
      </c>
      <c r="CV101" s="13">
        <f t="shared" si="95"/>
        <v>7.5804141040779151E-13</v>
      </c>
      <c r="CW101" s="20">
        <f t="shared" si="67"/>
        <v>1.4005661123635408E-12</v>
      </c>
      <c r="CX101" s="59">
        <f t="shared" si="68"/>
        <v>293.33333333333474</v>
      </c>
      <c r="CY101" s="59">
        <f ca="1">AVERAGE(OFFSET($CX$3,0,0,'Données projet'!$E$13+1,1))-AVERAGE(OFFSET($H$3,0,0,'Données projet'!$E$13+1,1))</f>
        <v>234.59657655504111</v>
      </c>
      <c r="CZ101" s="59">
        <f t="shared" si="96"/>
        <v>285.10598666479211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1.2910498373774681</v>
      </c>
      <c r="DH101" s="21">
        <f>EXP(-LN(2)/2)*DH100+(1-EXP(-LN(2)/2))/(LN(2)/2)*DB101*DE101*VLOOKUP('Données projet'!$B$13,Paramètres!$A$1:$I$89,3,0)*0.475*44/12</f>
        <v>6.3868759561486768E-10</v>
      </c>
      <c r="DI101" s="22">
        <f t="shared" si="69"/>
        <v>1.2910498380161557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3.7</v>
      </c>
      <c r="DO101" s="12">
        <f>IF('Données projet'!$A$166&gt;35,DO100+DN101-DW100,IF(A101&lt;'Données projet'!$A$166,$DL$205^A101,IF(A101='Données projet'!$A$166,'Données projet'!$B$166,DO100+DN101-DW100)))</f>
        <v>222.60000000000008</v>
      </c>
      <c r="DP101" s="17">
        <f>DO101*VLOOKUP('Données projet'!$B$14,Paramètres!$A$1:$I$89,3,0)*VLOOKUP('Données projet'!$B$14,Paramètres!$A$1:$I$89,5,0)</f>
        <v>215.29872000000009</v>
      </c>
      <c r="DQ101" s="13">
        <f t="shared" si="97"/>
        <v>53.091804704077127</v>
      </c>
      <c r="DR101" s="20">
        <f t="shared" si="70"/>
        <v>467.44683052626783</v>
      </c>
      <c r="DS101" s="59">
        <f t="shared" si="71"/>
        <v>760.78016385960109</v>
      </c>
      <c r="DT101" s="59">
        <f ca="1">AVERAGE(OFFSET($DS$3,0,0,'Données projet'!$E$14+1,1))-AVERAGE(OFFSET($H$3,0,0,'Données projet'!$E$14+1,1))</f>
        <v>186.90852124957956</v>
      </c>
      <c r="DU101" s="59">
        <f t="shared" si="98"/>
        <v>93.013797128776446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3.7</v>
      </c>
      <c r="EJ101" s="12">
        <f>IF('Données projet'!$A$192&gt;35,EJ100+EI101-ER100,IF(A101&lt;'Données projet'!$A$192,$EG$205^A101,IF(A101='Données projet'!$A$192,'Données projet'!$B$192,EJ100+EI101-ER100)))</f>
        <v>222.60000000000008</v>
      </c>
      <c r="EK101" s="17">
        <f>EJ101*VLOOKUP('Données projet'!$B$15,Paramètres!$A$1:$I$89,3,0)*VLOOKUP('Données projet'!$B$15,Paramètres!$A$1:$I$89,5,0)</f>
        <v>239.60664000000008</v>
      </c>
      <c r="EL101" s="13">
        <f t="shared" si="99"/>
        <v>58.354889083919971</v>
      </c>
      <c r="EM101" s="20">
        <f t="shared" si="73"/>
        <v>518.94966315449403</v>
      </c>
      <c r="EN101" s="59">
        <f t="shared" si="74"/>
        <v>812.2829964878274</v>
      </c>
      <c r="EO101" s="59">
        <f ca="1">AVERAGE(OFFSET($EN$3,0,0,'Données projet'!$E$15+1,1))-AVERAGE(OFFSET($H$3,0,0,'Données projet'!$E$15+1,1))</f>
        <v>217.10418688911096</v>
      </c>
      <c r="EP101" s="59">
        <f t="shared" si="100"/>
        <v>105.90631421515786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145.19188637714888</v>
      </c>
      <c r="T102" s="59">
        <f t="shared" si="88"/>
        <v>169.74069292032493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0.56413705432796279</v>
      </c>
      <c r="AA102" s="21">
        <f>EXP(-LN(2)/25)*AA101+(1-EXP(-LN(2)/25))/(LN(2)/25)*Calculateur!V102*Calculateur!X102*VLOOKUP('Données projet'!$B$9,Paramètres!$A$1:$I$89,3,0)*0.475*44/12</f>
        <v>1.2777734161194187</v>
      </c>
      <c r="AB102" s="21">
        <f>EXP(-LN(2)/2)*AB101+(1-EXP(-LN(2)/2))/(LN(2)/2)*V102*Y102*VLOOKUP('Données projet'!$B$9,Paramètres!$A$1:$I$89,3,0)*0.475*44/12</f>
        <v>1.6650979357382572E-10</v>
      </c>
      <c r="AC102" s="22">
        <f t="shared" si="57"/>
        <v>1.8419104706138911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-2.8421709430404007E-14</v>
      </c>
      <c r="AJ102" s="13">
        <f>AI102*VLOOKUP('Données projet'!$B$10,Paramètres!$A$1:$I$89,3,0)*VLOOKUP('Données projet'!$B$10,Paramètres!$A$1:$I$89,5,0)</f>
        <v>-2.4829205358400945E-14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254.24072778190163</v>
      </c>
      <c r="AO102" s="59">
        <f t="shared" si="90"/>
        <v>356.78706780980383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0.78361145639609964</v>
      </c>
      <c r="AV102" s="21">
        <f>EXP(-LN(2)/25)*AV101+(1-EXP(-LN(2)/25))/(LN(2)/25)*Calculateur!AQ102*Calculateur!AS102*VLOOKUP('Données projet'!$B$10,Paramètres!$A$1:$I$89,3,0)*0.475*44/12</f>
        <v>2.6118250168925181</v>
      </c>
      <c r="AW102" s="21">
        <f>EXP(-LN(2)/2)*AW101+(1-EXP(-LN(2)/2))/(LN(2)/2)*AQ102*AT102*VLOOKUP('Données projet'!$B$10,Paramètres!$A$1:$I$89,3,0)*0.475*44/12</f>
        <v>1.1429865919261338E-9</v>
      </c>
      <c r="AX102" s="21">
        <f t="shared" si="60"/>
        <v>3.3954364744316043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-4.5474735088646412E-13</v>
      </c>
      <c r="BE102" s="13">
        <f>BD102*VLOOKUP('Données projet'!$B$11,Paramètres!$A$1:$I$89,3,0)*VLOOKUP('Données projet'!$B$11,Paramètres!$A$1:$I$89,5,0)</f>
        <v>-2.7193891583010558E-13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246.59447135626942</v>
      </c>
      <c r="BJ102" s="59">
        <f t="shared" si="92"/>
        <v>262.00382544285367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1.8968607449386357</v>
      </c>
      <c r="BR102" s="21">
        <f>EXP(-LN(2)/2)*BR101+(1-EXP(-LN(2)/2))/(LN(2)/2)*BL102*BO102*VLOOKUP('Données projet'!$B$11,Paramètres!$A$1:$I$89,3,0)*0.475*44/12</f>
        <v>9.7667747642806219E-10</v>
      </c>
      <c r="BS102" s="22">
        <f t="shared" si="63"/>
        <v>1.8968607459153131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3.7</v>
      </c>
      <c r="BY102" s="12">
        <f>IF('Données projet'!$A$114&gt;35,BY101+BX102-CG101,IF(A102&lt;'Données projet'!$A$114,$BV$205^A102,IF(A102='Données projet'!$A$114,'Données projet'!$B$114,BY101+BX102-CG101)))</f>
        <v>226.30000000000007</v>
      </c>
      <c r="BZ102" s="13">
        <f>BY102*VLOOKUP('Données projet'!$B$12,Paramètres!$A$1:$I$89,3,0)*VLOOKUP('Données projet'!$B$12,Paramètres!$A$1:$I$89,5,0)</f>
        <v>204.75624000000005</v>
      </c>
      <c r="CA102" s="13">
        <f t="shared" si="93"/>
        <v>50.788011231821393</v>
      </c>
      <c r="CB102" s="20">
        <f t="shared" si="64"/>
        <v>445.0729042287557</v>
      </c>
      <c r="CC102" s="59">
        <f t="shared" si="65"/>
        <v>738.40623756208902</v>
      </c>
      <c r="CD102" s="59">
        <f ca="1">AVERAGE(OFFSET($CC$3,0,0,'Données projet'!$E$12+1,1))-AVERAGE(OFFSET($H$3,0,0,'Données projet'!$E$12+1,1))</f>
        <v>169.62156467157178</v>
      </c>
      <c r="CE102" s="59">
        <f t="shared" si="94"/>
        <v>85.631326020763254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4.6111381379887463E-14</v>
      </c>
      <c r="CV102" s="13">
        <f t="shared" si="95"/>
        <v>7.5804141040779151E-13</v>
      </c>
      <c r="CW102" s="20">
        <f t="shared" si="67"/>
        <v>1.4005661123635408E-12</v>
      </c>
      <c r="CX102" s="59">
        <f t="shared" si="68"/>
        <v>293.33333333333474</v>
      </c>
      <c r="CY102" s="59">
        <f ca="1">AVERAGE(OFFSET($CX$3,0,0,'Données projet'!$E$13+1,1))-AVERAGE(OFFSET($H$3,0,0,'Données projet'!$E$13+1,1))</f>
        <v>234.59657655504111</v>
      </c>
      <c r="CZ102" s="59">
        <f t="shared" si="96"/>
        <v>285.10598666479211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1.2557460116810211</v>
      </c>
      <c r="DH102" s="21">
        <f>EXP(-LN(2)/2)*DH101+(1-EXP(-LN(2)/2))/(LN(2)/2)*DB102*DE102*VLOOKUP('Données projet'!$B$13,Paramètres!$A$1:$I$89,3,0)*0.475*44/12</f>
        <v>4.516203299190044E-10</v>
      </c>
      <c r="DI102" s="22">
        <f t="shared" si="69"/>
        <v>1.2557460121326414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3.7</v>
      </c>
      <c r="DO102" s="12">
        <f>IF('Données projet'!$A$166&gt;35,DO101+DN102-DW101,IF(A102&lt;'Données projet'!$A$166,$DL$205^A102,IF(A102='Données projet'!$A$166,'Données projet'!$B$166,DO101+DN102-DW101)))</f>
        <v>226.30000000000007</v>
      </c>
      <c r="DP102" s="17">
        <f>DO102*VLOOKUP('Données projet'!$B$14,Paramètres!$A$1:$I$89,3,0)*VLOOKUP('Données projet'!$B$14,Paramètres!$A$1:$I$89,5,0)</f>
        <v>218.87736000000007</v>
      </c>
      <c r="DQ102" s="13">
        <f t="shared" si="97"/>
        <v>53.870812859892553</v>
      </c>
      <c r="DR102" s="20">
        <f t="shared" si="70"/>
        <v>475.03640106431294</v>
      </c>
      <c r="DS102" s="59">
        <f t="shared" si="71"/>
        <v>768.3697343976462</v>
      </c>
      <c r="DT102" s="59">
        <f ca="1">AVERAGE(OFFSET($DS$3,0,0,'Données projet'!$E$14+1,1))-AVERAGE(OFFSET($H$3,0,0,'Données projet'!$E$14+1,1))</f>
        <v>186.90852124957956</v>
      </c>
      <c r="DU102" s="59">
        <f t="shared" si="98"/>
        <v>93.013797128776446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3.7</v>
      </c>
      <c r="EJ102" s="12">
        <f>IF('Données projet'!$A$192&gt;35,EJ101+EI102-ER101,IF(A102&lt;'Données projet'!$A$192,$EG$205^A102,IF(A102='Données projet'!$A$192,'Données projet'!$B$192,EJ101+EI102-ER101)))</f>
        <v>226.30000000000007</v>
      </c>
      <c r="EK102" s="17">
        <f>EJ102*VLOOKUP('Données projet'!$B$15,Paramètres!$A$1:$I$89,3,0)*VLOOKUP('Données projet'!$B$15,Paramètres!$A$1:$I$89,5,0)</f>
        <v>243.58932000000007</v>
      </c>
      <c r="EL102" s="13">
        <f t="shared" si="99"/>
        <v>59.211121694234393</v>
      </c>
      <c r="EM102" s="20">
        <f t="shared" si="73"/>
        <v>527.37743595079166</v>
      </c>
      <c r="EN102" s="59">
        <f t="shared" si="74"/>
        <v>820.71076928412504</v>
      </c>
      <c r="EO102" s="59">
        <f ca="1">AVERAGE(OFFSET($EN$3,0,0,'Données projet'!$E$15+1,1))-AVERAGE(OFFSET($H$3,0,0,'Données projet'!$E$15+1,1))</f>
        <v>217.10418688911096</v>
      </c>
      <c r="EP102" s="59">
        <f t="shared" si="100"/>
        <v>105.90631421515786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145.19188637714888</v>
      </c>
      <c r="T103" s="59">
        <f t="shared" si="88"/>
        <v>169.74069292032493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0.5530746707822185</v>
      </c>
      <c r="AA103" s="21">
        <f>EXP(-LN(2)/25)*AA102+(1-EXP(-LN(2)/25))/(LN(2)/25)*Calculateur!V103*Calculateur!X103*VLOOKUP('Données projet'!$B$9,Paramètres!$A$1:$I$89,3,0)*0.475*44/12</f>
        <v>1.2428326348604497</v>
      </c>
      <c r="AB103" s="21">
        <f>EXP(-LN(2)/2)*AB102+(1-EXP(-LN(2)/2))/(LN(2)/2)*V103*Y103*VLOOKUP('Données projet'!$B$9,Paramètres!$A$1:$I$89,3,0)*0.475*44/12</f>
        <v>1.1774020417002438E-10</v>
      </c>
      <c r="AC103" s="22">
        <f t="shared" si="57"/>
        <v>1.7959073057604085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-2.8421709430404007E-14</v>
      </c>
      <c r="AJ103" s="13">
        <f>AI103*VLOOKUP('Données projet'!$B$10,Paramètres!$A$1:$I$89,3,0)*VLOOKUP('Données projet'!$B$10,Paramètres!$A$1:$I$89,5,0)</f>
        <v>-2.4829205358400945E-14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254.24072778190163</v>
      </c>
      <c r="AO103" s="59">
        <f t="shared" si="90"/>
        <v>356.78706780980383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0.76824531369196636</v>
      </c>
      <c r="AV103" s="21">
        <f>EXP(-LN(2)/25)*AV102+(1-EXP(-LN(2)/25))/(LN(2)/25)*Calculateur!AQ103*Calculateur!AS103*VLOOKUP('Données projet'!$B$10,Paramètres!$A$1:$I$89,3,0)*0.475*44/12</f>
        <v>2.5404045244556839</v>
      </c>
      <c r="AW103" s="21">
        <f>EXP(-LN(2)/2)*AW102+(1-EXP(-LN(2)/2))/(LN(2)/2)*AQ103*AT103*VLOOKUP('Données projet'!$B$10,Paramètres!$A$1:$I$89,3,0)*0.475*44/12</f>
        <v>8.082135699562704E-10</v>
      </c>
      <c r="AX103" s="21">
        <f t="shared" si="60"/>
        <v>3.3086498389558638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-4.5474735088646412E-13</v>
      </c>
      <c r="BE103" s="13">
        <f>BD103*VLOOKUP('Données projet'!$B$11,Paramètres!$A$1:$I$89,3,0)*VLOOKUP('Données projet'!$B$11,Paramètres!$A$1:$I$89,5,0)</f>
        <v>-2.7193891583010558E-13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246.59447135626942</v>
      </c>
      <c r="BJ103" s="59">
        <f t="shared" si="92"/>
        <v>262.00382544285367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1.8449909881167175</v>
      </c>
      <c r="BR103" s="21">
        <f>EXP(-LN(2)/2)*BR102+(1-EXP(-LN(2)/2))/(LN(2)/2)*BL103*BO103*VLOOKUP('Données projet'!$B$11,Paramètres!$A$1:$I$89,3,0)*0.475*44/12</f>
        <v>6.9061526661444722E-10</v>
      </c>
      <c r="BS103" s="22">
        <f t="shared" si="63"/>
        <v>1.8449909888073328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230</v>
      </c>
      <c r="BW103" s="12">
        <f>VLOOKUP(A103,'Données projet'!$A$113:$I$133,9,0)</f>
        <v>3.7</v>
      </c>
      <c r="BX103" s="12">
        <f t="array" ref="BX103">INDEX(BW:BW,MIN(IF(ISNUMBER(BW103:BW299),ROW(BW103:BW299),"")))</f>
        <v>3.7</v>
      </c>
      <c r="BY103" s="12">
        <f>IF('Données projet'!$A$114&gt;35,BY102+BX103-CG102,IF(A103&lt;'Données projet'!$A$114,$BV$205^A103,IF(A103='Données projet'!$A$114,'Données projet'!$B$114,BY102+BX103-CG102)))</f>
        <v>230.00000000000006</v>
      </c>
      <c r="BZ103" s="13">
        <f>BY103*VLOOKUP('Données projet'!$B$12,Paramètres!$A$1:$I$89,3,0)*VLOOKUP('Données projet'!$B$12,Paramètres!$A$1:$I$89,5,0)</f>
        <v>208.10400000000007</v>
      </c>
      <c r="CA103" s="13">
        <f t="shared" si="93"/>
        <v>51.52104354893045</v>
      </c>
      <c r="CB103" s="20">
        <f t="shared" si="64"/>
        <v>452.18028418105399</v>
      </c>
      <c r="CC103" s="59">
        <f t="shared" si="65"/>
        <v>745.51361751438731</v>
      </c>
      <c r="CD103" s="59">
        <f ca="1">AVERAGE(OFFSET($CC$3,0,0,'Données projet'!$E$12+1,1))-AVERAGE(OFFSET($H$3,0,0,'Données projet'!$E$12+1,1))</f>
        <v>169.62156467157178</v>
      </c>
      <c r="CE103" s="59">
        <f t="shared" si="94"/>
        <v>85.631326020763254</v>
      </c>
      <c r="CF103" s="15">
        <f>IF(ISNA(VLOOKUP(A103,'Données projet'!$A$113:$I$133,3,0)),0,VLOOKUP(A103,'Données projet'!$A$113:$I$133,3,0))</f>
        <v>7</v>
      </c>
      <c r="CG103" s="15">
        <f>IF(ISNA(VLOOKUP(A103,'Données projet'!$A$113:$I$133,4,0)),0,VLOOKUP(A103,'Données projet'!$A$113:$I$133,4,0))</f>
        <v>28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4.6111381379887463E-14</v>
      </c>
      <c r="CV103" s="13">
        <f t="shared" si="95"/>
        <v>7.5804141040779151E-13</v>
      </c>
      <c r="CW103" s="20">
        <f t="shared" si="67"/>
        <v>1.4005661123635408E-12</v>
      </c>
      <c r="CX103" s="59">
        <f t="shared" si="68"/>
        <v>293.33333333333474</v>
      </c>
      <c r="CY103" s="59">
        <f ca="1">AVERAGE(OFFSET($CX$3,0,0,'Données projet'!$E$13+1,1))-AVERAGE(OFFSET($H$3,0,0,'Données projet'!$E$13+1,1))</f>
        <v>234.59657655504111</v>
      </c>
      <c r="CZ103" s="59">
        <f t="shared" si="96"/>
        <v>285.10598666479211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1.2214075709547909</v>
      </c>
      <c r="DH103" s="21">
        <f>EXP(-LN(2)/2)*DH102+(1-EXP(-LN(2)/2))/(LN(2)/2)*DB103*DE103*VLOOKUP('Données projet'!$B$13,Paramètres!$A$1:$I$89,3,0)*0.475*44/12</f>
        <v>3.1934379780743384E-10</v>
      </c>
      <c r="DI103" s="22">
        <f t="shared" si="69"/>
        <v>1.2214075712741348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230</v>
      </c>
      <c r="DM103" s="12">
        <f>VLOOKUP(A103,'Données projet'!$A$165:$I$185,9,0)</f>
        <v>3.7</v>
      </c>
      <c r="DN103" s="12">
        <f t="array" ref="DN103">INDEX(DM:DM,MIN(IF(ISNUMBER(DM103:DM299),ROW(DM103:DM299),"")))</f>
        <v>3.7</v>
      </c>
      <c r="DO103" s="12">
        <f>IF('Données projet'!$A$166&gt;35,DO102+DN103-DW102,IF(A103&lt;'Données projet'!$A$166,$DL$205^A103,IF(A103='Données projet'!$A$166,'Données projet'!$B$166,DO102+DN103-DW102)))</f>
        <v>230.00000000000006</v>
      </c>
      <c r="DP103" s="17">
        <f>DO103*VLOOKUP('Données projet'!$B$14,Paramètres!$A$1:$I$89,3,0)*VLOOKUP('Données projet'!$B$14,Paramètres!$A$1:$I$89,5,0)</f>
        <v>222.45600000000005</v>
      </c>
      <c r="DQ103" s="13">
        <f t="shared" si="97"/>
        <v>54.648339796219865</v>
      </c>
      <c r="DR103" s="20">
        <f t="shared" si="70"/>
        <v>482.62339181174957</v>
      </c>
      <c r="DS103" s="59">
        <f t="shared" si="71"/>
        <v>775.95672514508283</v>
      </c>
      <c r="DT103" s="59">
        <f ca="1">AVERAGE(OFFSET($DS$3,0,0,'Données projet'!$E$14+1,1))-AVERAGE(OFFSET($H$3,0,0,'Données projet'!$E$14+1,1))</f>
        <v>186.90852124957956</v>
      </c>
      <c r="DU103" s="59">
        <f t="shared" si="98"/>
        <v>93.013797128776446</v>
      </c>
      <c r="DV103" s="15">
        <f>IF(ISNA(VLOOKUP(A103,'Données projet'!$A$165:$I$185,3,0)),0,VLOOKUP(A103,'Données projet'!$A$165:$I$185,3,0))</f>
        <v>7</v>
      </c>
      <c r="DW103" s="15">
        <f>IF(ISNA(VLOOKUP(A103,'Données projet'!$A$165:$I$185,4,0)),0,VLOOKUP(A103,'Données projet'!$A$165:$I$185,4,0))</f>
        <v>28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230</v>
      </c>
      <c r="EH103" s="12">
        <f>VLOOKUP(A103,'Données projet'!$A$191:$I$211,9,0)</f>
        <v>3.7</v>
      </c>
      <c r="EI103" s="12">
        <f t="array" ref="EI103">INDEX(EH:EH,MIN(IF(ISNUMBER(EH103:EH299),ROW(EH103:EH299),"")))</f>
        <v>3.7</v>
      </c>
      <c r="EJ103" s="12">
        <f>IF('Données projet'!$A$192&gt;35,EJ102+EI103-ER102,IF(A103&lt;'Données projet'!$A$192,$EG$205^A103,IF(A103='Données projet'!$A$192,'Données projet'!$B$192,EJ102+EI103-ER102)))</f>
        <v>230.00000000000006</v>
      </c>
      <c r="EK103" s="17">
        <f>EJ103*VLOOKUP('Données projet'!$B$15,Paramètres!$A$1:$I$89,3,0)*VLOOKUP('Données projet'!$B$15,Paramètres!$A$1:$I$89,5,0)</f>
        <v>247.57200000000003</v>
      </c>
      <c r="EL103" s="13">
        <f t="shared" si="99"/>
        <v>60.065726249156576</v>
      </c>
      <c r="EM103" s="20">
        <f t="shared" si="73"/>
        <v>535.80237321728112</v>
      </c>
      <c r="EN103" s="59">
        <f t="shared" si="74"/>
        <v>829.13570655061449</v>
      </c>
      <c r="EO103" s="59">
        <f ca="1">AVERAGE(OFFSET($EN$3,0,0,'Données projet'!$E$15+1,1))-AVERAGE(OFFSET($H$3,0,0,'Données projet'!$E$15+1,1))</f>
        <v>217.10418688911096</v>
      </c>
      <c r="EP103" s="59">
        <f t="shared" si="100"/>
        <v>105.90631421515786</v>
      </c>
      <c r="EQ103" s="15">
        <f>IF(ISNA(VLOOKUP(A103,'Données projet'!$A$191:$I$211,3,0)),0,VLOOKUP(A103,'Données projet'!$A$191:$I$211,3,0))</f>
        <v>7</v>
      </c>
      <c r="ER103" s="15">
        <f>IF(ISNA(VLOOKUP(A103,'Données projet'!$A$191:$I$211,4,0)),0,VLOOKUP(A103,'Données projet'!$A$191:$I$211,4,0))</f>
        <v>28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145.19188637714888</v>
      </c>
      <c r="T104" s="59">
        <f t="shared" si="88"/>
        <v>169.74069292032493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0.54222921383041855</v>
      </c>
      <c r="AA104" s="21">
        <f>EXP(-LN(2)/25)*AA103+(1-EXP(-LN(2)/25))/(LN(2)/25)*Calculateur!V104*Calculateur!X104*VLOOKUP('Données projet'!$B$9,Paramètres!$A$1:$I$89,3,0)*0.475*44/12</f>
        <v>1.2088473111024629</v>
      </c>
      <c r="AB104" s="21">
        <f>EXP(-LN(2)/2)*AB103+(1-EXP(-LN(2)/2))/(LN(2)/2)*V104*Y104*VLOOKUP('Données projet'!$B$9,Paramètres!$A$1:$I$89,3,0)*0.475*44/12</f>
        <v>8.3254896786912858E-11</v>
      </c>
      <c r="AC104" s="22">
        <f t="shared" si="57"/>
        <v>1.7510765250161364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-2.8421709430404007E-14</v>
      </c>
      <c r="AJ104" s="13">
        <f>AI104*VLOOKUP('Données projet'!$B$10,Paramètres!$A$1:$I$89,3,0)*VLOOKUP('Données projet'!$B$10,Paramètres!$A$1:$I$89,5,0)</f>
        <v>-2.4829205358400945E-14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254.24072778190163</v>
      </c>
      <c r="AO104" s="59">
        <f t="shared" si="90"/>
        <v>356.78706780980383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0.75318049167383949</v>
      </c>
      <c r="AV104" s="21">
        <f>EXP(-LN(2)/25)*AV103+(1-EXP(-LN(2)/25))/(LN(2)/25)*Calculateur!AQ104*Calculateur!AS104*VLOOKUP('Données projet'!$B$10,Paramètres!$A$1:$I$89,3,0)*0.475*44/12</f>
        <v>2.4709370291403756</v>
      </c>
      <c r="AW104" s="21">
        <f>EXP(-LN(2)/2)*AW103+(1-EXP(-LN(2)/2))/(LN(2)/2)*AQ104*AT104*VLOOKUP('Données projet'!$B$10,Paramètres!$A$1:$I$89,3,0)*0.475*44/12</f>
        <v>5.714932959630669E-10</v>
      </c>
      <c r="AX104" s="21">
        <f t="shared" si="60"/>
        <v>3.2241175213857081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-4.5474735088646412E-13</v>
      </c>
      <c r="BE104" s="13">
        <f>BD104*VLOOKUP('Données projet'!$B$11,Paramètres!$A$1:$I$89,3,0)*VLOOKUP('Données projet'!$B$11,Paramètres!$A$1:$I$89,5,0)</f>
        <v>-2.7193891583010558E-13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246.59447135626942</v>
      </c>
      <c r="BJ104" s="59">
        <f t="shared" si="92"/>
        <v>262.00382544285367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1.7945396125228066</v>
      </c>
      <c r="BR104" s="21">
        <f>EXP(-LN(2)/2)*BR103+(1-EXP(-LN(2)/2))/(LN(2)/2)*BL104*BO104*VLOOKUP('Données projet'!$B$11,Paramètres!$A$1:$I$89,3,0)*0.475*44/12</f>
        <v>4.883387382140311E-10</v>
      </c>
      <c r="BS104" s="22">
        <f t="shared" si="63"/>
        <v>1.7945396130111453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3.1</v>
      </c>
      <c r="BY104" s="12">
        <f>IF('Données projet'!$A$114&gt;35,BY103+BX104-CG103,IF(A104&lt;'Données projet'!$A$114,$BV$205^A104,IF(A104='Données projet'!$A$114,'Données projet'!$B$114,BY103+BX104-CG103)))</f>
        <v>205.10000000000005</v>
      </c>
      <c r="BZ104" s="13">
        <f>BY104*VLOOKUP('Données projet'!$B$12,Paramètres!$A$1:$I$89,3,0)*VLOOKUP('Données projet'!$B$12,Paramètres!$A$1:$I$89,5,0)</f>
        <v>185.57448000000005</v>
      </c>
      <c r="CA104" s="13">
        <f t="shared" si="93"/>
        <v>46.560195221199436</v>
      </c>
      <c r="CB104" s="20">
        <f t="shared" si="64"/>
        <v>404.30122601025573</v>
      </c>
      <c r="CC104" s="59">
        <f t="shared" si="65"/>
        <v>697.63455934358899</v>
      </c>
      <c r="CD104" s="59">
        <f ca="1">AVERAGE(OFFSET($CC$3,0,0,'Données projet'!$E$12+1,1))-AVERAGE(OFFSET($H$3,0,0,'Données projet'!$E$12+1,1))</f>
        <v>169.62156467157178</v>
      </c>
      <c r="CE104" s="59">
        <f t="shared" si="94"/>
        <v>85.631326020763254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4.6111381379887463E-14</v>
      </c>
      <c r="CV104" s="13">
        <f t="shared" si="95"/>
        <v>7.5804141040779151E-13</v>
      </c>
      <c r="CW104" s="20">
        <f t="shared" si="67"/>
        <v>1.4005661123635408E-12</v>
      </c>
      <c r="CX104" s="59">
        <f t="shared" si="68"/>
        <v>293.33333333333474</v>
      </c>
      <c r="CY104" s="59">
        <f ca="1">AVERAGE(OFFSET($CX$3,0,0,'Données projet'!$E$13+1,1))-AVERAGE(OFFSET($H$3,0,0,'Données projet'!$E$13+1,1))</f>
        <v>234.59657655504111</v>
      </c>
      <c r="CZ104" s="59">
        <f t="shared" si="96"/>
        <v>285.10598666479211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1.1880081166959995</v>
      </c>
      <c r="DH104" s="21">
        <f>EXP(-LN(2)/2)*DH103+(1-EXP(-LN(2)/2))/(LN(2)/2)*DB104*DE104*VLOOKUP('Données projet'!$B$13,Paramètres!$A$1:$I$89,3,0)*0.475*44/12</f>
        <v>2.258101649595022E-10</v>
      </c>
      <c r="DI104" s="22">
        <f t="shared" si="69"/>
        <v>1.1880081169218097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3.1</v>
      </c>
      <c r="DO104" s="12">
        <f>IF('Données projet'!$A$166&gt;35,DO103+DN104-DW103,IF(A104&lt;'Données projet'!$A$166,$DL$205^A104,IF(A104='Données projet'!$A$166,'Données projet'!$B$166,DO103+DN104-DW103)))</f>
        <v>205.10000000000005</v>
      </c>
      <c r="DP104" s="17">
        <f>DO104*VLOOKUP('Données projet'!$B$14,Paramètres!$A$1:$I$89,3,0)*VLOOKUP('Données projet'!$B$14,Paramètres!$A$1:$I$89,5,0)</f>
        <v>198.37272000000007</v>
      </c>
      <c r="DQ104" s="13">
        <f t="shared" si="97"/>
        <v>49.386370969173782</v>
      </c>
      <c r="DR104" s="20">
        <f t="shared" si="70"/>
        <v>431.51375010464443</v>
      </c>
      <c r="DS104" s="59">
        <f t="shared" si="71"/>
        <v>724.84708343797774</v>
      </c>
      <c r="DT104" s="59">
        <f ca="1">AVERAGE(OFFSET($DS$3,0,0,'Données projet'!$E$14+1,1))-AVERAGE(OFFSET($H$3,0,0,'Données projet'!$E$14+1,1))</f>
        <v>186.90852124957956</v>
      </c>
      <c r="DU104" s="59">
        <f t="shared" si="98"/>
        <v>93.013797128776446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3.1</v>
      </c>
      <c r="EJ104" s="12">
        <f>IF('Données projet'!$A$192&gt;35,EJ103+EI104-ER103,IF(A104&lt;'Données projet'!$A$192,$EG$205^A104,IF(A104='Données projet'!$A$192,'Données projet'!$B$192,EJ103+EI104-ER103)))</f>
        <v>205.10000000000005</v>
      </c>
      <c r="EK104" s="17">
        <f>EJ104*VLOOKUP('Données projet'!$B$15,Paramètres!$A$1:$I$89,3,0)*VLOOKUP('Données projet'!$B$15,Paramètres!$A$1:$I$89,5,0)</f>
        <v>220.76964000000007</v>
      </c>
      <c r="EL104" s="13">
        <f t="shared" si="99"/>
        <v>54.282129157725713</v>
      </c>
      <c r="EM104" s="20">
        <f t="shared" si="73"/>
        <v>479.04849794970573</v>
      </c>
      <c r="EN104" s="59">
        <f t="shared" si="74"/>
        <v>772.38183128303899</v>
      </c>
      <c r="EO104" s="59">
        <f ca="1">AVERAGE(OFFSET($EN$3,0,0,'Données projet'!$E$15+1,1))-AVERAGE(OFFSET($H$3,0,0,'Données projet'!$E$15+1,1))</f>
        <v>217.10418688911096</v>
      </c>
      <c r="EP104" s="59">
        <f t="shared" si="100"/>
        <v>105.90631421515786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145.19188637714888</v>
      </c>
      <c r="T105" s="59">
        <f t="shared" si="88"/>
        <v>169.74069292032493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0.53159642967436793</v>
      </c>
      <c r="AA105" s="21">
        <f>EXP(-LN(2)/25)*AA104+(1-EXP(-LN(2)/25))/(LN(2)/25)*Calculateur!V105*Calculateur!X105*VLOOKUP('Données projet'!$B$9,Paramètres!$A$1:$I$89,3,0)*0.475*44/12</f>
        <v>1.1757913178098489</v>
      </c>
      <c r="AB105" s="21">
        <f>EXP(-LN(2)/2)*AB104+(1-EXP(-LN(2)/2))/(LN(2)/2)*V105*Y105*VLOOKUP('Données projet'!$B$9,Paramètres!$A$1:$I$89,3,0)*0.475*44/12</f>
        <v>5.8870102085012189E-11</v>
      </c>
      <c r="AC105" s="22">
        <f t="shared" si="57"/>
        <v>1.707387747543087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-2.8421709430404007E-14</v>
      </c>
      <c r="AJ105" s="13">
        <f>AI105*VLOOKUP('Données projet'!$B$10,Paramètres!$A$1:$I$89,3,0)*VLOOKUP('Données projet'!$B$10,Paramètres!$A$1:$I$89,5,0)</f>
        <v>-2.4829205358400945E-14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254.24072778190163</v>
      </c>
      <c r="AO105" s="59">
        <f t="shared" si="90"/>
        <v>356.78706780980383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0.73841108162685398</v>
      </c>
      <c r="AV105" s="21">
        <f>EXP(-LN(2)/25)*AV104+(1-EXP(-LN(2)/25))/(LN(2)/25)*Calculateur!AQ105*Calculateur!AS105*VLOOKUP('Données projet'!$B$10,Paramètres!$A$1:$I$89,3,0)*0.475*44/12</f>
        <v>2.4033691261376009</v>
      </c>
      <c r="AW105" s="21">
        <f>EXP(-LN(2)/2)*AW104+(1-EXP(-LN(2)/2))/(LN(2)/2)*AQ105*AT105*VLOOKUP('Données projet'!$B$10,Paramètres!$A$1:$I$89,3,0)*0.475*44/12</f>
        <v>4.041067849781352E-10</v>
      </c>
      <c r="AX105" s="21">
        <f t="shared" si="60"/>
        <v>3.1417802081685617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-4.5474735088646412E-13</v>
      </c>
      <c r="BE105" s="13">
        <f>BD105*VLOOKUP('Données projet'!$B$11,Paramètres!$A$1:$I$89,3,0)*VLOOKUP('Données projet'!$B$11,Paramètres!$A$1:$I$89,5,0)</f>
        <v>-2.7193891583010558E-13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246.59447135626942</v>
      </c>
      <c r="BJ105" s="59">
        <f t="shared" si="92"/>
        <v>262.00382544285367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1.7454678324476336</v>
      </c>
      <c r="BR105" s="21">
        <f>EXP(-LN(2)/2)*BR104+(1-EXP(-LN(2)/2))/(LN(2)/2)*BL105*BO105*VLOOKUP('Données projet'!$B$11,Paramètres!$A$1:$I$89,3,0)*0.475*44/12</f>
        <v>3.4530763330722361E-10</v>
      </c>
      <c r="BS105" s="22">
        <f t="shared" si="63"/>
        <v>1.7454678327929412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3.1</v>
      </c>
      <c r="BY105" s="12">
        <f>IF('Données projet'!$A$114&gt;35,BY104+BX105-CG104,IF(A105&lt;'Données projet'!$A$114,$BV$205^A105,IF(A105='Données projet'!$A$114,'Données projet'!$B$114,BY104+BX105-CG104)))</f>
        <v>208.20000000000005</v>
      </c>
      <c r="BZ105" s="13">
        <f>BY105*VLOOKUP('Données projet'!$B$12,Paramètres!$A$1:$I$89,3,0)*VLOOKUP('Données projet'!$B$12,Paramètres!$A$1:$I$89,5,0)</f>
        <v>188.37936000000002</v>
      </c>
      <c r="CA105" s="13">
        <f t="shared" si="93"/>
        <v>47.181473920005914</v>
      </c>
      <c r="CB105" s="20">
        <f t="shared" si="64"/>
        <v>410.26845241067696</v>
      </c>
      <c r="CC105" s="59">
        <f t="shared" si="65"/>
        <v>703.60178574401027</v>
      </c>
      <c r="CD105" s="59">
        <f ca="1">AVERAGE(OFFSET($CC$3,0,0,'Données projet'!$E$12+1,1))-AVERAGE(OFFSET($H$3,0,0,'Données projet'!$E$12+1,1))</f>
        <v>169.62156467157178</v>
      </c>
      <c r="CE105" s="59">
        <f t="shared" si="94"/>
        <v>85.631326020763254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4.6111381379887463E-14</v>
      </c>
      <c r="CV105" s="13">
        <f t="shared" si="95"/>
        <v>7.5804141040779151E-13</v>
      </c>
      <c r="CW105" s="20">
        <f t="shared" si="67"/>
        <v>1.4005661123635408E-12</v>
      </c>
      <c r="CX105" s="59">
        <f t="shared" si="68"/>
        <v>293.33333333333474</v>
      </c>
      <c r="CY105" s="59">
        <f ca="1">AVERAGE(OFFSET($CX$3,0,0,'Données projet'!$E$13+1,1))-AVERAGE(OFFSET($H$3,0,0,'Données projet'!$E$13+1,1))</f>
        <v>234.59657655504111</v>
      </c>
      <c r="CZ105" s="59">
        <f t="shared" si="96"/>
        <v>285.10598666479211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1.1555219722703158</v>
      </c>
      <c r="DH105" s="21">
        <f>EXP(-LN(2)/2)*DH104+(1-EXP(-LN(2)/2))/(LN(2)/2)*DB105*DE105*VLOOKUP('Données projet'!$B$13,Paramètres!$A$1:$I$89,3,0)*0.475*44/12</f>
        <v>1.5967189890371692E-10</v>
      </c>
      <c r="DI105" s="22">
        <f t="shared" si="69"/>
        <v>1.1555219724299877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3.1</v>
      </c>
      <c r="DO105" s="12">
        <f>IF('Données projet'!$A$166&gt;35,DO104+DN105-DW104,IF(A105&lt;'Données projet'!$A$166,$DL$205^A105,IF(A105='Données projet'!$A$166,'Données projet'!$B$166,DO104+DN105-DW104)))</f>
        <v>208.20000000000005</v>
      </c>
      <c r="DP105" s="17">
        <f>DO105*VLOOKUP('Données projet'!$B$14,Paramètres!$A$1:$I$89,3,0)*VLOOKUP('Données projet'!$B$14,Paramètres!$A$1:$I$89,5,0)</f>
        <v>201.37104000000005</v>
      </c>
      <c r="DQ105" s="13">
        <f t="shared" si="97"/>
        <v>50.045360910017799</v>
      </c>
      <c r="DR105" s="20">
        <f t="shared" si="70"/>
        <v>437.88356491828108</v>
      </c>
      <c r="DS105" s="59">
        <f t="shared" si="71"/>
        <v>731.21689825161434</v>
      </c>
      <c r="DT105" s="59">
        <f ca="1">AVERAGE(OFFSET($DS$3,0,0,'Données projet'!$E$14+1,1))-AVERAGE(OFFSET($H$3,0,0,'Données projet'!$E$14+1,1))</f>
        <v>186.90852124957956</v>
      </c>
      <c r="DU105" s="59">
        <f t="shared" si="98"/>
        <v>93.013797128776446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3.1</v>
      </c>
      <c r="EJ105" s="12">
        <f>IF('Données projet'!$A$192&gt;35,EJ104+EI105-ER104,IF(A105&lt;'Données projet'!$A$192,$EG$205^A105,IF(A105='Données projet'!$A$192,'Données projet'!$B$192,EJ104+EI105-ER104)))</f>
        <v>208.20000000000005</v>
      </c>
      <c r="EK105" s="17">
        <f>EJ105*VLOOKUP('Données projet'!$B$15,Paramètres!$A$1:$I$89,3,0)*VLOOKUP('Données projet'!$B$15,Paramètres!$A$1:$I$89,5,0)</f>
        <v>224.10648000000003</v>
      </c>
      <c r="EL105" s="13">
        <f t="shared" si="99"/>
        <v>55.006445935422541</v>
      </c>
      <c r="EM105" s="20">
        <f t="shared" si="73"/>
        <v>486.12167933752767</v>
      </c>
      <c r="EN105" s="59">
        <f t="shared" si="74"/>
        <v>779.45501267086092</v>
      </c>
      <c r="EO105" s="59">
        <f ca="1">AVERAGE(OFFSET($EN$3,0,0,'Données projet'!$E$15+1,1))-AVERAGE(OFFSET($H$3,0,0,'Données projet'!$E$15+1,1))</f>
        <v>217.10418688911096</v>
      </c>
      <c r="EP105" s="59">
        <f t="shared" si="100"/>
        <v>105.90631421515786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145.19188637714888</v>
      </c>
      <c r="T106" s="59">
        <f t="shared" si="88"/>
        <v>169.74069292032493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0.52117214793025946</v>
      </c>
      <c r="AA106" s="21">
        <f>EXP(-LN(2)/25)*AA105+(1-EXP(-LN(2)/25))/(LN(2)/25)*Calculateur!V106*Calculateur!X106*VLOOKUP('Données projet'!$B$9,Paramètres!$A$1:$I$89,3,0)*0.475*44/12</f>
        <v>1.1436392423921604</v>
      </c>
      <c r="AB106" s="21">
        <f>EXP(-LN(2)/2)*AB105+(1-EXP(-LN(2)/2))/(LN(2)/2)*V106*Y106*VLOOKUP('Données projet'!$B$9,Paramètres!$A$1:$I$89,3,0)*0.475*44/12</f>
        <v>4.1627448393456429E-11</v>
      </c>
      <c r="AC106" s="22">
        <f t="shared" si="57"/>
        <v>1.6648113903640473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-2.8421709430404007E-14</v>
      </c>
      <c r="AJ106" s="13">
        <f>AI106*VLOOKUP('Données projet'!$B$10,Paramètres!$A$1:$I$89,3,0)*VLOOKUP('Données projet'!$B$10,Paramètres!$A$1:$I$89,5,0)</f>
        <v>-2.4829205358400945E-14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254.24072778190163</v>
      </c>
      <c r="AO106" s="59">
        <f t="shared" si="90"/>
        <v>356.78706780980383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0.72393129070243922</v>
      </c>
      <c r="AV106" s="21">
        <f>EXP(-LN(2)/25)*AV105+(1-EXP(-LN(2)/25))/(LN(2)/25)*Calculateur!AQ106*Calculateur!AS106*VLOOKUP('Données projet'!$B$10,Paramètres!$A$1:$I$89,3,0)*0.475*44/12</f>
        <v>2.3376488709956789</v>
      </c>
      <c r="AW106" s="21">
        <f>EXP(-LN(2)/2)*AW105+(1-EXP(-LN(2)/2))/(LN(2)/2)*AQ106*AT106*VLOOKUP('Données projet'!$B$10,Paramètres!$A$1:$I$89,3,0)*0.475*44/12</f>
        <v>2.8574664798153345E-10</v>
      </c>
      <c r="AX106" s="21">
        <f t="shared" si="60"/>
        <v>3.0615801619838647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-4.5474735088646412E-13</v>
      </c>
      <c r="BE106" s="13">
        <f>BD106*VLOOKUP('Données projet'!$B$11,Paramètres!$A$1:$I$89,3,0)*VLOOKUP('Données projet'!$B$11,Paramètres!$A$1:$I$89,5,0)</f>
        <v>-2.7193891583010558E-13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246.59447135626942</v>
      </c>
      <c r="BJ106" s="59">
        <f t="shared" si="92"/>
        <v>262.00382544285367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1.6977379227791891</v>
      </c>
      <c r="BR106" s="21">
        <f>EXP(-LN(2)/2)*BR105+(1-EXP(-LN(2)/2))/(LN(2)/2)*BL106*BO106*VLOOKUP('Données projet'!$B$11,Paramètres!$A$1:$I$89,3,0)*0.475*44/12</f>
        <v>2.4416936910701555E-10</v>
      </c>
      <c r="BS106" s="22">
        <f t="shared" si="63"/>
        <v>1.6977379230233585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3.1</v>
      </c>
      <c r="BY106" s="12">
        <f>IF('Données projet'!$A$114&gt;35,BY105+BX106-CG105,IF(A106&lt;'Données projet'!$A$114,$BV$205^A106,IF(A106='Données projet'!$A$114,'Données projet'!$B$114,BY105+BX106-CG105)))</f>
        <v>211.30000000000004</v>
      </c>
      <c r="BZ106" s="13">
        <f>BY106*VLOOKUP('Données projet'!$B$12,Paramètres!$A$1:$I$89,3,0)*VLOOKUP('Données projet'!$B$12,Paramètres!$A$1:$I$89,5,0)</f>
        <v>191.18424000000005</v>
      </c>
      <c r="CA106" s="13">
        <f t="shared" si="93"/>
        <v>47.801676745616696</v>
      </c>
      <c r="CB106" s="20">
        <f t="shared" si="64"/>
        <v>416.23380499861582</v>
      </c>
      <c r="CC106" s="59">
        <f t="shared" si="65"/>
        <v>709.56713833194908</v>
      </c>
      <c r="CD106" s="59">
        <f ca="1">AVERAGE(OFFSET($CC$3,0,0,'Données projet'!$E$12+1,1))-AVERAGE(OFFSET($H$3,0,0,'Données projet'!$E$12+1,1))</f>
        <v>169.62156467157178</v>
      </c>
      <c r="CE106" s="59">
        <f t="shared" si="94"/>
        <v>85.631326020763254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4.6111381379887463E-14</v>
      </c>
      <c r="CV106" s="13">
        <f t="shared" si="95"/>
        <v>7.5804141040779151E-13</v>
      </c>
      <c r="CW106" s="20">
        <f t="shared" si="67"/>
        <v>1.4005661123635408E-12</v>
      </c>
      <c r="CX106" s="59">
        <f t="shared" si="68"/>
        <v>293.33333333333474</v>
      </c>
      <c r="CY106" s="59">
        <f ca="1">AVERAGE(OFFSET($CX$3,0,0,'Données projet'!$E$13+1,1))-AVERAGE(OFFSET($H$3,0,0,'Données projet'!$E$13+1,1))</f>
        <v>234.59657655504111</v>
      </c>
      <c r="CZ106" s="59">
        <f t="shared" si="96"/>
        <v>285.10598666479211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1.1239241631723245</v>
      </c>
      <c r="DH106" s="21">
        <f>EXP(-LN(2)/2)*DH105+(1-EXP(-LN(2)/2))/(LN(2)/2)*DB106*DE106*VLOOKUP('Données projet'!$B$13,Paramètres!$A$1:$I$89,3,0)*0.475*44/12</f>
        <v>1.129050824797511E-10</v>
      </c>
      <c r="DI106" s="22">
        <f t="shared" si="69"/>
        <v>1.1239241632852295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3.1</v>
      </c>
      <c r="DO106" s="12">
        <f>IF('Données projet'!$A$166&gt;35,DO105+DN106-DW105,IF(A106&lt;'Données projet'!$A$166,$DL$205^A106,IF(A106='Données projet'!$A$166,'Données projet'!$B$166,DO105+DN106-DW105)))</f>
        <v>211.30000000000004</v>
      </c>
      <c r="DP106" s="17">
        <f>DO106*VLOOKUP('Données projet'!$B$14,Paramètres!$A$1:$I$89,3,0)*VLOOKUP('Données projet'!$B$14,Paramètres!$A$1:$I$89,5,0)</f>
        <v>204.36936000000006</v>
      </c>
      <c r="DQ106" s="13">
        <f t="shared" si="97"/>
        <v>50.70320967281247</v>
      </c>
      <c r="DR106" s="20">
        <f t="shared" si="70"/>
        <v>444.25139218014851</v>
      </c>
      <c r="DS106" s="59">
        <f t="shared" si="71"/>
        <v>737.58472551348177</v>
      </c>
      <c r="DT106" s="59">
        <f ca="1">AVERAGE(OFFSET($DS$3,0,0,'Données projet'!$E$14+1,1))-AVERAGE(OFFSET($H$3,0,0,'Données projet'!$E$14+1,1))</f>
        <v>186.90852124957956</v>
      </c>
      <c r="DU106" s="59">
        <f t="shared" si="98"/>
        <v>93.013797128776446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3.1</v>
      </c>
      <c r="EJ106" s="12">
        <f>IF('Données projet'!$A$192&gt;35,EJ105+EI106-ER105,IF(A106&lt;'Données projet'!$A$192,$EG$205^A106,IF(A106='Données projet'!$A$192,'Données projet'!$B$192,EJ105+EI106-ER105)))</f>
        <v>211.30000000000004</v>
      </c>
      <c r="EK106" s="17">
        <f>EJ106*VLOOKUP('Données projet'!$B$15,Paramètres!$A$1:$I$89,3,0)*VLOOKUP('Données projet'!$B$15,Paramètres!$A$1:$I$89,5,0)</f>
        <v>227.44332000000006</v>
      </c>
      <c r="EL106" s="13">
        <f t="shared" si="99"/>
        <v>55.729508408074345</v>
      </c>
      <c r="EM106" s="20">
        <f t="shared" si="73"/>
        <v>493.19267614406289</v>
      </c>
      <c r="EN106" s="59">
        <f t="shared" si="74"/>
        <v>786.5260094773962</v>
      </c>
      <c r="EO106" s="59">
        <f ca="1">AVERAGE(OFFSET($EN$3,0,0,'Données projet'!$E$15+1,1))-AVERAGE(OFFSET($H$3,0,0,'Données projet'!$E$15+1,1))</f>
        <v>217.10418688911096</v>
      </c>
      <c r="EP106" s="59">
        <f t="shared" si="100"/>
        <v>105.90631421515786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145.19188637714888</v>
      </c>
      <c r="T107" s="59">
        <f t="shared" si="88"/>
        <v>169.74069292032493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0.51095227999296888</v>
      </c>
      <c r="AA107" s="21">
        <f>EXP(-LN(2)/25)*AA106+(1-EXP(-LN(2)/25))/(LN(2)/25)*Calculateur!V107*Calculateur!X107*VLOOKUP('Données projet'!$B$9,Paramètres!$A$1:$I$89,3,0)*0.475*44/12</f>
        <v>1.1123663671675728</v>
      </c>
      <c r="AB107" s="21">
        <f>EXP(-LN(2)/2)*AB106+(1-EXP(-LN(2)/2))/(LN(2)/2)*V107*Y107*VLOOKUP('Données projet'!$B$9,Paramètres!$A$1:$I$89,3,0)*0.475*44/12</f>
        <v>2.9435051042506094E-11</v>
      </c>
      <c r="AC107" s="22">
        <f t="shared" si="57"/>
        <v>1.6233186471899768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-2.8421709430404007E-14</v>
      </c>
      <c r="AJ107" s="13">
        <f>AI107*VLOOKUP('Données projet'!$B$10,Paramètres!$A$1:$I$89,3,0)*VLOOKUP('Données projet'!$B$10,Paramètres!$A$1:$I$89,5,0)</f>
        <v>-2.4829205358400945E-14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254.24072778190163</v>
      </c>
      <c r="AO107" s="59">
        <f t="shared" si="90"/>
        <v>356.78706780980383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0.70973543964625185</v>
      </c>
      <c r="AV107" s="21">
        <f>EXP(-LN(2)/25)*AV106+(1-EXP(-LN(2)/25))/(LN(2)/25)*Calculateur!AQ107*Calculateur!AS107*VLOOKUP('Données projet'!$B$10,Paramètres!$A$1:$I$89,3,0)*0.475*44/12</f>
        <v>2.2737257396866908</v>
      </c>
      <c r="AW107" s="21">
        <f>EXP(-LN(2)/2)*AW106+(1-EXP(-LN(2)/2))/(LN(2)/2)*AQ107*AT107*VLOOKUP('Données projet'!$B$10,Paramètres!$A$1:$I$89,3,0)*0.475*44/12</f>
        <v>2.020533924890676E-10</v>
      </c>
      <c r="AX107" s="21">
        <f t="shared" si="60"/>
        <v>2.9834611795349959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-4.5474735088646412E-13</v>
      </c>
      <c r="BE107" s="13">
        <f>BD107*VLOOKUP('Données projet'!$B$11,Paramètres!$A$1:$I$89,3,0)*VLOOKUP('Données projet'!$B$11,Paramètres!$A$1:$I$89,5,0)</f>
        <v>-2.7193891583010558E-13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246.59447135626942</v>
      </c>
      <c r="BJ107" s="59">
        <f t="shared" si="92"/>
        <v>262.00382544285367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1.651313190000635</v>
      </c>
      <c r="BR107" s="21">
        <f>EXP(-LN(2)/2)*BR106+(1-EXP(-LN(2)/2))/(LN(2)/2)*BL107*BO107*VLOOKUP('Données projet'!$B$11,Paramètres!$A$1:$I$89,3,0)*0.475*44/12</f>
        <v>1.726538166536118E-10</v>
      </c>
      <c r="BS107" s="22">
        <f t="shared" si="63"/>
        <v>1.6513131901732889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3.1</v>
      </c>
      <c r="BY107" s="12">
        <f>IF('Données projet'!$A$114&gt;35,BY106+BX107-CG106,IF(A107&lt;'Données projet'!$A$114,$BV$205^A107,IF(A107='Données projet'!$A$114,'Données projet'!$B$114,BY106+BX107-CG106)))</f>
        <v>214.40000000000003</v>
      </c>
      <c r="BZ107" s="13">
        <f>BY107*VLOOKUP('Données projet'!$B$12,Paramètres!$A$1:$I$89,3,0)*VLOOKUP('Données projet'!$B$12,Paramètres!$A$1:$I$89,5,0)</f>
        <v>193.98912000000004</v>
      </c>
      <c r="CA107" s="13">
        <f t="shared" si="93"/>
        <v>48.420821305775476</v>
      </c>
      <c r="CB107" s="20">
        <f t="shared" si="64"/>
        <v>422.19731444089234</v>
      </c>
      <c r="CC107" s="59">
        <f t="shared" si="65"/>
        <v>715.5306477742256</v>
      </c>
      <c r="CD107" s="59">
        <f ca="1">AVERAGE(OFFSET($CC$3,0,0,'Données projet'!$E$12+1,1))-AVERAGE(OFFSET($H$3,0,0,'Données projet'!$E$12+1,1))</f>
        <v>169.62156467157178</v>
      </c>
      <c r="CE107" s="59">
        <f t="shared" si="94"/>
        <v>85.631326020763254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4.6111381379887463E-14</v>
      </c>
      <c r="CV107" s="13">
        <f t="shared" si="95"/>
        <v>7.5804141040779151E-13</v>
      </c>
      <c r="CW107" s="20">
        <f t="shared" si="67"/>
        <v>1.4005661123635408E-12</v>
      </c>
      <c r="CX107" s="59">
        <f t="shared" si="68"/>
        <v>293.33333333333474</v>
      </c>
      <c r="CY107" s="59">
        <f ca="1">AVERAGE(OFFSET($CX$3,0,0,'Données projet'!$E$13+1,1))-AVERAGE(OFFSET($H$3,0,0,'Données projet'!$E$13+1,1))</f>
        <v>234.59657655504111</v>
      </c>
      <c r="CZ107" s="59">
        <f t="shared" si="96"/>
        <v>285.10598666479211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1.0931903978257742</v>
      </c>
      <c r="DH107" s="21">
        <f>EXP(-LN(2)/2)*DH106+(1-EXP(-LN(2)/2))/(LN(2)/2)*DB107*DE107*VLOOKUP('Données projet'!$B$13,Paramètres!$A$1:$I$89,3,0)*0.475*44/12</f>
        <v>7.983594945185846E-11</v>
      </c>
      <c r="DI107" s="22">
        <f t="shared" si="69"/>
        <v>1.0931903979056101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3.1</v>
      </c>
      <c r="DO107" s="12">
        <f>IF('Données projet'!$A$166&gt;35,DO106+DN107-DW106,IF(A107&lt;'Données projet'!$A$166,$DL$205^A107,IF(A107='Données projet'!$A$166,'Données projet'!$B$166,DO106+DN107-DW106)))</f>
        <v>214.40000000000003</v>
      </c>
      <c r="DP107" s="17">
        <f>DO107*VLOOKUP('Données projet'!$B$14,Paramètres!$A$1:$I$89,3,0)*VLOOKUP('Données projet'!$B$14,Paramètres!$A$1:$I$89,5,0)</f>
        <v>207.36768000000004</v>
      </c>
      <c r="DQ107" s="13">
        <f t="shared" si="97"/>
        <v>51.359935934080831</v>
      </c>
      <c r="DR107" s="20">
        <f t="shared" si="70"/>
        <v>450.61726441852414</v>
      </c>
      <c r="DS107" s="59">
        <f t="shared" si="71"/>
        <v>743.95059775185746</v>
      </c>
      <c r="DT107" s="59">
        <f ca="1">AVERAGE(OFFSET($DS$3,0,0,'Données projet'!$E$14+1,1))-AVERAGE(OFFSET($H$3,0,0,'Données projet'!$E$14+1,1))</f>
        <v>186.90852124957956</v>
      </c>
      <c r="DU107" s="59">
        <f t="shared" si="98"/>
        <v>93.013797128776446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3.1</v>
      </c>
      <c r="EJ107" s="12">
        <f>IF('Données projet'!$A$192&gt;35,EJ106+EI107-ER106,IF(A107&lt;'Données projet'!$A$192,$EG$205^A107,IF(A107='Données projet'!$A$192,'Données projet'!$B$192,EJ106+EI107-ER106)))</f>
        <v>214.40000000000003</v>
      </c>
      <c r="EK107" s="17">
        <f>EJ107*VLOOKUP('Données projet'!$B$15,Paramètres!$A$1:$I$89,3,0)*VLOOKUP('Données projet'!$B$15,Paramètres!$A$1:$I$89,5,0)</f>
        <v>230.78016000000002</v>
      </c>
      <c r="EL107" s="13">
        <f t="shared" si="99"/>
        <v>56.451337103640888</v>
      </c>
      <c r="EM107" s="20">
        <f t="shared" si="73"/>
        <v>500.26152412217448</v>
      </c>
      <c r="EN107" s="59">
        <f t="shared" si="74"/>
        <v>793.59485745550774</v>
      </c>
      <c r="EO107" s="59">
        <f ca="1">AVERAGE(OFFSET($EN$3,0,0,'Données projet'!$E$15+1,1))-AVERAGE(OFFSET($H$3,0,0,'Données projet'!$E$15+1,1))</f>
        <v>217.10418688911096</v>
      </c>
      <c r="EP107" s="59">
        <f t="shared" si="100"/>
        <v>105.90631421515786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145.19188637714888</v>
      </c>
      <c r="T108" s="59">
        <f t="shared" si="88"/>
        <v>169.74069292032493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0.50093281743242468</v>
      </c>
      <c r="AA108" s="21">
        <f>EXP(-LN(2)/25)*AA107+(1-EXP(-LN(2)/25))/(LN(2)/25)*Calculateur!V108*Calculateur!X108*VLOOKUP('Données projet'!$B$9,Paramètres!$A$1:$I$89,3,0)*0.475*44/12</f>
        <v>1.0819486503605706</v>
      </c>
      <c r="AB108" s="21">
        <f>EXP(-LN(2)/2)*AB107+(1-EXP(-LN(2)/2))/(LN(2)/2)*V108*Y108*VLOOKUP('Données projet'!$B$9,Paramètres!$A$1:$I$89,3,0)*0.475*44/12</f>
        <v>2.0813724196728215E-11</v>
      </c>
      <c r="AC108" s="22">
        <f t="shared" si="57"/>
        <v>1.5828814678138092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-2.8421709430404007E-14</v>
      </c>
      <c r="AJ108" s="13">
        <f>AI108*VLOOKUP('Données projet'!$B$10,Paramètres!$A$1:$I$89,3,0)*VLOOKUP('Données projet'!$B$10,Paramètres!$A$1:$I$89,5,0)</f>
        <v>-2.4829205358400945E-14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254.24072778190163</v>
      </c>
      <c r="AO108" s="59">
        <f t="shared" si="90"/>
        <v>356.78706780980383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0.69581796057066214</v>
      </c>
      <c r="AV108" s="21">
        <f>EXP(-LN(2)/25)*AV107+(1-EXP(-LN(2)/25))/(LN(2)/25)*Calculateur!AQ108*Calculateur!AS108*VLOOKUP('Données projet'!$B$10,Paramètres!$A$1:$I$89,3,0)*0.475*44/12</f>
        <v>2.2115505897649181</v>
      </c>
      <c r="AW108" s="21">
        <f>EXP(-LN(2)/2)*AW107+(1-EXP(-LN(2)/2))/(LN(2)/2)*AQ108*AT108*VLOOKUP('Données projet'!$B$10,Paramètres!$A$1:$I$89,3,0)*0.475*44/12</f>
        <v>1.4287332399076673E-10</v>
      </c>
      <c r="AX108" s="21">
        <f t="shared" si="60"/>
        <v>2.9073685504784534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-4.5474735088646412E-13</v>
      </c>
      <c r="BE108" s="13">
        <f>BD108*VLOOKUP('Données projet'!$B$11,Paramètres!$A$1:$I$89,3,0)*VLOOKUP('Données projet'!$B$11,Paramètres!$A$1:$I$89,5,0)</f>
        <v>-2.7193891583010558E-13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246.59447135626942</v>
      </c>
      <c r="BJ108" s="59">
        <f t="shared" si="92"/>
        <v>262.00382544285367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1.6061579439812812</v>
      </c>
      <c r="BR108" s="21">
        <f>EXP(-LN(2)/2)*BR107+(1-EXP(-LN(2)/2))/(LN(2)/2)*BL108*BO108*VLOOKUP('Données projet'!$B$11,Paramètres!$A$1:$I$89,3,0)*0.475*44/12</f>
        <v>1.2208468455350777E-10</v>
      </c>
      <c r="BS108" s="22">
        <f t="shared" si="63"/>
        <v>1.606157944103366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3.1</v>
      </c>
      <c r="BY108" s="12">
        <f>IF('Données projet'!$A$114&gt;35,BY107+BX108-CG107,IF(A108&lt;'Données projet'!$A$114,$BV$205^A108,IF(A108='Données projet'!$A$114,'Données projet'!$B$114,BY107+BX108-CG107)))</f>
        <v>217.50000000000003</v>
      </c>
      <c r="BZ108" s="13">
        <f>BY108*VLOOKUP('Données projet'!$B$12,Paramètres!$A$1:$I$89,3,0)*VLOOKUP('Données projet'!$B$12,Paramètres!$A$1:$I$89,5,0)</f>
        <v>196.79400000000001</v>
      </c>
      <c r="CA108" s="13">
        <f t="shared" si="93"/>
        <v>49.038924669809596</v>
      </c>
      <c r="CB108" s="20">
        <f t="shared" si="64"/>
        <v>428.15901046658502</v>
      </c>
      <c r="CC108" s="59">
        <f t="shared" si="65"/>
        <v>721.49234379991833</v>
      </c>
      <c r="CD108" s="59">
        <f ca="1">AVERAGE(OFFSET($CC$3,0,0,'Données projet'!$E$12+1,1))-AVERAGE(OFFSET($H$3,0,0,'Données projet'!$E$12+1,1))</f>
        <v>169.62156467157178</v>
      </c>
      <c r="CE108" s="59">
        <f t="shared" si="94"/>
        <v>85.631326020763254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4.6111381379887463E-14</v>
      </c>
      <c r="CV108" s="13">
        <f t="shared" si="95"/>
        <v>7.5804141040779151E-13</v>
      </c>
      <c r="CW108" s="20">
        <f t="shared" si="67"/>
        <v>1.4005661123635408E-12</v>
      </c>
      <c r="CX108" s="59">
        <f t="shared" si="68"/>
        <v>293.33333333333474</v>
      </c>
      <c r="CY108" s="59">
        <f ca="1">AVERAGE(OFFSET($CX$3,0,0,'Données projet'!$E$13+1,1))-AVERAGE(OFFSET($H$3,0,0,'Données projet'!$E$13+1,1))</f>
        <v>234.59657655504111</v>
      </c>
      <c r="CZ108" s="59">
        <f t="shared" si="96"/>
        <v>285.10598666479211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1.0632970489088438</v>
      </c>
      <c r="DH108" s="21">
        <f>EXP(-LN(2)/2)*DH107+(1-EXP(-LN(2)/2))/(LN(2)/2)*DB108*DE108*VLOOKUP('Données projet'!$B$13,Paramètres!$A$1:$I$89,3,0)*0.475*44/12</f>
        <v>5.645254123987555E-11</v>
      </c>
      <c r="DI108" s="22">
        <f t="shared" si="69"/>
        <v>1.0632970489652964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3.1</v>
      </c>
      <c r="DO108" s="12">
        <f>IF('Données projet'!$A$166&gt;35,DO107+DN108-DW107,IF(A108&lt;'Données projet'!$A$166,$DL$205^A108,IF(A108='Données projet'!$A$166,'Données projet'!$B$166,DO107+DN108-DW107)))</f>
        <v>217.50000000000003</v>
      </c>
      <c r="DP108" s="17">
        <f>DO108*VLOOKUP('Données projet'!$B$14,Paramètres!$A$1:$I$89,3,0)*VLOOKUP('Données projet'!$B$14,Paramètres!$A$1:$I$89,5,0)</f>
        <v>210.36600000000004</v>
      </c>
      <c r="DQ108" s="13">
        <f t="shared" si="97"/>
        <v>52.01555779924837</v>
      </c>
      <c r="DR108" s="20">
        <f t="shared" si="70"/>
        <v>456.98121316702435</v>
      </c>
      <c r="DS108" s="59">
        <f t="shared" si="71"/>
        <v>750.31454650035766</v>
      </c>
      <c r="DT108" s="59">
        <f ca="1">AVERAGE(OFFSET($DS$3,0,0,'Données projet'!$E$14+1,1))-AVERAGE(OFFSET($H$3,0,0,'Données projet'!$E$14+1,1))</f>
        <v>186.90852124957956</v>
      </c>
      <c r="DU108" s="59">
        <f t="shared" si="98"/>
        <v>93.013797128776446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3.1</v>
      </c>
      <c r="EJ108" s="12">
        <f>IF('Données projet'!$A$192&gt;35,EJ107+EI108-ER107,IF(A108&lt;'Données projet'!$A$192,$EG$205^A108,IF(A108='Données projet'!$A$192,'Données projet'!$B$192,EJ107+EI108-ER107)))</f>
        <v>217.50000000000003</v>
      </c>
      <c r="EK108" s="17">
        <f>EJ108*VLOOKUP('Données projet'!$B$15,Paramètres!$A$1:$I$89,3,0)*VLOOKUP('Données projet'!$B$15,Paramètres!$A$1:$I$89,5,0)</f>
        <v>234.11700000000005</v>
      </c>
      <c r="EL108" s="13">
        <f t="shared" si="99"/>
        <v>57.171951922370226</v>
      </c>
      <c r="EM108" s="20">
        <f t="shared" si="73"/>
        <v>507.32825793146156</v>
      </c>
      <c r="EN108" s="59">
        <f t="shared" si="74"/>
        <v>800.66159126479488</v>
      </c>
      <c r="EO108" s="59">
        <f ca="1">AVERAGE(OFFSET($EN$3,0,0,'Données projet'!$E$15+1,1))-AVERAGE(OFFSET($H$3,0,0,'Données projet'!$E$15+1,1))</f>
        <v>217.10418688911096</v>
      </c>
      <c r="EP108" s="59">
        <f t="shared" si="100"/>
        <v>105.90631421515786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145.19188637714888</v>
      </c>
      <c r="T109" s="59">
        <f t="shared" si="88"/>
        <v>169.74069292032493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0.49110983042142403</v>
      </c>
      <c r="AA109" s="21">
        <f>EXP(-LN(2)/25)*AA108+(1-EXP(-LN(2)/25))/(LN(2)/25)*Calculateur!V109*Calculateur!X109*VLOOKUP('Données projet'!$B$9,Paramètres!$A$1:$I$89,3,0)*0.475*44/12</f>
        <v>1.0523627076192541</v>
      </c>
      <c r="AB109" s="21">
        <f>EXP(-LN(2)/2)*AB108+(1-EXP(-LN(2)/2))/(LN(2)/2)*V109*Y109*VLOOKUP('Données projet'!$B$9,Paramètres!$A$1:$I$89,3,0)*0.475*44/12</f>
        <v>1.4717525521253047E-11</v>
      </c>
      <c r="AC109" s="22">
        <f t="shared" si="57"/>
        <v>1.5434725380553957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-2.8421709430404007E-14</v>
      </c>
      <c r="AJ109" s="13">
        <f>AI109*VLOOKUP('Données projet'!$B$10,Paramètres!$A$1:$I$89,3,0)*VLOOKUP('Données projet'!$B$10,Paramètres!$A$1:$I$89,5,0)</f>
        <v>-2.4829205358400945E-14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254.24072778190163</v>
      </c>
      <c r="AO109" s="59">
        <f t="shared" si="90"/>
        <v>356.78706780980383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0.68217339477092065</v>
      </c>
      <c r="AV109" s="21">
        <f>EXP(-LN(2)/25)*AV108+(1-EXP(-LN(2)/25))/(LN(2)/25)*Calculateur!AQ109*Calculateur!AS109*VLOOKUP('Données projet'!$B$10,Paramètres!$A$1:$I$89,3,0)*0.475*44/12</f>
        <v>2.1510756225874057</v>
      </c>
      <c r="AW109" s="21">
        <f>EXP(-LN(2)/2)*AW108+(1-EXP(-LN(2)/2))/(LN(2)/2)*AQ109*AT109*VLOOKUP('Données projet'!$B$10,Paramètres!$A$1:$I$89,3,0)*0.475*44/12</f>
        <v>1.010266962445338E-10</v>
      </c>
      <c r="AX109" s="21">
        <f t="shared" si="60"/>
        <v>2.833249017459353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-4.5474735088646412E-13</v>
      </c>
      <c r="BE109" s="13">
        <f>BD109*VLOOKUP('Données projet'!$B$11,Paramètres!$A$1:$I$89,3,0)*VLOOKUP('Données projet'!$B$11,Paramètres!$A$1:$I$89,5,0)</f>
        <v>-2.7193891583010558E-13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246.59447135626942</v>
      </c>
      <c r="BJ109" s="59">
        <f t="shared" si="92"/>
        <v>262.00382544285367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1.5622374705389377</v>
      </c>
      <c r="BR109" s="21">
        <f>EXP(-LN(2)/2)*BR108+(1-EXP(-LN(2)/2))/(LN(2)/2)*BL109*BO109*VLOOKUP('Données projet'!$B$11,Paramètres!$A$1:$I$89,3,0)*0.475*44/12</f>
        <v>8.6326908326805902E-11</v>
      </c>
      <c r="BS109" s="22">
        <f t="shared" si="63"/>
        <v>1.5622374706252646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3.1</v>
      </c>
      <c r="BY109" s="12">
        <f>IF('Données projet'!$A$114&gt;35,BY108+BX109-CG108,IF(A109&lt;'Données projet'!$A$114,$BV$205^A109,IF(A109='Données projet'!$A$114,'Données projet'!$B$114,BY108+BX109-CG108)))</f>
        <v>220.60000000000002</v>
      </c>
      <c r="BZ109" s="13">
        <f>BY109*VLOOKUP('Données projet'!$B$12,Paramètres!$A$1:$I$89,3,0)*VLOOKUP('Données projet'!$B$12,Paramètres!$A$1:$I$89,5,0)</f>
        <v>199.59888000000001</v>
      </c>
      <c r="CA109" s="13">
        <f t="shared" si="93"/>
        <v>49.656003392529037</v>
      </c>
      <c r="CB109" s="20">
        <f t="shared" si="64"/>
        <v>434.11892190865478</v>
      </c>
      <c r="CC109" s="59">
        <f t="shared" si="65"/>
        <v>727.45225524198804</v>
      </c>
      <c r="CD109" s="59">
        <f ca="1">AVERAGE(OFFSET($CC$3,0,0,'Données projet'!$E$12+1,1))-AVERAGE(OFFSET($H$3,0,0,'Données projet'!$E$12+1,1))</f>
        <v>169.62156467157178</v>
      </c>
      <c r="CE109" s="59">
        <f t="shared" si="94"/>
        <v>85.631326020763254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4.6111381379887463E-14</v>
      </c>
      <c r="CV109" s="13">
        <f t="shared" si="95"/>
        <v>7.5804141040779151E-13</v>
      </c>
      <c r="CW109" s="20">
        <f t="shared" si="67"/>
        <v>1.4005661123635408E-12</v>
      </c>
      <c r="CX109" s="59">
        <f t="shared" si="68"/>
        <v>293.33333333333474</v>
      </c>
      <c r="CY109" s="59">
        <f ca="1">AVERAGE(OFFSET($CX$3,0,0,'Données projet'!$E$13+1,1))-AVERAGE(OFFSET($H$3,0,0,'Données projet'!$E$13+1,1))</f>
        <v>234.59657655504111</v>
      </c>
      <c r="CZ109" s="59">
        <f t="shared" si="96"/>
        <v>285.10598666479211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1.0342211351900699</v>
      </c>
      <c r="DH109" s="21">
        <f>EXP(-LN(2)/2)*DH108+(1-EXP(-LN(2)/2))/(LN(2)/2)*DB109*DE109*VLOOKUP('Données projet'!$B$13,Paramètres!$A$1:$I$89,3,0)*0.475*44/12</f>
        <v>3.991797472592923E-11</v>
      </c>
      <c r="DI109" s="22">
        <f t="shared" si="69"/>
        <v>1.0342211352299879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3.1</v>
      </c>
      <c r="DO109" s="12">
        <f>IF('Données projet'!$A$166&gt;35,DO108+DN109-DW108,IF(A109&lt;'Données projet'!$A$166,$DL$205^A109,IF(A109='Données projet'!$A$166,'Données projet'!$B$166,DO108+DN109-DW108)))</f>
        <v>220.60000000000002</v>
      </c>
      <c r="DP109" s="17">
        <f>DO109*VLOOKUP('Données projet'!$B$14,Paramètres!$A$1:$I$89,3,0)*VLOOKUP('Données projet'!$B$14,Paramètres!$A$1:$I$89,5,0)</f>
        <v>213.36432000000005</v>
      </c>
      <c r="DQ109" s="13">
        <f t="shared" si="97"/>
        <v>52.670092827991724</v>
      </c>
      <c r="DR109" s="20">
        <f t="shared" si="70"/>
        <v>463.34326900875232</v>
      </c>
      <c r="DS109" s="59">
        <f t="shared" si="71"/>
        <v>756.67660234208563</v>
      </c>
      <c r="DT109" s="59">
        <f ca="1">AVERAGE(OFFSET($DS$3,0,0,'Données projet'!$E$14+1,1))-AVERAGE(OFFSET($H$3,0,0,'Données projet'!$E$14+1,1))</f>
        <v>186.90852124957956</v>
      </c>
      <c r="DU109" s="59">
        <f t="shared" si="98"/>
        <v>93.013797128776446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3.1</v>
      </c>
      <c r="EJ109" s="12">
        <f>IF('Données projet'!$A$192&gt;35,EJ108+EI109-ER108,IF(A109&lt;'Données projet'!$A$192,$EG$205^A109,IF(A109='Données projet'!$A$192,'Données projet'!$B$192,EJ108+EI109-ER108)))</f>
        <v>220.60000000000002</v>
      </c>
      <c r="EK109" s="17">
        <f>EJ109*VLOOKUP('Données projet'!$B$15,Paramètres!$A$1:$I$89,3,0)*VLOOKUP('Données projet'!$B$15,Paramètres!$A$1:$I$89,5,0)</f>
        <v>237.45384000000001</v>
      </c>
      <c r="EL109" s="13">
        <f t="shared" si="99"/>
        <v>57.89137216466095</v>
      </c>
      <c r="EM109" s="20">
        <f t="shared" si="73"/>
        <v>514.39291118678443</v>
      </c>
      <c r="EN109" s="59">
        <f t="shared" si="74"/>
        <v>807.72624452011769</v>
      </c>
      <c r="EO109" s="59">
        <f ca="1">AVERAGE(OFFSET($EN$3,0,0,'Données projet'!$E$15+1,1))-AVERAGE(OFFSET($H$3,0,0,'Données projet'!$E$15+1,1))</f>
        <v>217.10418688911096</v>
      </c>
      <c r="EP109" s="59">
        <f t="shared" si="100"/>
        <v>105.90631421515786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145.19188637714888</v>
      </c>
      <c r="T110" s="59">
        <f t="shared" si="88"/>
        <v>169.74069292032493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0.48147946619427862</v>
      </c>
      <c r="AA110" s="21">
        <f>EXP(-LN(2)/25)*AA109+(1-EXP(-LN(2)/25))/(LN(2)/25)*Calculateur!V110*Calculateur!X110*VLOOKUP('Données projet'!$B$9,Paramètres!$A$1:$I$89,3,0)*0.475*44/12</f>
        <v>1.0235857940380559</v>
      </c>
      <c r="AB110" s="21">
        <f>EXP(-LN(2)/2)*AB109+(1-EXP(-LN(2)/2))/(LN(2)/2)*V110*Y110*VLOOKUP('Données projet'!$B$9,Paramètres!$A$1:$I$89,3,0)*0.475*44/12</f>
        <v>1.0406862098364107E-11</v>
      </c>
      <c r="AC110" s="22">
        <f t="shared" si="57"/>
        <v>1.5050652602427412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-2.8421709430404007E-14</v>
      </c>
      <c r="AJ110" s="13">
        <f>AI110*VLOOKUP('Données projet'!$B$10,Paramètres!$A$1:$I$89,3,0)*VLOOKUP('Données projet'!$B$10,Paramètres!$A$1:$I$89,5,0)</f>
        <v>-2.4829205358400945E-14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254.24072778190163</v>
      </c>
      <c r="AO110" s="59">
        <f t="shared" si="90"/>
        <v>356.78706780980383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0.66879639058414875</v>
      </c>
      <c r="AV110" s="21">
        <f>EXP(-LN(2)/25)*AV109+(1-EXP(-LN(2)/25))/(LN(2)/25)*Calculateur!AQ110*Calculateur!AS110*VLOOKUP('Données projet'!$B$10,Paramètres!$A$1:$I$89,3,0)*0.475*44/12</f>
        <v>2.0922543465676022</v>
      </c>
      <c r="AW110" s="21">
        <f>EXP(-LN(2)/2)*AW109+(1-EXP(-LN(2)/2))/(LN(2)/2)*AQ110*AT110*VLOOKUP('Données projet'!$B$10,Paramètres!$A$1:$I$89,3,0)*0.475*44/12</f>
        <v>7.1436661995383363E-11</v>
      </c>
      <c r="AX110" s="21">
        <f t="shared" si="60"/>
        <v>2.7610507372231878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-4.5474735088646412E-13</v>
      </c>
      <c r="BE110" s="13">
        <f>BD110*VLOOKUP('Données projet'!$B$11,Paramètres!$A$1:$I$89,3,0)*VLOOKUP('Données projet'!$B$11,Paramètres!$A$1:$I$89,5,0)</f>
        <v>-2.7193891583010558E-13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246.59447135626942</v>
      </c>
      <c r="BJ110" s="59">
        <f t="shared" si="92"/>
        <v>262.00382544285367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1.5195180047525525</v>
      </c>
      <c r="BR110" s="21">
        <f>EXP(-LN(2)/2)*BR109+(1-EXP(-LN(2)/2))/(LN(2)/2)*BL110*BO110*VLOOKUP('Données projet'!$B$11,Paramètres!$A$1:$I$89,3,0)*0.475*44/12</f>
        <v>6.1042342276753887E-11</v>
      </c>
      <c r="BS110" s="22">
        <f t="shared" si="63"/>
        <v>1.5195180048135948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3.1</v>
      </c>
      <c r="BY110" s="12">
        <f>IF('Données projet'!$A$114&gt;35,BY109+BX110-CG109,IF(A110&lt;'Données projet'!$A$114,$BV$205^A110,IF(A110='Données projet'!$A$114,'Données projet'!$B$114,BY109+BX110-CG109)))</f>
        <v>223.70000000000002</v>
      </c>
      <c r="BZ110" s="13">
        <f>BY110*VLOOKUP('Données projet'!$B$12,Paramètres!$A$1:$I$89,3,0)*VLOOKUP('Données projet'!$B$12,Paramètres!$A$1:$I$89,5,0)</f>
        <v>202.40376000000003</v>
      </c>
      <c r="CA110" s="13">
        <f t="shared" si="93"/>
        <v>50.272073536742994</v>
      </c>
      <c r="CB110" s="20">
        <f t="shared" si="64"/>
        <v>440.07707674316083</v>
      </c>
      <c r="CC110" s="59">
        <f t="shared" si="65"/>
        <v>733.41041007649414</v>
      </c>
      <c r="CD110" s="59">
        <f ca="1">AVERAGE(OFFSET($CC$3,0,0,'Données projet'!$E$12+1,1))-AVERAGE(OFFSET($H$3,0,0,'Données projet'!$E$12+1,1))</f>
        <v>169.62156467157178</v>
      </c>
      <c r="CE110" s="59">
        <f t="shared" si="94"/>
        <v>85.631326020763254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4.6111381379887463E-14</v>
      </c>
      <c r="CV110" s="13">
        <f t="shared" si="95"/>
        <v>7.5804141040779151E-13</v>
      </c>
      <c r="CW110" s="20">
        <f t="shared" si="67"/>
        <v>1.4005661123635408E-12</v>
      </c>
      <c r="CX110" s="59">
        <f t="shared" si="68"/>
        <v>293.33333333333474</v>
      </c>
      <c r="CY110" s="59">
        <f ca="1">AVERAGE(OFFSET($CX$3,0,0,'Données projet'!$E$13+1,1))-AVERAGE(OFFSET($H$3,0,0,'Données projet'!$E$13+1,1))</f>
        <v>234.59657655504111</v>
      </c>
      <c r="CZ110" s="59">
        <f t="shared" si="96"/>
        <v>285.10598666479211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1.0059403038609716</v>
      </c>
      <c r="DH110" s="21">
        <f>EXP(-LN(2)/2)*DH109+(1-EXP(-LN(2)/2))/(LN(2)/2)*DB110*DE110*VLOOKUP('Données projet'!$B$13,Paramètres!$A$1:$I$89,3,0)*0.475*44/12</f>
        <v>2.8226270619937775E-11</v>
      </c>
      <c r="DI110" s="22">
        <f t="shared" si="69"/>
        <v>1.0059403038891979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3.1</v>
      </c>
      <c r="DO110" s="12">
        <f>IF('Données projet'!$A$166&gt;35,DO109+DN110-DW109,IF(A110&lt;'Données projet'!$A$166,$DL$205^A110,IF(A110='Données projet'!$A$166,'Données projet'!$B$166,DO109+DN110-DW109)))</f>
        <v>223.70000000000002</v>
      </c>
      <c r="DP110" s="17">
        <f>DO110*VLOOKUP('Données projet'!$B$14,Paramètres!$A$1:$I$89,3,0)*VLOOKUP('Données projet'!$B$14,Paramètres!$A$1:$I$89,5,0)</f>
        <v>216.36264000000003</v>
      </c>
      <c r="DQ110" s="13">
        <f t="shared" si="97"/>
        <v>53.323558058123105</v>
      </c>
      <c r="DR110" s="20">
        <f t="shared" si="70"/>
        <v>469.7034616178978</v>
      </c>
      <c r="DS110" s="59">
        <f t="shared" si="71"/>
        <v>763.03679495123106</v>
      </c>
      <c r="DT110" s="59">
        <f ca="1">AVERAGE(OFFSET($DS$3,0,0,'Données projet'!$E$14+1,1))-AVERAGE(OFFSET($H$3,0,0,'Données projet'!$E$14+1,1))</f>
        <v>186.90852124957956</v>
      </c>
      <c r="DU110" s="59">
        <f t="shared" si="98"/>
        <v>93.013797128776446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3.1</v>
      </c>
      <c r="EJ110" s="12">
        <f>IF('Données projet'!$A$192&gt;35,EJ109+EI110-ER109,IF(A110&lt;'Données projet'!$A$192,$EG$205^A110,IF(A110='Données projet'!$A$192,'Données projet'!$B$192,EJ109+EI110-ER109)))</f>
        <v>223.70000000000002</v>
      </c>
      <c r="EK110" s="17">
        <f>EJ110*VLOOKUP('Données projet'!$B$15,Paramètres!$A$1:$I$89,3,0)*VLOOKUP('Données projet'!$B$15,Paramètres!$A$1:$I$89,5,0)</f>
        <v>240.79068000000001</v>
      </c>
      <c r="EL110" s="13">
        <f t="shared" si="99"/>
        <v>58.609616557313636</v>
      </c>
      <c r="EM110" s="20">
        <f t="shared" si="73"/>
        <v>521.45551650398795</v>
      </c>
      <c r="EN110" s="59">
        <f t="shared" si="74"/>
        <v>814.78884983732132</v>
      </c>
      <c r="EO110" s="59">
        <f ca="1">AVERAGE(OFFSET($EN$3,0,0,'Données projet'!$E$15+1,1))-AVERAGE(OFFSET($H$3,0,0,'Données projet'!$E$15+1,1))</f>
        <v>217.10418688911096</v>
      </c>
      <c r="EP110" s="59">
        <f t="shared" si="100"/>
        <v>105.90631421515786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145.19188637714888</v>
      </c>
      <c r="T111" s="59">
        <f t="shared" si="88"/>
        <v>169.74069292032493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0.47203794753568534</v>
      </c>
      <c r="AA111" s="21">
        <f>EXP(-LN(2)/25)*AA110+(1-EXP(-LN(2)/25))/(LN(2)/25)*Calculateur!V111*Calculateur!X111*VLOOKUP('Données projet'!$B$9,Paramètres!$A$1:$I$89,3,0)*0.475*44/12</f>
        <v>0.99559578667204784</v>
      </c>
      <c r="AB111" s="21">
        <f>EXP(-LN(2)/2)*AB110+(1-EXP(-LN(2)/2))/(LN(2)/2)*V111*Y111*VLOOKUP('Données projet'!$B$9,Paramètres!$A$1:$I$89,3,0)*0.475*44/12</f>
        <v>7.3587627606265236E-12</v>
      </c>
      <c r="AC111" s="22">
        <f t="shared" si="57"/>
        <v>1.467633734215092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-2.8421709430404007E-14</v>
      </c>
      <c r="AJ111" s="13">
        <f>AI111*VLOOKUP('Données projet'!$B$10,Paramètres!$A$1:$I$89,3,0)*VLOOKUP('Données projet'!$B$10,Paramètres!$A$1:$I$89,5,0)</f>
        <v>-2.4829205358400945E-14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254.24072778190163</v>
      </c>
      <c r="AO111" s="59">
        <f t="shared" si="90"/>
        <v>356.78706780980383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0.65568170129031256</v>
      </c>
      <c r="AV111" s="21">
        <f>EXP(-LN(2)/25)*AV110+(1-EXP(-LN(2)/25))/(LN(2)/25)*Calculateur!AQ111*Calculateur!AS111*VLOOKUP('Données projet'!$B$10,Paramètres!$A$1:$I$89,3,0)*0.475*44/12</f>
        <v>2.035041541433837</v>
      </c>
      <c r="AW111" s="21">
        <f>EXP(-LN(2)/2)*AW110+(1-EXP(-LN(2)/2))/(LN(2)/2)*AQ111*AT111*VLOOKUP('Données projet'!$B$10,Paramètres!$A$1:$I$89,3,0)*0.475*44/12</f>
        <v>5.05133481222669E-11</v>
      </c>
      <c r="AX111" s="21">
        <f t="shared" si="60"/>
        <v>2.6907232427746628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-4.5474735088646412E-13</v>
      </c>
      <c r="BE111" s="13">
        <f>BD111*VLOOKUP('Données projet'!$B$11,Paramètres!$A$1:$I$89,3,0)*VLOOKUP('Données projet'!$B$11,Paramètres!$A$1:$I$89,5,0)</f>
        <v>-2.7193891583010558E-13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246.59447135626942</v>
      </c>
      <c r="BJ111" s="59">
        <f t="shared" si="92"/>
        <v>262.00382544285367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1.477966705004615</v>
      </c>
      <c r="BR111" s="21">
        <f>EXP(-LN(2)/2)*BR110+(1-EXP(-LN(2)/2))/(LN(2)/2)*BL111*BO111*VLOOKUP('Données projet'!$B$11,Paramètres!$A$1:$I$89,3,0)*0.475*44/12</f>
        <v>4.3163454163402951E-11</v>
      </c>
      <c r="BS111" s="22">
        <f t="shared" si="63"/>
        <v>1.4779667050477785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3.1</v>
      </c>
      <c r="BY111" s="12">
        <f>IF('Données projet'!$A$114&gt;35,BY110+BX111-CG110,IF(A111&lt;'Données projet'!$A$114,$BV$205^A111,IF(A111='Données projet'!$A$114,'Données projet'!$B$114,BY110+BX111-CG110)))</f>
        <v>226.8</v>
      </c>
      <c r="BZ111" s="13">
        <f>BY111*VLOOKUP('Données projet'!$B$12,Paramètres!$A$1:$I$89,3,0)*VLOOKUP('Données projet'!$B$12,Paramètres!$A$1:$I$89,5,0)</f>
        <v>205.20864000000003</v>
      </c>
      <c r="CA111" s="13">
        <f t="shared" si="93"/>
        <v>50.887150694493592</v>
      </c>
      <c r="CB111" s="20">
        <f t="shared" si="64"/>
        <v>446.03350212624309</v>
      </c>
      <c r="CC111" s="59">
        <f t="shared" si="65"/>
        <v>739.36683545957635</v>
      </c>
      <c r="CD111" s="59">
        <f ca="1">AVERAGE(OFFSET($CC$3,0,0,'Données projet'!$E$12+1,1))-AVERAGE(OFFSET($H$3,0,0,'Données projet'!$E$12+1,1))</f>
        <v>169.62156467157178</v>
      </c>
      <c r="CE111" s="59">
        <f t="shared" si="94"/>
        <v>85.631326020763254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4.6111381379887463E-14</v>
      </c>
      <c r="CV111" s="13">
        <f t="shared" si="95"/>
        <v>7.5804141040779151E-13</v>
      </c>
      <c r="CW111" s="20">
        <f t="shared" si="67"/>
        <v>1.4005661123635408E-12</v>
      </c>
      <c r="CX111" s="59">
        <f t="shared" si="68"/>
        <v>293.33333333333474</v>
      </c>
      <c r="CY111" s="59">
        <f ca="1">AVERAGE(OFFSET($CX$3,0,0,'Données projet'!$E$13+1,1))-AVERAGE(OFFSET($H$3,0,0,'Données projet'!$E$13+1,1))</f>
        <v>234.59657655504111</v>
      </c>
      <c r="CZ111" s="59">
        <f t="shared" si="96"/>
        <v>285.10598666479211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0.97843281335179177</v>
      </c>
      <c r="DH111" s="21">
        <f>EXP(-LN(2)/2)*DH110+(1-EXP(-LN(2)/2))/(LN(2)/2)*DB111*DE111*VLOOKUP('Données projet'!$B$13,Paramètres!$A$1:$I$89,3,0)*0.475*44/12</f>
        <v>1.9958987362964615E-11</v>
      </c>
      <c r="DI111" s="22">
        <f t="shared" si="69"/>
        <v>0.97843281337175081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3.1</v>
      </c>
      <c r="DO111" s="12">
        <f>IF('Données projet'!$A$166&gt;35,DO110+DN111-DW110,IF(A111&lt;'Données projet'!$A$166,$DL$205^A111,IF(A111='Données projet'!$A$166,'Données projet'!$B$166,DO110+DN111-DW110)))</f>
        <v>226.8</v>
      </c>
      <c r="DP111" s="17">
        <f>DO111*VLOOKUP('Données projet'!$B$14,Paramètres!$A$1:$I$89,3,0)*VLOOKUP('Données projet'!$B$14,Paramètres!$A$1:$I$89,5,0)</f>
        <v>219.36096000000003</v>
      </c>
      <c r="DQ111" s="13">
        <f t="shared" si="97"/>
        <v>53.975970028112116</v>
      </c>
      <c r="DR111" s="20">
        <f t="shared" si="70"/>
        <v>476.06181979896195</v>
      </c>
      <c r="DS111" s="59">
        <f t="shared" si="71"/>
        <v>769.39515313229526</v>
      </c>
      <c r="DT111" s="59">
        <f ca="1">AVERAGE(OFFSET($DS$3,0,0,'Données projet'!$E$14+1,1))-AVERAGE(OFFSET($H$3,0,0,'Données projet'!$E$14+1,1))</f>
        <v>186.90852124957956</v>
      </c>
      <c r="DU111" s="59">
        <f t="shared" si="98"/>
        <v>93.013797128776446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3.1</v>
      </c>
      <c r="EJ111" s="12">
        <f>IF('Données projet'!$A$192&gt;35,EJ110+EI111-ER110,IF(A111&lt;'Données projet'!$A$192,$EG$205^A111,IF(A111='Données projet'!$A$192,'Données projet'!$B$192,EJ110+EI111-ER110)))</f>
        <v>226.8</v>
      </c>
      <c r="EK111" s="17">
        <f>EJ111*VLOOKUP('Données projet'!$B$15,Paramètres!$A$1:$I$89,3,0)*VLOOKUP('Données projet'!$B$15,Paramètres!$A$1:$I$89,5,0)</f>
        <v>244.12752</v>
      </c>
      <c r="EL111" s="13">
        <f t="shared" si="99"/>
        <v>59.326703278285599</v>
      </c>
      <c r="EM111" s="20">
        <f t="shared" si="73"/>
        <v>528.51610554301408</v>
      </c>
      <c r="EN111" s="59">
        <f t="shared" si="74"/>
        <v>821.84943887634745</v>
      </c>
      <c r="EO111" s="59">
        <f ca="1">AVERAGE(OFFSET($EN$3,0,0,'Données projet'!$E$15+1,1))-AVERAGE(OFFSET($H$3,0,0,'Données projet'!$E$15+1,1))</f>
        <v>217.10418688911096</v>
      </c>
      <c r="EP111" s="59">
        <f t="shared" si="100"/>
        <v>105.90631421515786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145.19188637714888</v>
      </c>
      <c r="T112" s="59">
        <f t="shared" si="88"/>
        <v>169.74069292032493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0.46278157129922931</v>
      </c>
      <c r="AA112" s="21">
        <f>EXP(-LN(2)/25)*AA111+(1-EXP(-LN(2)/25))/(LN(2)/25)*Calculateur!V112*Calculateur!X112*VLOOKUP('Données projet'!$B$9,Paramètres!$A$1:$I$89,3,0)*0.475*44/12</f>
        <v>0.96837116752939378</v>
      </c>
      <c r="AB112" s="21">
        <f>EXP(-LN(2)/2)*AB111+(1-EXP(-LN(2)/2))/(LN(2)/2)*V112*Y112*VLOOKUP('Données projet'!$B$9,Paramètres!$A$1:$I$89,3,0)*0.475*44/12</f>
        <v>5.2034310491820537E-12</v>
      </c>
      <c r="AC112" s="22">
        <f t="shared" si="57"/>
        <v>1.4311527388338265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-2.8421709430404007E-14</v>
      </c>
      <c r="AJ112" s="13">
        <f>AI112*VLOOKUP('Données projet'!$B$10,Paramètres!$A$1:$I$89,3,0)*VLOOKUP('Données projet'!$B$10,Paramètres!$A$1:$I$89,5,0)</f>
        <v>-2.4829205358400945E-14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254.24072778190163</v>
      </c>
      <c r="AO112" s="59">
        <f t="shared" si="90"/>
        <v>356.78706780980383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0.64282418305435785</v>
      </c>
      <c r="AV112" s="21">
        <f>EXP(-LN(2)/25)*AV111+(1-EXP(-LN(2)/25))/(LN(2)/25)*Calculateur!AQ112*Calculateur!AS112*VLOOKUP('Données projet'!$B$10,Paramètres!$A$1:$I$89,3,0)*0.475*44/12</f>
        <v>1.9793932234651452</v>
      </c>
      <c r="AW112" s="21">
        <f>EXP(-LN(2)/2)*AW111+(1-EXP(-LN(2)/2))/(LN(2)/2)*AQ112*AT112*VLOOKUP('Données projet'!$B$10,Paramètres!$A$1:$I$89,3,0)*0.475*44/12</f>
        <v>3.5718330997691681E-11</v>
      </c>
      <c r="AX112" s="21">
        <f t="shared" si="60"/>
        <v>2.6222174065552215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-4.5474735088646412E-13</v>
      </c>
      <c r="BE112" s="13">
        <f>BD112*VLOOKUP('Données projet'!$B$11,Paramètres!$A$1:$I$89,3,0)*VLOOKUP('Données projet'!$B$11,Paramètres!$A$1:$I$89,5,0)</f>
        <v>-2.7193891583010558E-13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246.59447135626942</v>
      </c>
      <c r="BJ112" s="59">
        <f t="shared" si="92"/>
        <v>262.00382544285367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1.4375516277333726</v>
      </c>
      <c r="BR112" s="21">
        <f>EXP(-LN(2)/2)*BR111+(1-EXP(-LN(2)/2))/(LN(2)/2)*BL112*BO112*VLOOKUP('Données projet'!$B$11,Paramètres!$A$1:$I$89,3,0)*0.475*44/12</f>
        <v>3.0521171138376943E-11</v>
      </c>
      <c r="BS112" s="22">
        <f t="shared" si="63"/>
        <v>1.4375516277638938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3.1</v>
      </c>
      <c r="BY112" s="12">
        <f>IF('Données projet'!$A$114&gt;35,BY111+BX112-CG111,IF(A112&lt;'Données projet'!$A$114,$BV$205^A112,IF(A112='Données projet'!$A$114,'Données projet'!$B$114,BY111+BX112-CG111)))</f>
        <v>229.9</v>
      </c>
      <c r="BZ112" s="13">
        <f>BY112*VLOOKUP('Données projet'!$B$12,Paramètres!$A$1:$I$89,3,0)*VLOOKUP('Données projet'!$B$12,Paramètres!$A$1:$I$89,5,0)</f>
        <v>208.01351999999997</v>
      </c>
      <c r="CA112" s="13">
        <f t="shared" si="93"/>
        <v>51.501250007095145</v>
      </c>
      <c r="CB112" s="20">
        <f t="shared" si="64"/>
        <v>451.988224429024</v>
      </c>
      <c r="CC112" s="59">
        <f t="shared" si="65"/>
        <v>745.32155776235732</v>
      </c>
      <c r="CD112" s="59">
        <f ca="1">AVERAGE(OFFSET($CC$3,0,0,'Données projet'!$E$12+1,1))-AVERAGE(OFFSET($H$3,0,0,'Données projet'!$E$12+1,1))</f>
        <v>169.62156467157178</v>
      </c>
      <c r="CE112" s="59">
        <f t="shared" si="94"/>
        <v>85.631326020763254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4.6111381379887463E-14</v>
      </c>
      <c r="CV112" s="13">
        <f t="shared" si="95"/>
        <v>7.5804141040779151E-13</v>
      </c>
      <c r="CW112" s="20">
        <f t="shared" si="67"/>
        <v>1.4005661123635408E-12</v>
      </c>
      <c r="CX112" s="59">
        <f t="shared" si="68"/>
        <v>293.33333333333474</v>
      </c>
      <c r="CY112" s="59">
        <f ca="1">AVERAGE(OFFSET($CX$3,0,0,'Données projet'!$E$13+1,1))-AVERAGE(OFFSET($H$3,0,0,'Données projet'!$E$13+1,1))</f>
        <v>234.59657655504111</v>
      </c>
      <c r="CZ112" s="59">
        <f t="shared" si="96"/>
        <v>285.10598666479211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0.95167751661714162</v>
      </c>
      <c r="DH112" s="21">
        <f>EXP(-LN(2)/2)*DH111+(1-EXP(-LN(2)/2))/(LN(2)/2)*DB112*DE112*VLOOKUP('Données projet'!$B$13,Paramètres!$A$1:$I$89,3,0)*0.475*44/12</f>
        <v>1.4113135309968887E-11</v>
      </c>
      <c r="DI112" s="22">
        <f t="shared" si="69"/>
        <v>0.95167751663125477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3.1</v>
      </c>
      <c r="DO112" s="12">
        <f>IF('Données projet'!$A$166&gt;35,DO111+DN112-DW111,IF(A112&lt;'Données projet'!$A$166,$DL$205^A112,IF(A112='Données projet'!$A$166,'Données projet'!$B$166,DO111+DN112-DW111)))</f>
        <v>229.9</v>
      </c>
      <c r="DP112" s="17">
        <f>DO112*VLOOKUP('Données projet'!$B$14,Paramètres!$A$1:$I$89,3,0)*VLOOKUP('Données projet'!$B$14,Paramètres!$A$1:$I$89,5,0)</f>
        <v>222.35928000000001</v>
      </c>
      <c r="DQ112" s="13">
        <f t="shared" si="97"/>
        <v>54.627344798341738</v>
      </c>
      <c r="DR112" s="20">
        <f t="shared" si="70"/>
        <v>482.41837152377849</v>
      </c>
      <c r="DS112" s="59">
        <f t="shared" si="71"/>
        <v>775.7517048571118</v>
      </c>
      <c r="DT112" s="59">
        <f ca="1">AVERAGE(OFFSET($DS$3,0,0,'Données projet'!$E$14+1,1))-AVERAGE(OFFSET($H$3,0,0,'Données projet'!$E$14+1,1))</f>
        <v>186.90852124957956</v>
      </c>
      <c r="DU112" s="59">
        <f t="shared" si="98"/>
        <v>93.013797128776446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3.1</v>
      </c>
      <c r="EJ112" s="12">
        <f>IF('Données projet'!$A$192&gt;35,EJ111+EI112-ER111,IF(A112&lt;'Données projet'!$A$192,$EG$205^A112,IF(A112='Données projet'!$A$192,'Données projet'!$B$192,EJ111+EI112-ER111)))</f>
        <v>229.9</v>
      </c>
      <c r="EK112" s="17">
        <f>EJ112*VLOOKUP('Données projet'!$B$15,Paramètres!$A$1:$I$89,3,0)*VLOOKUP('Données projet'!$B$15,Paramètres!$A$1:$I$89,5,0)</f>
        <v>247.46436</v>
      </c>
      <c r="EL112" s="13">
        <f t="shared" si="99"/>
        <v>60.042649980054001</v>
      </c>
      <c r="EM112" s="20">
        <f t="shared" si="73"/>
        <v>535.57470904859406</v>
      </c>
      <c r="EN112" s="59">
        <f t="shared" si="74"/>
        <v>828.90804238192732</v>
      </c>
      <c r="EO112" s="59">
        <f ca="1">AVERAGE(OFFSET($EN$3,0,0,'Données projet'!$E$15+1,1))-AVERAGE(OFFSET($H$3,0,0,'Données projet'!$E$15+1,1))</f>
        <v>217.10418688911096</v>
      </c>
      <c r="EP112" s="59">
        <f t="shared" si="100"/>
        <v>105.90631421515786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145.19188637714888</v>
      </c>
      <c r="T113" s="59">
        <f t="shared" si="88"/>
        <v>169.74069292032493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0.4537067069549382</v>
      </c>
      <c r="AA113" s="21">
        <f>EXP(-LN(2)/25)*AA112+(1-EXP(-LN(2)/25))/(LN(2)/25)*Calculateur!V113*Calculateur!X113*VLOOKUP('Données projet'!$B$9,Paramètres!$A$1:$I$89,3,0)*0.475*44/12</f>
        <v>0.94189100702887607</v>
      </c>
      <c r="AB113" s="21">
        <f>EXP(-LN(2)/2)*AB112+(1-EXP(-LN(2)/2))/(LN(2)/2)*V113*Y113*VLOOKUP('Données projet'!$B$9,Paramètres!$A$1:$I$89,3,0)*0.475*44/12</f>
        <v>3.6793813803132618E-12</v>
      </c>
      <c r="AC113" s="22">
        <f t="shared" si="57"/>
        <v>1.3955977139874935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-2.8421709430404007E-14</v>
      </c>
      <c r="AJ113" s="13">
        <f>AI113*VLOOKUP('Données projet'!$B$10,Paramètres!$A$1:$I$89,3,0)*VLOOKUP('Données projet'!$B$10,Paramètres!$A$1:$I$89,5,0)</f>
        <v>-2.4829205358400945E-14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254.24072778190163</v>
      </c>
      <c r="AO113" s="59">
        <f t="shared" si="90"/>
        <v>356.78706780980383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0.63021879290869842</v>
      </c>
      <c r="AV113" s="21">
        <f>EXP(-LN(2)/25)*AV112+(1-EXP(-LN(2)/25))/(LN(2)/25)*Calculateur!AQ113*Calculateur!AS113*VLOOKUP('Données projet'!$B$10,Paramètres!$A$1:$I$89,3,0)*0.475*44/12</f>
        <v>1.9252666116777253</v>
      </c>
      <c r="AW113" s="21">
        <f>EXP(-LN(2)/2)*AW112+(1-EXP(-LN(2)/2))/(LN(2)/2)*AQ113*AT113*VLOOKUP('Données projet'!$B$10,Paramètres!$A$1:$I$89,3,0)*0.475*44/12</f>
        <v>2.525667406113345E-11</v>
      </c>
      <c r="AX113" s="21">
        <f t="shared" si="60"/>
        <v>2.5554854046116806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-4.5474735088646412E-13</v>
      </c>
      <c r="BE113" s="13">
        <f>BD113*VLOOKUP('Données projet'!$B$11,Paramètres!$A$1:$I$89,3,0)*VLOOKUP('Données projet'!$B$11,Paramètres!$A$1:$I$89,5,0)</f>
        <v>-2.7193891583010558E-13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246.59447135626942</v>
      </c>
      <c r="BJ113" s="59">
        <f t="shared" si="92"/>
        <v>262.00382544285367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1.398241702875449</v>
      </c>
      <c r="BR113" s="21">
        <f>EXP(-LN(2)/2)*BR112+(1-EXP(-LN(2)/2))/(LN(2)/2)*BL113*BO113*VLOOKUP('Données projet'!$B$11,Paramètres!$A$1:$I$89,3,0)*0.475*44/12</f>
        <v>2.1581727081701476E-11</v>
      </c>
      <c r="BS113" s="22">
        <f t="shared" si="63"/>
        <v>1.3982417028970306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233</v>
      </c>
      <c r="BW113" s="12">
        <f>VLOOKUP(A113,'Données projet'!$A$113:$I$133,9,0)</f>
        <v>3.1</v>
      </c>
      <c r="BX113" s="12">
        <f t="array" ref="BX113">INDEX(BW:BW,MIN(IF(ISNUMBER(BW113:BW309),ROW(BW113:BW309),"")))</f>
        <v>3.1</v>
      </c>
      <c r="BY113" s="12">
        <f>IF('Données projet'!$A$114&gt;35,BY112+BX113-CG112,IF(A113&lt;'Données projet'!$A$114,$BV$205^A113,IF(A113='Données projet'!$A$114,'Données projet'!$B$114,BY112+BX113-CG112)))</f>
        <v>233</v>
      </c>
      <c r="BZ113" s="13">
        <f>BY113*VLOOKUP('Données projet'!$B$12,Paramètres!$A$1:$I$89,3,0)*VLOOKUP('Données projet'!$B$12,Paramètres!$A$1:$I$89,5,0)</f>
        <v>210.8184</v>
      </c>
      <c r="CA113" s="13">
        <f t="shared" si="93"/>
        <v>52.114386184062198</v>
      </c>
      <c r="CB113" s="20">
        <f t="shared" si="64"/>
        <v>457.94126927057499</v>
      </c>
      <c r="CC113" s="59">
        <f t="shared" si="65"/>
        <v>751.27460260390831</v>
      </c>
      <c r="CD113" s="59">
        <f ca="1">AVERAGE(OFFSET($CC$3,0,0,'Données projet'!$E$12+1,1))-AVERAGE(OFFSET($H$3,0,0,'Données projet'!$E$12+1,1))</f>
        <v>169.62156467157178</v>
      </c>
      <c r="CE113" s="59">
        <f t="shared" si="94"/>
        <v>85.631326020763254</v>
      </c>
      <c r="CF113" s="15">
        <f>IF(ISNA(VLOOKUP(A113,'Données projet'!$A$113:$I$133,3,0)),0,VLOOKUP(A113,'Données projet'!$A$113:$I$133,3,0))</f>
        <v>8</v>
      </c>
      <c r="CG113" s="15">
        <f>IF(ISNA(VLOOKUP(A113,'Données projet'!$A$113:$I$133,4,0)),0,VLOOKUP(A113,'Données projet'!$A$113:$I$133,4,0))</f>
        <v>27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4.6111381379887463E-14</v>
      </c>
      <c r="CV113" s="13">
        <f t="shared" si="95"/>
        <v>7.5804141040779151E-13</v>
      </c>
      <c r="CW113" s="20">
        <f t="shared" si="67"/>
        <v>1.4005661123635408E-12</v>
      </c>
      <c r="CX113" s="59">
        <f t="shared" si="68"/>
        <v>293.33333333333474</v>
      </c>
      <c r="CY113" s="59">
        <f ca="1">AVERAGE(OFFSET($CX$3,0,0,'Données projet'!$E$13+1,1))-AVERAGE(OFFSET($H$3,0,0,'Données projet'!$E$13+1,1))</f>
        <v>234.59657655504111</v>
      </c>
      <c r="CZ113" s="59">
        <f t="shared" si="96"/>
        <v>285.10598666479211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0.92565384487870039</v>
      </c>
      <c r="DH113" s="21">
        <f>EXP(-LN(2)/2)*DH112+(1-EXP(-LN(2)/2))/(LN(2)/2)*DB113*DE113*VLOOKUP('Données projet'!$B$13,Paramètres!$A$1:$I$89,3,0)*0.475*44/12</f>
        <v>9.9794936814823075E-12</v>
      </c>
      <c r="DI113" s="22">
        <f t="shared" si="69"/>
        <v>0.92565384488867986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233</v>
      </c>
      <c r="DM113" s="12">
        <f>VLOOKUP(A113,'Données projet'!$A$165:$I$185,9,0)</f>
        <v>3.1</v>
      </c>
      <c r="DN113" s="12">
        <f t="array" ref="DN113">INDEX(DM:DM,MIN(IF(ISNUMBER(DM113:DM309),ROW(DM113:DM309),"")))</f>
        <v>3.1</v>
      </c>
      <c r="DO113" s="12">
        <f>IF('Données projet'!$A$166&gt;35,DO112+DN113-DW112,IF(A113&lt;'Données projet'!$A$166,$DL$205^A113,IF(A113='Données projet'!$A$166,'Données projet'!$B$166,DO112+DN113-DW112)))</f>
        <v>233</v>
      </c>
      <c r="DP113" s="17">
        <f>DO113*VLOOKUP('Données projet'!$B$14,Paramètres!$A$1:$I$89,3,0)*VLOOKUP('Données projet'!$B$14,Paramètres!$A$1:$I$89,5,0)</f>
        <v>225.35760000000002</v>
      </c>
      <c r="DQ113" s="13">
        <f t="shared" si="97"/>
        <v>55.277697971185155</v>
      </c>
      <c r="DR113" s="20">
        <f t="shared" si="70"/>
        <v>488.7731439664808</v>
      </c>
      <c r="DS113" s="59">
        <f t="shared" si="71"/>
        <v>782.10647729981406</v>
      </c>
      <c r="DT113" s="59">
        <f ca="1">AVERAGE(OFFSET($DS$3,0,0,'Données projet'!$E$14+1,1))-AVERAGE(OFFSET($H$3,0,0,'Données projet'!$E$14+1,1))</f>
        <v>186.90852124957956</v>
      </c>
      <c r="DU113" s="59">
        <f t="shared" si="98"/>
        <v>93.013797128776446</v>
      </c>
      <c r="DV113" s="15">
        <f>IF(ISNA(VLOOKUP(A113,'Données projet'!$A$165:$I$185,3,0)),0,VLOOKUP(A113,'Données projet'!$A$165:$I$185,3,0))</f>
        <v>8</v>
      </c>
      <c r="DW113" s="15">
        <f>IF(ISNA(VLOOKUP(A113,'Données projet'!$A$165:$I$185,4,0)),0,VLOOKUP(A113,'Données projet'!$A$165:$I$185,4,0))</f>
        <v>27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233</v>
      </c>
      <c r="EH113" s="12">
        <f>VLOOKUP(A113,'Données projet'!$A$191:$I$211,9,0)</f>
        <v>3.1</v>
      </c>
      <c r="EI113" s="12">
        <f t="array" ref="EI113">INDEX(EH:EH,MIN(IF(ISNUMBER(EH113:EH309),ROW(EH113:EH309),"")))</f>
        <v>3.1</v>
      </c>
      <c r="EJ113" s="12">
        <f>IF('Données projet'!$A$192&gt;35,EJ112+EI113-ER112,IF(A113&lt;'Données projet'!$A$192,$EG$205^A113,IF(A113='Données projet'!$A$192,'Données projet'!$B$192,EJ112+EI113-ER112)))</f>
        <v>233</v>
      </c>
      <c r="EK113" s="17">
        <f>EJ113*VLOOKUP('Données projet'!$B$15,Paramètres!$A$1:$I$89,3,0)*VLOOKUP('Données projet'!$B$15,Paramètres!$A$1:$I$89,5,0)</f>
        <v>250.80119999999999</v>
      </c>
      <c r="EL113" s="13">
        <f t="shared" si="99"/>
        <v>60.757473811682686</v>
      </c>
      <c r="EM113" s="20">
        <f t="shared" si="73"/>
        <v>542.63135688868067</v>
      </c>
      <c r="EN113" s="59">
        <f t="shared" si="74"/>
        <v>835.96469022201404</v>
      </c>
      <c r="EO113" s="59">
        <f ca="1">AVERAGE(OFFSET($EN$3,0,0,'Données projet'!$E$15+1,1))-AVERAGE(OFFSET($H$3,0,0,'Données projet'!$E$15+1,1))</f>
        <v>217.10418688911096</v>
      </c>
      <c r="EP113" s="59">
        <f t="shared" si="100"/>
        <v>105.90631421515786</v>
      </c>
      <c r="EQ113" s="15">
        <f>IF(ISNA(VLOOKUP(A113,'Données projet'!$A$191:$I$211,3,0)),0,VLOOKUP(A113,'Données projet'!$A$191:$I$211,3,0))</f>
        <v>8</v>
      </c>
      <c r="ER113" s="15">
        <f>IF(ISNA(VLOOKUP(A113,'Données projet'!$A$191:$I$211,4,0)),0,VLOOKUP(A113,'Données projet'!$A$191:$I$211,4,0))</f>
        <v>27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145.19188637714888</v>
      </c>
      <c r="T114" s="59">
        <f t="shared" si="88"/>
        <v>169.74069292032493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0.44480979516531793</v>
      </c>
      <c r="AA114" s="21">
        <f>EXP(-LN(2)/25)*AA113+(1-EXP(-LN(2)/25))/(LN(2)/25)*Calculateur!V114*Calculateur!X114*VLOOKUP('Données projet'!$B$9,Paramètres!$A$1:$I$89,3,0)*0.475*44/12</f>
        <v>0.91613494790977612</v>
      </c>
      <c r="AB114" s="21">
        <f>EXP(-LN(2)/2)*AB113+(1-EXP(-LN(2)/2))/(LN(2)/2)*V114*Y114*VLOOKUP('Données projet'!$B$9,Paramètres!$A$1:$I$89,3,0)*0.475*44/12</f>
        <v>2.6017155245910268E-12</v>
      </c>
      <c r="AC114" s="22">
        <f t="shared" si="57"/>
        <v>1.3609447430776958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-2.8421709430404007E-14</v>
      </c>
      <c r="AJ114" s="13">
        <f>AI114*VLOOKUP('Données projet'!$B$10,Paramètres!$A$1:$I$89,3,0)*VLOOKUP('Données projet'!$B$10,Paramètres!$A$1:$I$89,5,0)</f>
        <v>-2.4829205358400945E-14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254.24072778190163</v>
      </c>
      <c r="AO114" s="59">
        <f t="shared" si="90"/>
        <v>356.78706780980383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0.61786058677526656</v>
      </c>
      <c r="AV114" s="21">
        <f>EXP(-LN(2)/25)*AV113+(1-EXP(-LN(2)/25))/(LN(2)/25)*Calculateur!AQ114*Calculateur!AS114*VLOOKUP('Données projet'!$B$10,Paramètres!$A$1:$I$89,3,0)*0.475*44/12</f>
        <v>1.872620094936027</v>
      </c>
      <c r="AW114" s="21">
        <f>EXP(-LN(2)/2)*AW113+(1-EXP(-LN(2)/2))/(LN(2)/2)*AQ114*AT114*VLOOKUP('Données projet'!$B$10,Paramètres!$A$1:$I$89,3,0)*0.475*44/12</f>
        <v>1.7859165498845841E-11</v>
      </c>
      <c r="AX114" s="21">
        <f t="shared" si="60"/>
        <v>2.4904806817291525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-4.5474735088646412E-13</v>
      </c>
      <c r="BE114" s="13">
        <f>BD114*VLOOKUP('Données projet'!$B$11,Paramètres!$A$1:$I$89,3,0)*VLOOKUP('Données projet'!$B$11,Paramètres!$A$1:$I$89,5,0)</f>
        <v>-2.7193891583010558E-13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246.59447135626942</v>
      </c>
      <c r="BJ114" s="59">
        <f t="shared" si="92"/>
        <v>262.00382544285367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1.3600067099799844</v>
      </c>
      <c r="BR114" s="21">
        <f>EXP(-LN(2)/2)*BR113+(1-EXP(-LN(2)/2))/(LN(2)/2)*BL114*BO114*VLOOKUP('Données projet'!$B$11,Paramètres!$A$1:$I$89,3,0)*0.475*44/12</f>
        <v>1.5260585569188472E-11</v>
      </c>
      <c r="BS114" s="22">
        <f t="shared" si="63"/>
        <v>1.3600067099952451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2.8</v>
      </c>
      <c r="BY114" s="12">
        <f>IF('Données projet'!$A$114&gt;35,BY113+BX114-CG113,IF(A114&lt;'Données projet'!$A$114,$BV$205^A114,IF(A114='Données projet'!$A$114,'Données projet'!$B$114,BY113+BX114-CG113)))</f>
        <v>208.8</v>
      </c>
      <c r="BZ114" s="13">
        <f>BY114*VLOOKUP('Données projet'!$B$12,Paramètres!$A$1:$I$89,3,0)*VLOOKUP('Données projet'!$B$12,Paramètres!$A$1:$I$89,5,0)</f>
        <v>188.92224000000002</v>
      </c>
      <c r="CA114" s="13">
        <f t="shared" si="93"/>
        <v>47.301596587246017</v>
      </c>
      <c r="CB114" s="20">
        <f t="shared" si="64"/>
        <v>411.42318205612014</v>
      </c>
      <c r="CC114" s="59">
        <f t="shared" si="65"/>
        <v>704.7565153894534</v>
      </c>
      <c r="CD114" s="59">
        <f ca="1">AVERAGE(OFFSET($CC$3,0,0,'Données projet'!$E$12+1,1))-AVERAGE(OFFSET($H$3,0,0,'Données projet'!$E$12+1,1))</f>
        <v>169.62156467157178</v>
      </c>
      <c r="CE114" s="59">
        <f t="shared" si="94"/>
        <v>85.631326020763254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4.6111381379887463E-14</v>
      </c>
      <c r="CV114" s="13">
        <f t="shared" si="95"/>
        <v>7.5804141040779151E-13</v>
      </c>
      <c r="CW114" s="20">
        <f t="shared" si="67"/>
        <v>1.4005661123635408E-12</v>
      </c>
      <c r="CX114" s="59">
        <f t="shared" si="68"/>
        <v>293.33333333333474</v>
      </c>
      <c r="CY114" s="59">
        <f ca="1">AVERAGE(OFFSET($CX$3,0,0,'Données projet'!$E$13+1,1))-AVERAGE(OFFSET($H$3,0,0,'Données projet'!$E$13+1,1))</f>
        <v>234.59657655504111</v>
      </c>
      <c r="CZ114" s="59">
        <f t="shared" si="96"/>
        <v>285.10598666479211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0.9003417918124722</v>
      </c>
      <c r="DH114" s="21">
        <f>EXP(-LN(2)/2)*DH113+(1-EXP(-LN(2)/2))/(LN(2)/2)*DB114*DE114*VLOOKUP('Données projet'!$B$13,Paramètres!$A$1:$I$89,3,0)*0.475*44/12</f>
        <v>7.0565676549844437E-12</v>
      </c>
      <c r="DI114" s="22">
        <f t="shared" si="69"/>
        <v>0.90034179181952878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2.8</v>
      </c>
      <c r="DO114" s="12">
        <f>IF('Données projet'!$A$166&gt;35,DO113+DN114-DW113,IF(A114&lt;'Données projet'!$A$166,$DL$205^A114,IF(A114='Données projet'!$A$166,'Données projet'!$B$166,DO113+DN114-DW113)))</f>
        <v>208.8</v>
      </c>
      <c r="DP114" s="17">
        <f>DO114*VLOOKUP('Données projet'!$B$14,Paramètres!$A$1:$I$89,3,0)*VLOOKUP('Données projet'!$B$14,Paramètres!$A$1:$I$89,5,0)</f>
        <v>201.95136000000002</v>
      </c>
      <c r="DQ114" s="13">
        <f t="shared" si="97"/>
        <v>50.172774950657931</v>
      </c>
      <c r="DR114" s="20">
        <f t="shared" si="70"/>
        <v>439.11620170572928</v>
      </c>
      <c r="DS114" s="59">
        <f t="shared" si="71"/>
        <v>732.44953503906254</v>
      </c>
      <c r="DT114" s="59">
        <f ca="1">AVERAGE(OFFSET($DS$3,0,0,'Données projet'!$E$14+1,1))-AVERAGE(OFFSET($H$3,0,0,'Données projet'!$E$14+1,1))</f>
        <v>186.90852124957956</v>
      </c>
      <c r="DU114" s="59">
        <f t="shared" si="98"/>
        <v>93.013797128776446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2.8</v>
      </c>
      <c r="EJ114" s="12">
        <f>IF('Données projet'!$A$192&gt;35,EJ113+EI114-ER113,IF(A114&lt;'Données projet'!$A$192,$EG$205^A114,IF(A114='Données projet'!$A$192,'Données projet'!$B$192,EJ113+EI114-ER113)))</f>
        <v>208.8</v>
      </c>
      <c r="EK114" s="17">
        <f>EJ114*VLOOKUP('Données projet'!$B$15,Paramètres!$A$1:$I$89,3,0)*VLOOKUP('Données projet'!$B$15,Paramètres!$A$1:$I$89,5,0)</f>
        <v>224.75232000000003</v>
      </c>
      <c r="EL114" s="13">
        <f t="shared" si="99"/>
        <v>55.146490754971083</v>
      </c>
      <c r="EM114" s="20">
        <f t="shared" si="73"/>
        <v>487.4904287315747</v>
      </c>
      <c r="EN114" s="59">
        <f t="shared" si="74"/>
        <v>780.82376206490801</v>
      </c>
      <c r="EO114" s="59">
        <f ca="1">AVERAGE(OFFSET($EN$3,0,0,'Données projet'!$E$15+1,1))-AVERAGE(OFFSET($H$3,0,0,'Données projet'!$E$15+1,1))</f>
        <v>217.10418688911096</v>
      </c>
      <c r="EP114" s="59">
        <f t="shared" si="100"/>
        <v>105.90631421515786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145.19188637714888</v>
      </c>
      <c r="T115" s="59">
        <f t="shared" si="88"/>
        <v>169.74069292032493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0.43608734638931174</v>
      </c>
      <c r="AA115" s="21">
        <f>EXP(-LN(2)/25)*AA114+(1-EXP(-LN(2)/25))/(LN(2)/25)*Calculateur!V115*Calculateur!X115*VLOOKUP('Données projet'!$B$9,Paramètres!$A$1:$I$89,3,0)*0.475*44/12</f>
        <v>0.89108318958174026</v>
      </c>
      <c r="AB115" s="21">
        <f>EXP(-LN(2)/2)*AB114+(1-EXP(-LN(2)/2))/(LN(2)/2)*V115*Y115*VLOOKUP('Données projet'!$B$9,Paramètres!$A$1:$I$89,3,0)*0.475*44/12</f>
        <v>1.8396906901566309E-12</v>
      </c>
      <c r="AC115" s="22">
        <f t="shared" si="57"/>
        <v>1.3271705359728916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-2.8421709430404007E-14</v>
      </c>
      <c r="AJ115" s="13">
        <f>AI115*VLOOKUP('Données projet'!$B$10,Paramètres!$A$1:$I$89,3,0)*VLOOKUP('Données projet'!$B$10,Paramètres!$A$1:$I$89,5,0)</f>
        <v>-2.4829205358400945E-14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254.24072778190163</v>
      </c>
      <c r="AO115" s="59">
        <f t="shared" si="90"/>
        <v>356.78706780980383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0.60574471752634995</v>
      </c>
      <c r="AV115" s="21">
        <f>EXP(-LN(2)/25)*AV114+(1-EXP(-LN(2)/25))/(LN(2)/25)*Calculateur!AQ115*Calculateur!AS115*VLOOKUP('Données projet'!$B$10,Paramètres!$A$1:$I$89,3,0)*0.475*44/12</f>
        <v>1.8214131999631904</v>
      </c>
      <c r="AW115" s="21">
        <f>EXP(-LN(2)/2)*AW114+(1-EXP(-LN(2)/2))/(LN(2)/2)*AQ115*AT115*VLOOKUP('Données projet'!$B$10,Paramètres!$A$1:$I$89,3,0)*0.475*44/12</f>
        <v>1.2628337030566725E-11</v>
      </c>
      <c r="AX115" s="21">
        <f t="shared" si="60"/>
        <v>2.4271579175021687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-4.5474735088646412E-13</v>
      </c>
      <c r="BE115" s="13">
        <f>BD115*VLOOKUP('Données projet'!$B$11,Paramètres!$A$1:$I$89,3,0)*VLOOKUP('Données projet'!$B$11,Paramètres!$A$1:$I$89,5,0)</f>
        <v>-2.7193891583010558E-13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246.59447135626942</v>
      </c>
      <c r="BJ115" s="59">
        <f t="shared" si="92"/>
        <v>262.00382544285367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1.3228172549759372</v>
      </c>
      <c r="BR115" s="21">
        <f>EXP(-LN(2)/2)*BR114+(1-EXP(-LN(2)/2))/(LN(2)/2)*BL115*BO115*VLOOKUP('Données projet'!$B$11,Paramètres!$A$1:$I$89,3,0)*0.475*44/12</f>
        <v>1.0790863540850738E-11</v>
      </c>
      <c r="BS115" s="22">
        <f t="shared" si="63"/>
        <v>1.3228172549867281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2.8</v>
      </c>
      <c r="BY115" s="12">
        <f>IF('Données projet'!$A$114&gt;35,BY114+BX115-CG114,IF(A115&lt;'Données projet'!$A$114,$BV$205^A115,IF(A115='Données projet'!$A$114,'Données projet'!$B$114,BY114+BX115-CG114)))</f>
        <v>211.60000000000002</v>
      </c>
      <c r="BZ115" s="13">
        <f>BY115*VLOOKUP('Données projet'!$B$12,Paramètres!$A$1:$I$89,3,0)*VLOOKUP('Données projet'!$B$12,Paramètres!$A$1:$I$89,5,0)</f>
        <v>191.45568000000003</v>
      </c>
      <c r="CA115" s="13">
        <f t="shared" si="93"/>
        <v>47.861639935303188</v>
      </c>
      <c r="CB115" s="20">
        <f t="shared" si="64"/>
        <v>416.81099888731978</v>
      </c>
      <c r="CC115" s="59">
        <f t="shared" si="65"/>
        <v>710.14433222065304</v>
      </c>
      <c r="CD115" s="59">
        <f ca="1">AVERAGE(OFFSET($CC$3,0,0,'Données projet'!$E$12+1,1))-AVERAGE(OFFSET($H$3,0,0,'Données projet'!$E$12+1,1))</f>
        <v>169.62156467157178</v>
      </c>
      <c r="CE115" s="59">
        <f t="shared" si="94"/>
        <v>85.631326020763254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4.6111381379887463E-14</v>
      </c>
      <c r="CV115" s="13">
        <f t="shared" si="95"/>
        <v>7.5804141040779151E-13</v>
      </c>
      <c r="CW115" s="20">
        <f t="shared" si="67"/>
        <v>1.4005661123635408E-12</v>
      </c>
      <c r="CX115" s="59">
        <f t="shared" si="68"/>
        <v>293.33333333333474</v>
      </c>
      <c r="CY115" s="59">
        <f ca="1">AVERAGE(OFFSET($CX$3,0,0,'Données projet'!$E$13+1,1))-AVERAGE(OFFSET($H$3,0,0,'Données projet'!$E$13+1,1))</f>
        <v>234.59657655504111</v>
      </c>
      <c r="CZ115" s="59">
        <f t="shared" si="96"/>
        <v>285.10598666479211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0.87572189816844304</v>
      </c>
      <c r="DH115" s="21">
        <f>EXP(-LN(2)/2)*DH114+(1-EXP(-LN(2)/2))/(LN(2)/2)*DB115*DE115*VLOOKUP('Données projet'!$B$13,Paramètres!$A$1:$I$89,3,0)*0.475*44/12</f>
        <v>4.9897468407411538E-12</v>
      </c>
      <c r="DI115" s="22">
        <f t="shared" si="69"/>
        <v>0.87572189817343282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2.8</v>
      </c>
      <c r="DO115" s="12">
        <f>IF('Données projet'!$A$166&gt;35,DO114+DN115-DW114,IF(A115&lt;'Données projet'!$A$166,$DL$205^A115,IF(A115='Données projet'!$A$166,'Données projet'!$B$166,DO114+DN115-DW114)))</f>
        <v>211.60000000000002</v>
      </c>
      <c r="DP115" s="17">
        <f>DO115*VLOOKUP('Données projet'!$B$14,Paramètres!$A$1:$I$89,3,0)*VLOOKUP('Données projet'!$B$14,Paramètres!$A$1:$I$89,5,0)</f>
        <v>204.65952000000001</v>
      </c>
      <c r="DQ115" s="13">
        <f t="shared" si="97"/>
        <v>50.766812591921394</v>
      </c>
      <c r="DR115" s="20">
        <f t="shared" si="70"/>
        <v>444.86752926426311</v>
      </c>
      <c r="DS115" s="59">
        <f t="shared" si="71"/>
        <v>738.20086259759637</v>
      </c>
      <c r="DT115" s="59">
        <f ca="1">AVERAGE(OFFSET($DS$3,0,0,'Données projet'!$E$14+1,1))-AVERAGE(OFFSET($H$3,0,0,'Données projet'!$E$14+1,1))</f>
        <v>186.90852124957956</v>
      </c>
      <c r="DU115" s="59">
        <f t="shared" si="98"/>
        <v>93.013797128776446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2.8</v>
      </c>
      <c r="EJ115" s="12">
        <f>IF('Données projet'!$A$192&gt;35,EJ114+EI115-ER114,IF(A115&lt;'Données projet'!$A$192,$EG$205^A115,IF(A115='Données projet'!$A$192,'Données projet'!$B$192,EJ114+EI115-ER114)))</f>
        <v>211.60000000000002</v>
      </c>
      <c r="EK115" s="17">
        <f>EJ115*VLOOKUP('Données projet'!$B$15,Paramètres!$A$1:$I$89,3,0)*VLOOKUP('Données projet'!$B$15,Paramètres!$A$1:$I$89,5,0)</f>
        <v>227.76623999999998</v>
      </c>
      <c r="EL115" s="13">
        <f t="shared" si="99"/>
        <v>55.799416396900632</v>
      </c>
      <c r="EM115" s="20">
        <f t="shared" si="73"/>
        <v>493.87685155793525</v>
      </c>
      <c r="EN115" s="59">
        <f t="shared" si="74"/>
        <v>787.21018489126857</v>
      </c>
      <c r="EO115" s="59">
        <f ca="1">AVERAGE(OFFSET($EN$3,0,0,'Données projet'!$E$15+1,1))-AVERAGE(OFFSET($H$3,0,0,'Données projet'!$E$15+1,1))</f>
        <v>217.10418688911096</v>
      </c>
      <c r="EP115" s="59">
        <f t="shared" si="100"/>
        <v>105.90631421515786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145.19188637714888</v>
      </c>
      <c r="T116" s="59">
        <f t="shared" si="88"/>
        <v>169.74069292032493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0.42753593951363461</v>
      </c>
      <c r="AA116" s="21">
        <f>EXP(-LN(2)/25)*AA115+(1-EXP(-LN(2)/25))/(LN(2)/25)*Calculateur!V116*Calculateur!X116*VLOOKUP('Données projet'!$B$9,Paramètres!$A$1:$I$89,3,0)*0.475*44/12</f>
        <v>0.86671647290259923</v>
      </c>
      <c r="AB116" s="21">
        <f>EXP(-LN(2)/2)*AB115+(1-EXP(-LN(2)/2))/(LN(2)/2)*V116*Y116*VLOOKUP('Données projet'!$B$9,Paramètres!$A$1:$I$89,3,0)*0.475*44/12</f>
        <v>1.3008577622955134E-12</v>
      </c>
      <c r="AC116" s="22">
        <f t="shared" si="57"/>
        <v>1.2942524124175347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-2.8421709430404007E-14</v>
      </c>
      <c r="AJ116" s="13">
        <f>AI116*VLOOKUP('Données projet'!$B$10,Paramètres!$A$1:$I$89,3,0)*VLOOKUP('Données projet'!$B$10,Paramètres!$A$1:$I$89,5,0)</f>
        <v>-2.4829205358400945E-14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254.24072778190163</v>
      </c>
      <c r="AO116" s="59">
        <f t="shared" si="90"/>
        <v>356.78706780980383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0.59386643308345399</v>
      </c>
      <c r="AV116" s="21">
        <f>EXP(-LN(2)/25)*AV115+(1-EXP(-LN(2)/25))/(LN(2)/25)*Calculateur!AQ116*Calculateur!AS116*VLOOKUP('Données projet'!$B$10,Paramètres!$A$1:$I$89,3,0)*0.475*44/12</f>
        <v>1.7716065602262396</v>
      </c>
      <c r="AW116" s="21">
        <f>EXP(-LN(2)/2)*AW115+(1-EXP(-LN(2)/2))/(LN(2)/2)*AQ116*AT116*VLOOKUP('Données projet'!$B$10,Paramètres!$A$1:$I$89,3,0)*0.475*44/12</f>
        <v>8.9295827494229203E-12</v>
      </c>
      <c r="AX116" s="21">
        <f t="shared" si="60"/>
        <v>2.3654729933186234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-4.5474735088646412E-13</v>
      </c>
      <c r="BE116" s="13">
        <f>BD116*VLOOKUP('Données projet'!$B$11,Paramètres!$A$1:$I$89,3,0)*VLOOKUP('Données projet'!$B$11,Paramètres!$A$1:$I$89,5,0)</f>
        <v>-2.7193891583010558E-13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246.59447135626942</v>
      </c>
      <c r="BJ116" s="59">
        <f t="shared" si="92"/>
        <v>262.00382544285367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1.2866447475746841</v>
      </c>
      <c r="BR116" s="21">
        <f>EXP(-LN(2)/2)*BR115+(1-EXP(-LN(2)/2))/(LN(2)/2)*BL116*BO116*VLOOKUP('Données projet'!$B$11,Paramètres!$A$1:$I$89,3,0)*0.475*44/12</f>
        <v>7.6302927845942359E-12</v>
      </c>
      <c r="BS116" s="22">
        <f t="shared" si="63"/>
        <v>1.2866447475823144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2.8</v>
      </c>
      <c r="BY116" s="12">
        <f>IF('Données projet'!$A$114&gt;35,BY115+BX116-CG115,IF(A116&lt;'Données projet'!$A$114,$BV$205^A116,IF(A116='Données projet'!$A$114,'Données projet'!$B$114,BY115+BX116-CG115)))</f>
        <v>214.40000000000003</v>
      </c>
      <c r="BZ116" s="13">
        <f>BY116*VLOOKUP('Données projet'!$B$12,Paramètres!$A$1:$I$89,3,0)*VLOOKUP('Données projet'!$B$12,Paramètres!$A$1:$I$89,5,0)</f>
        <v>193.98912000000004</v>
      </c>
      <c r="CA116" s="13">
        <f t="shared" si="93"/>
        <v>48.420821305775476</v>
      </c>
      <c r="CB116" s="20">
        <f t="shared" si="64"/>
        <v>422.19731444089234</v>
      </c>
      <c r="CC116" s="59">
        <f t="shared" si="65"/>
        <v>715.5306477742256</v>
      </c>
      <c r="CD116" s="59">
        <f ca="1">AVERAGE(OFFSET($CC$3,0,0,'Données projet'!$E$12+1,1))-AVERAGE(OFFSET($H$3,0,0,'Données projet'!$E$12+1,1))</f>
        <v>169.62156467157178</v>
      </c>
      <c r="CE116" s="59">
        <f t="shared" si="94"/>
        <v>85.631326020763254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4.6111381379887463E-14</v>
      </c>
      <c r="CV116" s="13">
        <f t="shared" si="95"/>
        <v>7.5804141040779151E-13</v>
      </c>
      <c r="CW116" s="20">
        <f t="shared" si="67"/>
        <v>1.4005661123635408E-12</v>
      </c>
      <c r="CX116" s="59">
        <f t="shared" si="68"/>
        <v>293.33333333333474</v>
      </c>
      <c r="CY116" s="59">
        <f ca="1">AVERAGE(OFFSET($CX$3,0,0,'Données projet'!$E$13+1,1))-AVERAGE(OFFSET($H$3,0,0,'Données projet'!$E$13+1,1))</f>
        <v>234.59657655504111</v>
      </c>
      <c r="CZ116" s="59">
        <f t="shared" si="96"/>
        <v>285.10598666479211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0.8517752368108138</v>
      </c>
      <c r="DH116" s="21">
        <f>EXP(-LN(2)/2)*DH115+(1-EXP(-LN(2)/2))/(LN(2)/2)*DB116*DE116*VLOOKUP('Données projet'!$B$13,Paramètres!$A$1:$I$89,3,0)*0.475*44/12</f>
        <v>3.5282838274922219E-12</v>
      </c>
      <c r="DI116" s="22">
        <f t="shared" si="69"/>
        <v>0.85177523681434208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2.8</v>
      </c>
      <c r="DO116" s="12">
        <f>IF('Données projet'!$A$166&gt;35,DO115+DN116-DW115,IF(A116&lt;'Données projet'!$A$166,$DL$205^A116,IF(A116='Données projet'!$A$166,'Données projet'!$B$166,DO115+DN116-DW115)))</f>
        <v>214.40000000000003</v>
      </c>
      <c r="DP116" s="17">
        <f>DO116*VLOOKUP('Données projet'!$B$14,Paramètres!$A$1:$I$89,3,0)*VLOOKUP('Données projet'!$B$14,Paramètres!$A$1:$I$89,5,0)</f>
        <v>207.36768000000004</v>
      </c>
      <c r="DQ116" s="13">
        <f t="shared" si="97"/>
        <v>51.359935934080831</v>
      </c>
      <c r="DR116" s="20">
        <f t="shared" si="70"/>
        <v>450.61726441852414</v>
      </c>
      <c r="DS116" s="59">
        <f t="shared" si="71"/>
        <v>743.95059775185746</v>
      </c>
      <c r="DT116" s="59">
        <f ca="1">AVERAGE(OFFSET($DS$3,0,0,'Données projet'!$E$14+1,1))-AVERAGE(OFFSET($H$3,0,0,'Données projet'!$E$14+1,1))</f>
        <v>186.90852124957956</v>
      </c>
      <c r="DU116" s="59">
        <f t="shared" si="98"/>
        <v>93.013797128776446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2.8</v>
      </c>
      <c r="EJ116" s="12">
        <f>IF('Données projet'!$A$192&gt;35,EJ115+EI116-ER115,IF(A116&lt;'Données projet'!$A$192,$EG$205^A116,IF(A116='Données projet'!$A$192,'Données projet'!$B$192,EJ115+EI116-ER115)))</f>
        <v>214.40000000000003</v>
      </c>
      <c r="EK116" s="17">
        <f>EJ116*VLOOKUP('Données projet'!$B$15,Paramètres!$A$1:$I$89,3,0)*VLOOKUP('Données projet'!$B$15,Paramètres!$A$1:$I$89,5,0)</f>
        <v>230.78016000000002</v>
      </c>
      <c r="EL116" s="13">
        <f t="shared" si="99"/>
        <v>56.451337103640888</v>
      </c>
      <c r="EM116" s="20">
        <f t="shared" si="73"/>
        <v>500.26152412217448</v>
      </c>
      <c r="EN116" s="59">
        <f t="shared" si="74"/>
        <v>793.59485745550774</v>
      </c>
      <c r="EO116" s="59">
        <f ca="1">AVERAGE(OFFSET($EN$3,0,0,'Données projet'!$E$15+1,1))-AVERAGE(OFFSET($H$3,0,0,'Données projet'!$E$15+1,1))</f>
        <v>217.10418688911096</v>
      </c>
      <c r="EP116" s="59">
        <f t="shared" si="100"/>
        <v>105.90631421515786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145.19188637714888</v>
      </c>
      <c r="T117" s="59">
        <f t="shared" si="88"/>
        <v>169.74069292032493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0.41915222051094631</v>
      </c>
      <c r="AA117" s="21">
        <f>EXP(-LN(2)/25)*AA116+(1-EXP(-LN(2)/25))/(LN(2)/25)*Calculateur!V117*Calculateur!X117*VLOOKUP('Données projet'!$B$9,Paramètres!$A$1:$I$89,3,0)*0.475*44/12</f>
        <v>0.84301606537243923</v>
      </c>
      <c r="AB117" s="21">
        <f>EXP(-LN(2)/2)*AB116+(1-EXP(-LN(2)/2))/(LN(2)/2)*V117*Y117*VLOOKUP('Données projet'!$B$9,Paramètres!$A$1:$I$89,3,0)*0.475*44/12</f>
        <v>9.1984534507831545E-13</v>
      </c>
      <c r="AC117" s="22">
        <f t="shared" si="57"/>
        <v>1.2621682858843055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-2.8421709430404007E-14</v>
      </c>
      <c r="AJ117" s="13">
        <f>AI117*VLOOKUP('Données projet'!$B$10,Paramètres!$A$1:$I$89,3,0)*VLOOKUP('Données projet'!$B$10,Paramètres!$A$1:$I$89,5,0)</f>
        <v>-2.4829205358400945E-14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254.24072778190163</v>
      </c>
      <c r="AO117" s="59">
        <f t="shared" si="90"/>
        <v>356.78706780980383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0.58222107455344507</v>
      </c>
      <c r="AV117" s="21">
        <f>EXP(-LN(2)/25)*AV116+(1-EXP(-LN(2)/25))/(LN(2)/25)*Calculateur!AQ117*Calculateur!AS117*VLOOKUP('Données projet'!$B$10,Paramètres!$A$1:$I$89,3,0)*0.475*44/12</f>
        <v>1.7231618856721131</v>
      </c>
      <c r="AW117" s="21">
        <f>EXP(-LN(2)/2)*AW116+(1-EXP(-LN(2)/2))/(LN(2)/2)*AQ117*AT117*VLOOKUP('Données projet'!$B$10,Paramètres!$A$1:$I$89,3,0)*0.475*44/12</f>
        <v>6.3141685152833625E-12</v>
      </c>
      <c r="AX117" s="21">
        <f t="shared" si="60"/>
        <v>2.3053829602318725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-4.5474735088646412E-13</v>
      </c>
      <c r="BE117" s="13">
        <f>BD117*VLOOKUP('Données projet'!$B$11,Paramètres!$A$1:$I$89,3,0)*VLOOKUP('Données projet'!$B$11,Paramètres!$A$1:$I$89,5,0)</f>
        <v>-2.7193891583010558E-13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246.59447135626942</v>
      </c>
      <c r="BJ117" s="59">
        <f t="shared" si="92"/>
        <v>262.00382544285367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1.2514613792905478</v>
      </c>
      <c r="BR117" s="21">
        <f>EXP(-LN(2)/2)*BR116+(1-EXP(-LN(2)/2))/(LN(2)/2)*BL117*BO117*VLOOKUP('Données projet'!$B$11,Paramètres!$A$1:$I$89,3,0)*0.475*44/12</f>
        <v>5.3954317704253689E-12</v>
      </c>
      <c r="BS117" s="22">
        <f t="shared" si="63"/>
        <v>1.2514613792959433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2.8</v>
      </c>
      <c r="BY117" s="12">
        <f>IF('Données projet'!$A$114&gt;35,BY116+BX117-CG116,IF(A117&lt;'Données projet'!$A$114,$BV$205^A117,IF(A117='Données projet'!$A$114,'Données projet'!$B$114,BY116+BX117-CG116)))</f>
        <v>217.20000000000005</v>
      </c>
      <c r="BZ117" s="13">
        <f>BY117*VLOOKUP('Données projet'!$B$12,Paramètres!$A$1:$I$89,3,0)*VLOOKUP('Données projet'!$B$12,Paramètres!$A$1:$I$89,5,0)</f>
        <v>196.52256000000003</v>
      </c>
      <c r="CA117" s="13">
        <f t="shared" si="93"/>
        <v>48.979153257338155</v>
      </c>
      <c r="CB117" s="20">
        <f t="shared" si="64"/>
        <v>427.58215058986394</v>
      </c>
      <c r="CC117" s="59">
        <f t="shared" si="65"/>
        <v>720.91548392319726</v>
      </c>
      <c r="CD117" s="59">
        <f ca="1">AVERAGE(OFFSET($CC$3,0,0,'Données projet'!$E$12+1,1))-AVERAGE(OFFSET($H$3,0,0,'Données projet'!$E$12+1,1))</f>
        <v>169.62156467157178</v>
      </c>
      <c r="CE117" s="59">
        <f t="shared" si="94"/>
        <v>85.631326020763254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4.6111381379887463E-14</v>
      </c>
      <c r="CV117" s="13">
        <f t="shared" si="95"/>
        <v>7.5804141040779151E-13</v>
      </c>
      <c r="CW117" s="20">
        <f t="shared" si="67"/>
        <v>1.4005661123635408E-12</v>
      </c>
      <c r="CX117" s="59">
        <f t="shared" si="68"/>
        <v>293.33333333333474</v>
      </c>
      <c r="CY117" s="59">
        <f ca="1">AVERAGE(OFFSET($CX$3,0,0,'Données projet'!$E$13+1,1))-AVERAGE(OFFSET($H$3,0,0,'Données projet'!$E$13+1,1))</f>
        <v>234.59657655504111</v>
      </c>
      <c r="CZ117" s="59">
        <f t="shared" si="96"/>
        <v>285.10598666479211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0.82848339816730909</v>
      </c>
      <c r="DH117" s="21">
        <f>EXP(-LN(2)/2)*DH116+(1-EXP(-LN(2)/2))/(LN(2)/2)*DB117*DE117*VLOOKUP('Données projet'!$B$13,Paramètres!$A$1:$I$89,3,0)*0.475*44/12</f>
        <v>2.4948734203705769E-12</v>
      </c>
      <c r="DI117" s="22">
        <f t="shared" si="69"/>
        <v>0.82848339816980399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2.8</v>
      </c>
      <c r="DO117" s="12">
        <f>IF('Données projet'!$A$166&gt;35,DO116+DN117-DW116,IF(A117&lt;'Données projet'!$A$166,$DL$205^A117,IF(A117='Données projet'!$A$166,'Données projet'!$B$166,DO116+DN117-DW116)))</f>
        <v>217.20000000000005</v>
      </c>
      <c r="DP117" s="17">
        <f>DO117*VLOOKUP('Données projet'!$B$14,Paramètres!$A$1:$I$89,3,0)*VLOOKUP('Données projet'!$B$14,Paramètres!$A$1:$I$89,5,0)</f>
        <v>210.07584000000003</v>
      </c>
      <c r="DQ117" s="13">
        <f t="shared" si="97"/>
        <v>51.952158298115599</v>
      </c>
      <c r="DR117" s="20">
        <f t="shared" si="70"/>
        <v>456.36543036921802</v>
      </c>
      <c r="DS117" s="59">
        <f t="shared" si="71"/>
        <v>749.69876370255133</v>
      </c>
      <c r="DT117" s="59">
        <f ca="1">AVERAGE(OFFSET($DS$3,0,0,'Données projet'!$E$14+1,1))-AVERAGE(OFFSET($H$3,0,0,'Données projet'!$E$14+1,1))</f>
        <v>186.90852124957956</v>
      </c>
      <c r="DU117" s="59">
        <f t="shared" si="98"/>
        <v>93.013797128776446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2.8</v>
      </c>
      <c r="EJ117" s="12">
        <f>IF('Données projet'!$A$192&gt;35,EJ116+EI117-ER116,IF(A117&lt;'Données projet'!$A$192,$EG$205^A117,IF(A117='Données projet'!$A$192,'Données projet'!$B$192,EJ116+EI117-ER116)))</f>
        <v>217.20000000000005</v>
      </c>
      <c r="EK117" s="17">
        <f>EJ117*VLOOKUP('Données projet'!$B$15,Paramètres!$A$1:$I$89,3,0)*VLOOKUP('Données projet'!$B$15,Paramètres!$A$1:$I$89,5,0)</f>
        <v>233.79408000000004</v>
      </c>
      <c r="EL117" s="13">
        <f t="shared" si="99"/>
        <v>57.102267516703527</v>
      </c>
      <c r="EM117" s="20">
        <f t="shared" si="73"/>
        <v>506.64447192492531</v>
      </c>
      <c r="EN117" s="59">
        <f t="shared" si="74"/>
        <v>799.97780525825863</v>
      </c>
      <c r="EO117" s="59">
        <f ca="1">AVERAGE(OFFSET($EN$3,0,0,'Données projet'!$E$15+1,1))-AVERAGE(OFFSET($H$3,0,0,'Données projet'!$E$15+1,1))</f>
        <v>217.10418688911096</v>
      </c>
      <c r="EP117" s="59">
        <f t="shared" si="100"/>
        <v>105.90631421515786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145.19188637714888</v>
      </c>
      <c r="T118" s="59">
        <f t="shared" si="88"/>
        <v>169.74069292032493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0.41093290112433706</v>
      </c>
      <c r="AA118" s="21">
        <f>EXP(-LN(2)/25)*AA117+(1-EXP(-LN(2)/25))/(LN(2)/25)*Calculateur!V118*Calculateur!X118*VLOOKUP('Données projet'!$B$9,Paramètres!$A$1:$I$89,3,0)*0.475*44/12</f>
        <v>0.81996374673254169</v>
      </c>
      <c r="AB118" s="21">
        <f>EXP(-LN(2)/2)*AB117+(1-EXP(-LN(2)/2))/(LN(2)/2)*V118*Y118*VLOOKUP('Données projet'!$B$9,Paramètres!$A$1:$I$89,3,0)*0.475*44/12</f>
        <v>6.5042888114775671E-13</v>
      </c>
      <c r="AC118" s="22">
        <f t="shared" si="57"/>
        <v>1.2308966478575292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-2.8421709430404007E-14</v>
      </c>
      <c r="AJ118" s="13">
        <f>AI118*VLOOKUP('Données projet'!$B$10,Paramètres!$A$1:$I$89,3,0)*VLOOKUP('Données projet'!$B$10,Paramètres!$A$1:$I$89,5,0)</f>
        <v>-2.4829205358400945E-14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254.24072778190163</v>
      </c>
      <c r="AO118" s="59">
        <f t="shared" si="90"/>
        <v>356.78706780980383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0.57080407440124237</v>
      </c>
      <c r="AV118" s="21">
        <f>EXP(-LN(2)/25)*AV117+(1-EXP(-LN(2)/25))/(LN(2)/25)*Calculateur!AQ118*Calculateur!AS118*VLOOKUP('Données projet'!$B$10,Paramètres!$A$1:$I$89,3,0)*0.475*44/12</f>
        <v>1.6760419332912639</v>
      </c>
      <c r="AW118" s="21">
        <f>EXP(-LN(2)/2)*AW117+(1-EXP(-LN(2)/2))/(LN(2)/2)*AQ118*AT118*VLOOKUP('Données projet'!$B$10,Paramètres!$A$1:$I$89,3,0)*0.475*44/12</f>
        <v>4.4647913747114602E-12</v>
      </c>
      <c r="AX118" s="21">
        <f t="shared" si="60"/>
        <v>2.2468460076969712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-4.5474735088646412E-13</v>
      </c>
      <c r="BE118" s="13">
        <f>BD118*VLOOKUP('Données projet'!$B$11,Paramètres!$A$1:$I$89,3,0)*VLOOKUP('Données projet'!$B$11,Paramètres!$A$1:$I$89,5,0)</f>
        <v>-2.7193891583010558E-13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246.59447135626942</v>
      </c>
      <c r="BJ118" s="59">
        <f t="shared" si="92"/>
        <v>262.00382544285367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1.217240102062354</v>
      </c>
      <c r="BR118" s="21">
        <f>EXP(-LN(2)/2)*BR117+(1-EXP(-LN(2)/2))/(LN(2)/2)*BL118*BO118*VLOOKUP('Données projet'!$B$11,Paramètres!$A$1:$I$89,3,0)*0.475*44/12</f>
        <v>3.8151463922971179E-12</v>
      </c>
      <c r="BS118" s="22">
        <f t="shared" si="63"/>
        <v>1.2172401020661692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2.8</v>
      </c>
      <c r="BY118" s="12">
        <f>IF('Données projet'!$A$114&gt;35,BY117+BX118-CG117,IF(A118&lt;'Données projet'!$A$114,$BV$205^A118,IF(A118='Données projet'!$A$114,'Données projet'!$B$114,BY117+BX118-CG117)))</f>
        <v>220.00000000000006</v>
      </c>
      <c r="BZ118" s="13">
        <f>BY118*VLOOKUP('Données projet'!$B$12,Paramètres!$A$1:$I$89,3,0)*VLOOKUP('Données projet'!$B$12,Paramètres!$A$1:$I$89,5,0)</f>
        <v>199.05600000000004</v>
      </c>
      <c r="CA118" s="13">
        <f t="shared" si="93"/>
        <v>49.536648006253934</v>
      </c>
      <c r="CB118" s="20">
        <f t="shared" si="64"/>
        <v>432.96552861089231</v>
      </c>
      <c r="CC118" s="59">
        <f t="shared" si="65"/>
        <v>726.29886194422556</v>
      </c>
      <c r="CD118" s="59">
        <f ca="1">AVERAGE(OFFSET($CC$3,0,0,'Données projet'!$E$12+1,1))-AVERAGE(OFFSET($H$3,0,0,'Données projet'!$E$12+1,1))</f>
        <v>169.62156467157178</v>
      </c>
      <c r="CE118" s="59">
        <f t="shared" si="94"/>
        <v>85.631326020763254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4.6111381379887463E-14</v>
      </c>
      <c r="CV118" s="13">
        <f t="shared" si="95"/>
        <v>7.5804141040779151E-13</v>
      </c>
      <c r="CW118" s="20">
        <f t="shared" si="67"/>
        <v>1.4005661123635408E-12</v>
      </c>
      <c r="CX118" s="59">
        <f t="shared" si="68"/>
        <v>293.33333333333474</v>
      </c>
      <c r="CY118" s="59">
        <f ca="1">AVERAGE(OFFSET($CX$3,0,0,'Données projet'!$E$13+1,1))-AVERAGE(OFFSET($H$3,0,0,'Données projet'!$E$13+1,1))</f>
        <v>234.59657655504111</v>
      </c>
      <c r="CZ118" s="59">
        <f t="shared" si="96"/>
        <v>285.10598666479211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0.80582847607637564</v>
      </c>
      <c r="DH118" s="21">
        <f>EXP(-LN(2)/2)*DH117+(1-EXP(-LN(2)/2))/(LN(2)/2)*DB118*DE118*VLOOKUP('Données projet'!$B$13,Paramètres!$A$1:$I$89,3,0)*0.475*44/12</f>
        <v>1.7641419137461109E-12</v>
      </c>
      <c r="DI118" s="22">
        <f t="shared" si="69"/>
        <v>0.80582847607813979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2.8</v>
      </c>
      <c r="DO118" s="12">
        <f>IF('Données projet'!$A$166&gt;35,DO117+DN118-DW117,IF(A118&lt;'Données projet'!$A$166,$DL$205^A118,IF(A118='Données projet'!$A$166,'Données projet'!$B$166,DO117+DN118-DW117)))</f>
        <v>220.00000000000006</v>
      </c>
      <c r="DP118" s="17">
        <f>DO118*VLOOKUP('Données projet'!$B$14,Paramètres!$A$1:$I$89,3,0)*VLOOKUP('Données projet'!$B$14,Paramètres!$A$1:$I$89,5,0)</f>
        <v>212.78400000000005</v>
      </c>
      <c r="DQ118" s="13">
        <f t="shared" si="97"/>
        <v>52.543492641808108</v>
      </c>
      <c r="DR118" s="20">
        <f t="shared" si="70"/>
        <v>462.11204968448243</v>
      </c>
      <c r="DS118" s="59">
        <f t="shared" si="71"/>
        <v>755.44538301781574</v>
      </c>
      <c r="DT118" s="59">
        <f ca="1">AVERAGE(OFFSET($DS$3,0,0,'Données projet'!$E$14+1,1))-AVERAGE(OFFSET($H$3,0,0,'Données projet'!$E$14+1,1))</f>
        <v>186.90852124957956</v>
      </c>
      <c r="DU118" s="59">
        <f t="shared" si="98"/>
        <v>93.013797128776446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2.8</v>
      </c>
      <c r="EJ118" s="12">
        <f>IF('Données projet'!$A$192&gt;35,EJ117+EI118-ER117,IF(A118&lt;'Données projet'!$A$192,$EG$205^A118,IF(A118='Données projet'!$A$192,'Données projet'!$B$192,EJ117+EI118-ER117)))</f>
        <v>220.00000000000006</v>
      </c>
      <c r="EK118" s="17">
        <f>EJ118*VLOOKUP('Données projet'!$B$15,Paramètres!$A$1:$I$89,3,0)*VLOOKUP('Données projet'!$B$15,Paramètres!$A$1:$I$89,5,0)</f>
        <v>236.80800000000008</v>
      </c>
      <c r="EL118" s="13">
        <f t="shared" si="99"/>
        <v>57.752221878398714</v>
      </c>
      <c r="EM118" s="20">
        <f t="shared" si="73"/>
        <v>513.02571977154446</v>
      </c>
      <c r="EN118" s="59">
        <f t="shared" si="74"/>
        <v>806.35905310487783</v>
      </c>
      <c r="EO118" s="59">
        <f ca="1">AVERAGE(OFFSET($EN$3,0,0,'Données projet'!$E$15+1,1))-AVERAGE(OFFSET($H$3,0,0,'Données projet'!$E$15+1,1))</f>
        <v>217.10418688911096</v>
      </c>
      <c r="EP118" s="59">
        <f t="shared" si="100"/>
        <v>105.90631421515786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145.19188637714888</v>
      </c>
      <c r="T119" s="59">
        <f t="shared" si="88"/>
        <v>169.74069292032493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0.40287475757760943</v>
      </c>
      <c r="AA119" s="21">
        <f>EXP(-LN(2)/25)*AA118+(1-EXP(-LN(2)/25))/(LN(2)/25)*Calculateur!V119*Calculateur!X119*VLOOKUP('Données projet'!$B$9,Paramètres!$A$1:$I$89,3,0)*0.475*44/12</f>
        <v>0.79754179495812094</v>
      </c>
      <c r="AB119" s="21">
        <f>EXP(-LN(2)/2)*AB118+(1-EXP(-LN(2)/2))/(LN(2)/2)*V119*Y119*VLOOKUP('Données projet'!$B$9,Paramètres!$A$1:$I$89,3,0)*0.475*44/12</f>
        <v>4.5992267253915772E-13</v>
      </c>
      <c r="AC119" s="22">
        <f t="shared" si="57"/>
        <v>1.2004165525361903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-2.8421709430404007E-14</v>
      </c>
      <c r="AJ119" s="13">
        <f>AI119*VLOOKUP('Données projet'!$B$10,Paramètres!$A$1:$I$89,3,0)*VLOOKUP('Données projet'!$B$10,Paramètres!$A$1:$I$89,5,0)</f>
        <v>-2.4829205358400945E-14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254.24072778190163</v>
      </c>
      <c r="AO119" s="59">
        <f t="shared" si="90"/>
        <v>356.78706780980383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0.55961095465834187</v>
      </c>
      <c r="AV119" s="21">
        <f>EXP(-LN(2)/25)*AV118+(1-EXP(-LN(2)/25))/(LN(2)/25)*Calculateur!AQ119*Calculateur!AS119*VLOOKUP('Données projet'!$B$10,Paramètres!$A$1:$I$89,3,0)*0.475*44/12</f>
        <v>1.6302104784861997</v>
      </c>
      <c r="AW119" s="21">
        <f>EXP(-LN(2)/2)*AW118+(1-EXP(-LN(2)/2))/(LN(2)/2)*AQ119*AT119*VLOOKUP('Données projet'!$B$10,Paramètres!$A$1:$I$89,3,0)*0.475*44/12</f>
        <v>3.1570842576416812E-12</v>
      </c>
      <c r="AX119" s="21">
        <f t="shared" si="60"/>
        <v>2.1898214331476988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-4.5474735088646412E-13</v>
      </c>
      <c r="BE119" s="13">
        <f>BD119*VLOOKUP('Données projet'!$B$11,Paramètres!$A$1:$I$89,3,0)*VLOOKUP('Données projet'!$B$11,Paramètres!$A$1:$I$89,5,0)</f>
        <v>-2.7193891583010558E-13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246.59447135626942</v>
      </c>
      <c r="BJ119" s="59">
        <f t="shared" si="92"/>
        <v>262.00382544285367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1.1839546074595839</v>
      </c>
      <c r="BR119" s="21">
        <f>EXP(-LN(2)/2)*BR118+(1-EXP(-LN(2)/2))/(LN(2)/2)*BL119*BO119*VLOOKUP('Données projet'!$B$11,Paramètres!$A$1:$I$89,3,0)*0.475*44/12</f>
        <v>2.6977158852126844E-12</v>
      </c>
      <c r="BS119" s="22">
        <f t="shared" si="63"/>
        <v>1.1839546074622815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2.8</v>
      </c>
      <c r="BY119" s="12">
        <f>IF('Données projet'!$A$114&gt;35,BY118+BX119-CG118,IF(A119&lt;'Données projet'!$A$114,$BV$205^A119,IF(A119='Données projet'!$A$114,'Données projet'!$B$114,BY118+BX119-CG118)))</f>
        <v>222.80000000000007</v>
      </c>
      <c r="BZ119" s="13">
        <f>BY119*VLOOKUP('Données projet'!$B$12,Paramètres!$A$1:$I$89,3,0)*VLOOKUP('Données projet'!$B$12,Paramètres!$A$1:$I$89,5,0)</f>
        <v>201.58944000000002</v>
      </c>
      <c r="CA119" s="13">
        <f t="shared" si="93"/>
        <v>50.093317439945402</v>
      </c>
      <c r="CB119" s="20">
        <f t="shared" si="64"/>
        <v>438.34746920790491</v>
      </c>
      <c r="CC119" s="59">
        <f t="shared" si="65"/>
        <v>731.68080254123822</v>
      </c>
      <c r="CD119" s="59">
        <f ca="1">AVERAGE(OFFSET($CC$3,0,0,'Données projet'!$E$12+1,1))-AVERAGE(OFFSET($H$3,0,0,'Données projet'!$E$12+1,1))</f>
        <v>169.62156467157178</v>
      </c>
      <c r="CE119" s="59">
        <f t="shared" si="94"/>
        <v>85.631326020763254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4.6111381379887463E-14</v>
      </c>
      <c r="CV119" s="13">
        <f t="shared" si="95"/>
        <v>7.5804141040779151E-13</v>
      </c>
      <c r="CW119" s="20">
        <f t="shared" si="67"/>
        <v>1.4005661123635408E-12</v>
      </c>
      <c r="CX119" s="59">
        <f t="shared" si="68"/>
        <v>293.33333333333474</v>
      </c>
      <c r="CY119" s="59">
        <f ca="1">AVERAGE(OFFSET($CX$3,0,0,'Données projet'!$E$13+1,1))-AVERAGE(OFFSET($H$3,0,0,'Données projet'!$E$13+1,1))</f>
        <v>234.59657655504111</v>
      </c>
      <c r="CZ119" s="59">
        <f t="shared" si="96"/>
        <v>285.10598666479211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0.78379305402138932</v>
      </c>
      <c r="DH119" s="21">
        <f>EXP(-LN(2)/2)*DH118+(1-EXP(-LN(2)/2))/(LN(2)/2)*DB119*DE119*VLOOKUP('Données projet'!$B$13,Paramètres!$A$1:$I$89,3,0)*0.475*44/12</f>
        <v>1.2474367101852884E-12</v>
      </c>
      <c r="DI119" s="22">
        <f t="shared" si="69"/>
        <v>0.78379305402263677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2.8</v>
      </c>
      <c r="DO119" s="12">
        <f>IF('Données projet'!$A$166&gt;35,DO118+DN119-DW118,IF(A119&lt;'Données projet'!$A$166,$DL$205^A119,IF(A119='Données projet'!$A$166,'Données projet'!$B$166,DO118+DN119-DW118)))</f>
        <v>222.80000000000007</v>
      </c>
      <c r="DP119" s="17">
        <f>DO119*VLOOKUP('Données projet'!$B$14,Paramètres!$A$1:$I$89,3,0)*VLOOKUP('Données projet'!$B$14,Paramètres!$A$1:$I$89,5,0)</f>
        <v>215.4921600000001</v>
      </c>
      <c r="DQ119" s="13">
        <f t="shared" si="97"/>
        <v>53.133951574140234</v>
      </c>
      <c r="DR119" s="20">
        <f t="shared" si="70"/>
        <v>467.8571443249611</v>
      </c>
      <c r="DS119" s="59">
        <f t="shared" si="71"/>
        <v>761.19047765829441</v>
      </c>
      <c r="DT119" s="59">
        <f ca="1">AVERAGE(OFFSET($DS$3,0,0,'Données projet'!$E$14+1,1))-AVERAGE(OFFSET($H$3,0,0,'Données projet'!$E$14+1,1))</f>
        <v>186.90852124957956</v>
      </c>
      <c r="DU119" s="59">
        <f t="shared" si="98"/>
        <v>93.013797128776446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2.8</v>
      </c>
      <c r="EJ119" s="12">
        <f>IF('Données projet'!$A$192&gt;35,EJ118+EI119-ER118,IF(A119&lt;'Données projet'!$A$192,$EG$205^A119,IF(A119='Données projet'!$A$192,'Données projet'!$B$192,EJ118+EI119-ER118)))</f>
        <v>222.80000000000007</v>
      </c>
      <c r="EK119" s="17">
        <f>EJ119*VLOOKUP('Données projet'!$B$15,Paramètres!$A$1:$I$89,3,0)*VLOOKUP('Données projet'!$B$15,Paramètres!$A$1:$I$89,5,0)</f>
        <v>239.82192000000006</v>
      </c>
      <c r="EL119" s="13">
        <f t="shared" si="99"/>
        <v>58.401214047659259</v>
      </c>
      <c r="EM119" s="20">
        <f t="shared" si="73"/>
        <v>519.40529179967325</v>
      </c>
      <c r="EN119" s="59">
        <f t="shared" si="74"/>
        <v>812.73862513300651</v>
      </c>
      <c r="EO119" s="59">
        <f ca="1">AVERAGE(OFFSET($EN$3,0,0,'Données projet'!$E$15+1,1))-AVERAGE(OFFSET($H$3,0,0,'Données projet'!$E$15+1,1))</f>
        <v>217.10418688911096</v>
      </c>
      <c r="EP119" s="59">
        <f t="shared" si="100"/>
        <v>105.90631421515786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145.19188637714888</v>
      </c>
      <c r="T120" s="59">
        <f t="shared" si="88"/>
        <v>169.74069292032493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0.39497462931085087</v>
      </c>
      <c r="AA120" s="21">
        <f>EXP(-LN(2)/25)*AA119+(1-EXP(-LN(2)/25))/(LN(2)/25)*Calculateur!V120*Calculateur!X120*VLOOKUP('Données projet'!$B$9,Paramètres!$A$1:$I$89,3,0)*0.475*44/12</f>
        <v>0.77573297263409091</v>
      </c>
      <c r="AB120" s="21">
        <f>EXP(-LN(2)/2)*AB119+(1-EXP(-LN(2)/2))/(LN(2)/2)*V120*Y120*VLOOKUP('Données projet'!$B$9,Paramètres!$A$1:$I$89,3,0)*0.475*44/12</f>
        <v>3.2521444057387835E-13</v>
      </c>
      <c r="AC120" s="22">
        <f t="shared" si="57"/>
        <v>1.1707076019452671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-2.8421709430404007E-14</v>
      </c>
      <c r="AJ120" s="13">
        <f>AI120*VLOOKUP('Données projet'!$B$10,Paramètres!$A$1:$I$89,3,0)*VLOOKUP('Données projet'!$B$10,Paramètres!$A$1:$I$89,5,0)</f>
        <v>-2.4829205358400945E-14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254.24072778190163</v>
      </c>
      <c r="AO120" s="59">
        <f t="shared" si="90"/>
        <v>356.78706780980383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0.54863732516647068</v>
      </c>
      <c r="AV120" s="21">
        <f>EXP(-LN(2)/25)*AV119+(1-EXP(-LN(2)/25))/(LN(2)/25)*Calculateur!AQ120*Calculateur!AS120*VLOOKUP('Données projet'!$B$10,Paramètres!$A$1:$I$89,3,0)*0.475*44/12</f>
        <v>1.5856322872229514</v>
      </c>
      <c r="AW120" s="21">
        <f>EXP(-LN(2)/2)*AW119+(1-EXP(-LN(2)/2))/(LN(2)/2)*AQ120*AT120*VLOOKUP('Données projet'!$B$10,Paramètres!$A$1:$I$89,3,0)*0.475*44/12</f>
        <v>2.2323956873557301E-12</v>
      </c>
      <c r="AX120" s="21">
        <f t="shared" si="60"/>
        <v>2.1342696123916545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-4.5474735088646412E-13</v>
      </c>
      <c r="BE120" s="13">
        <f>BD120*VLOOKUP('Données projet'!$B$11,Paramètres!$A$1:$I$89,3,0)*VLOOKUP('Données projet'!$B$11,Paramètres!$A$1:$I$89,5,0)</f>
        <v>-2.7193891583010558E-13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246.59447135626942</v>
      </c>
      <c r="BJ120" s="59">
        <f t="shared" si="92"/>
        <v>262.00382544285367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1.1515793064571347</v>
      </c>
      <c r="BR120" s="21">
        <f>EXP(-LN(2)/2)*BR119+(1-EXP(-LN(2)/2))/(LN(2)/2)*BL120*BO120*VLOOKUP('Données projet'!$B$11,Paramètres!$A$1:$I$89,3,0)*0.475*44/12</f>
        <v>1.907573196148559E-12</v>
      </c>
      <c r="BS120" s="22">
        <f t="shared" si="63"/>
        <v>1.1515793064590423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2.8</v>
      </c>
      <c r="BY120" s="12">
        <f>IF('Données projet'!$A$114&gt;35,BY119+BX120-CG119,IF(A120&lt;'Données projet'!$A$114,$BV$205^A120,IF(A120='Données projet'!$A$114,'Données projet'!$B$114,BY119+BX120-CG119)))</f>
        <v>225.60000000000008</v>
      </c>
      <c r="BZ120" s="13">
        <f>BY120*VLOOKUP('Données projet'!$B$12,Paramètres!$A$1:$I$89,3,0)*VLOOKUP('Données projet'!$B$12,Paramètres!$A$1:$I$89,5,0)</f>
        <v>204.12288000000007</v>
      </c>
      <c r="CA120" s="13">
        <f t="shared" si="93"/>
        <v>50.649173129865886</v>
      </c>
      <c r="CB120" s="20">
        <f t="shared" si="64"/>
        <v>443.72799253451655</v>
      </c>
      <c r="CC120" s="59">
        <f t="shared" si="65"/>
        <v>737.06132586784986</v>
      </c>
      <c r="CD120" s="59">
        <f ca="1">AVERAGE(OFFSET($CC$3,0,0,'Données projet'!$E$12+1,1))-AVERAGE(OFFSET($H$3,0,0,'Données projet'!$E$12+1,1))</f>
        <v>169.62156467157178</v>
      </c>
      <c r="CE120" s="59">
        <f t="shared" si="94"/>
        <v>85.631326020763254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4.6111381379887463E-14</v>
      </c>
      <c r="CV120" s="13">
        <f t="shared" si="95"/>
        <v>7.5804141040779151E-13</v>
      </c>
      <c r="CW120" s="20">
        <f t="shared" si="67"/>
        <v>1.4005661123635408E-12</v>
      </c>
      <c r="CX120" s="59">
        <f t="shared" si="68"/>
        <v>293.33333333333474</v>
      </c>
      <c r="CY120" s="59">
        <f ca="1">AVERAGE(OFFSET($CX$3,0,0,'Données projet'!$E$13+1,1))-AVERAGE(OFFSET($H$3,0,0,'Données projet'!$E$13+1,1))</f>
        <v>234.59657655504111</v>
      </c>
      <c r="CZ120" s="59">
        <f t="shared" si="96"/>
        <v>285.10598666479211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0.76236019174128911</v>
      </c>
      <c r="DH120" s="21">
        <f>EXP(-LN(2)/2)*DH119+(1-EXP(-LN(2)/2))/(LN(2)/2)*DB120*DE120*VLOOKUP('Données projet'!$B$13,Paramètres!$A$1:$I$89,3,0)*0.475*44/12</f>
        <v>8.8207095687305546E-13</v>
      </c>
      <c r="DI120" s="22">
        <f t="shared" si="69"/>
        <v>0.76236019174217118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2.8</v>
      </c>
      <c r="DO120" s="12">
        <f>IF('Données projet'!$A$166&gt;35,DO119+DN120-DW119,IF(A120&lt;'Données projet'!$A$166,$DL$205^A120,IF(A120='Données projet'!$A$166,'Données projet'!$B$166,DO119+DN120-DW119)))</f>
        <v>225.60000000000008</v>
      </c>
      <c r="DP120" s="17">
        <f>DO120*VLOOKUP('Données projet'!$B$14,Paramètres!$A$1:$I$89,3,0)*VLOOKUP('Données projet'!$B$14,Paramètres!$A$1:$I$89,5,0)</f>
        <v>218.20032000000006</v>
      </c>
      <c r="DQ120" s="13">
        <f t="shared" si="97"/>
        <v>53.723547368945717</v>
      </c>
      <c r="DR120" s="20">
        <f t="shared" si="70"/>
        <v>473.60073566758052</v>
      </c>
      <c r="DS120" s="59">
        <f t="shared" si="71"/>
        <v>766.93406900091384</v>
      </c>
      <c r="DT120" s="59">
        <f ca="1">AVERAGE(OFFSET($DS$3,0,0,'Données projet'!$E$14+1,1))-AVERAGE(OFFSET($H$3,0,0,'Données projet'!$E$14+1,1))</f>
        <v>186.90852124957956</v>
      </c>
      <c r="DU120" s="59">
        <f t="shared" si="98"/>
        <v>93.013797128776446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2.8</v>
      </c>
      <c r="EJ120" s="12">
        <f>IF('Données projet'!$A$192&gt;35,EJ119+EI120-ER119,IF(A120&lt;'Données projet'!$A$192,$EG$205^A120,IF(A120='Données projet'!$A$192,'Données projet'!$B$192,EJ119+EI120-ER119)))</f>
        <v>225.60000000000008</v>
      </c>
      <c r="EK120" s="17">
        <f>EJ120*VLOOKUP('Données projet'!$B$15,Paramètres!$A$1:$I$89,3,0)*VLOOKUP('Données projet'!$B$15,Paramètres!$A$1:$I$89,5,0)</f>
        <v>242.83584000000008</v>
      </c>
      <c r="EL120" s="13">
        <f t="shared" si="99"/>
        <v>59.049257515045376</v>
      </c>
      <c r="EM120" s="20">
        <f t="shared" si="73"/>
        <v>525.78321150537079</v>
      </c>
      <c r="EN120" s="59">
        <f t="shared" si="74"/>
        <v>819.11654483870416</v>
      </c>
      <c r="EO120" s="59">
        <f ca="1">AVERAGE(OFFSET($EN$3,0,0,'Données projet'!$E$15+1,1))-AVERAGE(OFFSET($H$3,0,0,'Données projet'!$E$15+1,1))</f>
        <v>217.10418688911096</v>
      </c>
      <c r="EP120" s="59">
        <f t="shared" si="100"/>
        <v>105.90631421515786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145.19188637714888</v>
      </c>
      <c r="T121" s="59">
        <f t="shared" si="88"/>
        <v>169.74069292032493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0.387229417740801</v>
      </c>
      <c r="AA121" s="21">
        <f>EXP(-LN(2)/25)*AA120+(1-EXP(-LN(2)/25))/(LN(2)/25)*Calculateur!V121*Calculateur!X121*VLOOKUP('Données projet'!$B$9,Paramètres!$A$1:$I$89,3,0)*0.475*44/12</f>
        <v>0.75452051370338757</v>
      </c>
      <c r="AB121" s="21">
        <f>EXP(-LN(2)/2)*AB120+(1-EXP(-LN(2)/2))/(LN(2)/2)*V121*Y121*VLOOKUP('Données projet'!$B$9,Paramètres!$A$1:$I$89,3,0)*0.475*44/12</f>
        <v>2.2996133626957886E-13</v>
      </c>
      <c r="AC121" s="22">
        <f t="shared" si="57"/>
        <v>1.1417499314444186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-2.8421709430404007E-14</v>
      </c>
      <c r="AJ121" s="13">
        <f>AI121*VLOOKUP('Données projet'!$B$10,Paramètres!$A$1:$I$89,3,0)*VLOOKUP('Données projet'!$B$10,Paramètres!$A$1:$I$89,5,0)</f>
        <v>-2.4829205358400945E-14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254.24072778190163</v>
      </c>
      <c r="AO121" s="59">
        <f t="shared" si="90"/>
        <v>356.78706780980383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0.537878881855682</v>
      </c>
      <c r="AV121" s="21">
        <f>EXP(-LN(2)/25)*AV120+(1-EXP(-LN(2)/25))/(LN(2)/25)*Calculateur!AQ121*Calculateur!AS121*VLOOKUP('Données projet'!$B$10,Paramètres!$A$1:$I$89,3,0)*0.475*44/12</f>
        <v>1.5422730889440617</v>
      </c>
      <c r="AW121" s="21">
        <f>EXP(-LN(2)/2)*AW120+(1-EXP(-LN(2)/2))/(LN(2)/2)*AQ121*AT121*VLOOKUP('Données projet'!$B$10,Paramètres!$A$1:$I$89,3,0)*0.475*44/12</f>
        <v>1.5785421288208406E-12</v>
      </c>
      <c r="AX121" s="21">
        <f t="shared" si="60"/>
        <v>2.0801519708013223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-4.5474735088646412E-13</v>
      </c>
      <c r="BE121" s="13">
        <f>BD121*VLOOKUP('Données projet'!$B$11,Paramètres!$A$1:$I$89,3,0)*VLOOKUP('Données projet'!$B$11,Paramètres!$A$1:$I$89,5,0)</f>
        <v>-2.7193891583010558E-13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246.59447135626942</v>
      </c>
      <c r="BJ121" s="59">
        <f t="shared" si="92"/>
        <v>262.00382544285367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1.1200893097631406</v>
      </c>
      <c r="BR121" s="21">
        <f>EXP(-LN(2)/2)*BR120+(1-EXP(-LN(2)/2))/(LN(2)/2)*BL121*BO121*VLOOKUP('Données projet'!$B$11,Paramètres!$A$1:$I$89,3,0)*0.475*44/12</f>
        <v>1.3488579426063422E-12</v>
      </c>
      <c r="BS121" s="22">
        <f t="shared" si="63"/>
        <v>1.1200893097644895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2.8</v>
      </c>
      <c r="BY121" s="12">
        <f>IF('Données projet'!$A$114&gt;35,BY120+BX121-CG120,IF(A121&lt;'Données projet'!$A$114,$BV$205^A121,IF(A121='Données projet'!$A$114,'Données projet'!$B$114,BY120+BX121-CG120)))</f>
        <v>228.40000000000009</v>
      </c>
      <c r="BZ121" s="13">
        <f>BY121*VLOOKUP('Données projet'!$B$12,Paramètres!$A$1:$I$89,3,0)*VLOOKUP('Données projet'!$B$12,Paramètres!$A$1:$I$89,5,0)</f>
        <v>206.65632000000005</v>
      </c>
      <c r="CA121" s="13">
        <f t="shared" si="93"/>
        <v>51.20422634371338</v>
      </c>
      <c r="CB121" s="20">
        <f t="shared" si="64"/>
        <v>449.10711821530089</v>
      </c>
      <c r="CC121" s="59">
        <f t="shared" si="65"/>
        <v>742.4404515486342</v>
      </c>
      <c r="CD121" s="59">
        <f ca="1">AVERAGE(OFFSET($CC$3,0,0,'Données projet'!$E$12+1,1))-AVERAGE(OFFSET($H$3,0,0,'Données projet'!$E$12+1,1))</f>
        <v>169.62156467157178</v>
      </c>
      <c r="CE121" s="59">
        <f t="shared" si="94"/>
        <v>85.631326020763254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4.6111381379887463E-14</v>
      </c>
      <c r="CV121" s="13">
        <f t="shared" si="95"/>
        <v>7.5804141040779151E-13</v>
      </c>
      <c r="CW121" s="20">
        <f t="shared" si="67"/>
        <v>1.4005661123635408E-12</v>
      </c>
      <c r="CX121" s="59">
        <f t="shared" si="68"/>
        <v>293.33333333333474</v>
      </c>
      <c r="CY121" s="59">
        <f ca="1">AVERAGE(OFFSET($CX$3,0,0,'Données projet'!$E$13+1,1))-AVERAGE(OFFSET($H$3,0,0,'Données projet'!$E$13+1,1))</f>
        <v>234.59657655504111</v>
      </c>
      <c r="CZ121" s="59">
        <f t="shared" si="96"/>
        <v>285.10598666479211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0.74151341220734346</v>
      </c>
      <c r="DH121" s="21">
        <f>EXP(-LN(2)/2)*DH120+(1-EXP(-LN(2)/2))/(LN(2)/2)*DB121*DE121*VLOOKUP('Données projet'!$B$13,Paramètres!$A$1:$I$89,3,0)*0.475*44/12</f>
        <v>6.2371835509264422E-13</v>
      </c>
      <c r="DI121" s="22">
        <f t="shared" si="69"/>
        <v>0.74151341220796718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2.8</v>
      </c>
      <c r="DO121" s="12">
        <f>IF('Données projet'!$A$166&gt;35,DO120+DN121-DW120,IF(A121&lt;'Données projet'!$A$166,$DL$205^A121,IF(A121='Données projet'!$A$166,'Données projet'!$B$166,DO120+DN121-DW120)))</f>
        <v>228.40000000000009</v>
      </c>
      <c r="DP121" s="17">
        <f>DO121*VLOOKUP('Données projet'!$B$14,Paramètres!$A$1:$I$89,3,0)*VLOOKUP('Données projet'!$B$14,Paramètres!$A$1:$I$89,5,0)</f>
        <v>220.90848000000011</v>
      </c>
      <c r="DQ121" s="13">
        <f t="shared" si="97"/>
        <v>54.312291977864867</v>
      </c>
      <c r="DR121" s="20">
        <f t="shared" si="70"/>
        <v>479.34284452811477</v>
      </c>
      <c r="DS121" s="59">
        <f t="shared" si="71"/>
        <v>772.67617786144808</v>
      </c>
      <c r="DT121" s="59">
        <f ca="1">AVERAGE(OFFSET($DS$3,0,0,'Données projet'!$E$14+1,1))-AVERAGE(OFFSET($H$3,0,0,'Données projet'!$E$14+1,1))</f>
        <v>186.90852124957956</v>
      </c>
      <c r="DU121" s="59">
        <f t="shared" si="98"/>
        <v>93.013797128776446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2.8</v>
      </c>
      <c r="EJ121" s="12">
        <f>IF('Données projet'!$A$192&gt;35,EJ120+EI121-ER120,IF(A121&lt;'Données projet'!$A$192,$EG$205^A121,IF(A121='Données projet'!$A$192,'Données projet'!$B$192,EJ120+EI121-ER120)))</f>
        <v>228.40000000000009</v>
      </c>
      <c r="EK121" s="17">
        <f>EJ121*VLOOKUP('Données projet'!$B$15,Paramètres!$A$1:$I$89,3,0)*VLOOKUP('Données projet'!$B$15,Paramètres!$A$1:$I$89,5,0)</f>
        <v>245.84976000000009</v>
      </c>
      <c r="EL121" s="13">
        <f t="shared" si="99"/>
        <v>59.696365416984804</v>
      </c>
      <c r="EM121" s="20">
        <f t="shared" si="73"/>
        <v>532.15950176791534</v>
      </c>
      <c r="EN121" s="59">
        <f t="shared" si="74"/>
        <v>825.4928351012486</v>
      </c>
      <c r="EO121" s="59">
        <f ca="1">AVERAGE(OFFSET($EN$3,0,0,'Données projet'!$E$15+1,1))-AVERAGE(OFFSET($H$3,0,0,'Données projet'!$E$15+1,1))</f>
        <v>217.10418688911096</v>
      </c>
      <c r="EP121" s="59">
        <f t="shared" si="100"/>
        <v>105.90631421515786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145.19188637714888</v>
      </c>
      <c r="T122" s="59">
        <f t="shared" si="88"/>
        <v>169.74069292032493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0.37963608504552721</v>
      </c>
      <c r="AA122" s="21">
        <f>EXP(-LN(2)/25)*AA121+(1-EXP(-LN(2)/25))/(LN(2)/25)*Calculateur!V122*Calculateur!X122*VLOOKUP('Données projet'!$B$9,Paramètres!$A$1:$I$89,3,0)*0.475*44/12</f>
        <v>0.73388811057765913</v>
      </c>
      <c r="AB122" s="21">
        <f>EXP(-LN(2)/2)*AB121+(1-EXP(-LN(2)/2))/(LN(2)/2)*V122*Y122*VLOOKUP('Données projet'!$B$9,Paramètres!$A$1:$I$89,3,0)*0.475*44/12</f>
        <v>1.6260722028693918E-13</v>
      </c>
      <c r="AC122" s="22">
        <f t="shared" si="57"/>
        <v>1.1135241956233488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-2.8421709430404007E-14</v>
      </c>
      <c r="AJ122" s="13">
        <f>AI122*VLOOKUP('Données projet'!$B$10,Paramètres!$A$1:$I$89,3,0)*VLOOKUP('Données projet'!$B$10,Paramètres!$A$1:$I$89,5,0)</f>
        <v>-2.4829205358400945E-14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254.24072778190163</v>
      </c>
      <c r="AO122" s="59">
        <f t="shared" si="90"/>
        <v>356.78706780980383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0.52733140505621545</v>
      </c>
      <c r="AV122" s="21">
        <f>EXP(-LN(2)/25)*AV121+(1-EXP(-LN(2)/25))/(LN(2)/25)*Calculateur!AQ122*Calculateur!AS122*VLOOKUP('Données projet'!$B$10,Paramètres!$A$1:$I$89,3,0)*0.475*44/12</f>
        <v>1.5000995502222694</v>
      </c>
      <c r="AW122" s="21">
        <f>EXP(-LN(2)/2)*AW121+(1-EXP(-LN(2)/2))/(LN(2)/2)*AQ122*AT122*VLOOKUP('Données projet'!$B$10,Paramètres!$A$1:$I$89,3,0)*0.475*44/12</f>
        <v>1.116197843677865E-12</v>
      </c>
      <c r="AX122" s="21">
        <f t="shared" si="60"/>
        <v>2.0274309552796006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-4.5474735088646412E-13</v>
      </c>
      <c r="BE122" s="13">
        <f>BD122*VLOOKUP('Données projet'!$B$11,Paramètres!$A$1:$I$89,3,0)*VLOOKUP('Données projet'!$B$11,Paramètres!$A$1:$I$89,5,0)</f>
        <v>-2.7193891583010558E-13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246.59447135626942</v>
      </c>
      <c r="BJ122" s="59">
        <f t="shared" si="92"/>
        <v>262.00382544285367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1.0894604086847306</v>
      </c>
      <c r="BR122" s="21">
        <f>EXP(-LN(2)/2)*BR121+(1-EXP(-LN(2)/2))/(LN(2)/2)*BL122*BO122*VLOOKUP('Données projet'!$B$11,Paramètres!$A$1:$I$89,3,0)*0.475*44/12</f>
        <v>9.5378659807427948E-13</v>
      </c>
      <c r="BS122" s="22">
        <f t="shared" si="63"/>
        <v>1.0894604086856843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2.8</v>
      </c>
      <c r="BY122" s="12">
        <f>IF('Données projet'!$A$114&gt;35,BY121+BX122-CG121,IF(A122&lt;'Données projet'!$A$114,$BV$205^A122,IF(A122='Données projet'!$A$114,'Données projet'!$B$114,BY121+BX122-CG121)))</f>
        <v>231.2000000000001</v>
      </c>
      <c r="BZ122" s="13">
        <f>BY122*VLOOKUP('Données projet'!$B$12,Paramètres!$A$1:$I$89,3,0)*VLOOKUP('Données projet'!$B$12,Paramètres!$A$1:$I$89,5,0)</f>
        <v>209.18976000000009</v>
      </c>
      <c r="CA122" s="13">
        <f t="shared" si="93"/>
        <v>51.758488057028018</v>
      </c>
      <c r="CB122" s="20">
        <f t="shared" si="64"/>
        <v>454.48486536599057</v>
      </c>
      <c r="CC122" s="59">
        <f t="shared" si="65"/>
        <v>747.81819869932383</v>
      </c>
      <c r="CD122" s="59">
        <f ca="1">AVERAGE(OFFSET($CC$3,0,0,'Données projet'!$E$12+1,1))-AVERAGE(OFFSET($H$3,0,0,'Données projet'!$E$12+1,1))</f>
        <v>169.62156467157178</v>
      </c>
      <c r="CE122" s="59">
        <f t="shared" si="94"/>
        <v>85.631326020763254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4.6111381379887463E-14</v>
      </c>
      <c r="CV122" s="13">
        <f t="shared" si="95"/>
        <v>7.5804141040779151E-13</v>
      </c>
      <c r="CW122" s="20">
        <f t="shared" si="67"/>
        <v>1.4005661123635408E-12</v>
      </c>
      <c r="CX122" s="59">
        <f t="shared" si="68"/>
        <v>293.33333333333474</v>
      </c>
      <c r="CY122" s="59">
        <f ca="1">AVERAGE(OFFSET($CX$3,0,0,'Données projet'!$E$13+1,1))-AVERAGE(OFFSET($H$3,0,0,'Données projet'!$E$13+1,1))</f>
        <v>234.59657655504111</v>
      </c>
      <c r="CZ122" s="59">
        <f t="shared" si="96"/>
        <v>285.10598666479211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0.7212366889560381</v>
      </c>
      <c r="DH122" s="21">
        <f>EXP(-LN(2)/2)*DH121+(1-EXP(-LN(2)/2))/(LN(2)/2)*DB122*DE122*VLOOKUP('Données projet'!$B$13,Paramètres!$A$1:$I$89,3,0)*0.475*44/12</f>
        <v>4.4103547843652773E-13</v>
      </c>
      <c r="DI122" s="22">
        <f t="shared" si="69"/>
        <v>0.72123668895647908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2.8</v>
      </c>
      <c r="DO122" s="12">
        <f>IF('Données projet'!$A$166&gt;35,DO121+DN122-DW121,IF(A122&lt;'Données projet'!$A$166,$DL$205^A122,IF(A122='Données projet'!$A$166,'Données projet'!$B$166,DO121+DN122-DW121)))</f>
        <v>231.2000000000001</v>
      </c>
      <c r="DP122" s="17">
        <f>DO122*VLOOKUP('Données projet'!$B$14,Paramètres!$A$1:$I$89,3,0)*VLOOKUP('Données projet'!$B$14,Paramètres!$A$1:$I$89,5,0)</f>
        <v>223.61664000000007</v>
      </c>
      <c r="DQ122" s="13">
        <f t="shared" si="97"/>
        <v>54.900197042646539</v>
      </c>
      <c r="DR122" s="20">
        <f t="shared" si="70"/>
        <v>485.08349118260952</v>
      </c>
      <c r="DS122" s="59">
        <f t="shared" si="71"/>
        <v>778.41682451594284</v>
      </c>
      <c r="DT122" s="59">
        <f ca="1">AVERAGE(OFFSET($DS$3,0,0,'Données projet'!$E$14+1,1))-AVERAGE(OFFSET($H$3,0,0,'Données projet'!$E$14+1,1))</f>
        <v>186.90852124957956</v>
      </c>
      <c r="DU122" s="59">
        <f t="shared" si="98"/>
        <v>93.013797128776446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2.8</v>
      </c>
      <c r="EJ122" s="12">
        <f>IF('Données projet'!$A$192&gt;35,EJ121+EI122-ER121,IF(A122&lt;'Données projet'!$A$192,$EG$205^A122,IF(A122='Données projet'!$A$192,'Données projet'!$B$192,EJ121+EI122-ER121)))</f>
        <v>231.2000000000001</v>
      </c>
      <c r="EK122" s="17">
        <f>EJ122*VLOOKUP('Données projet'!$B$15,Paramètres!$A$1:$I$89,3,0)*VLOOKUP('Données projet'!$B$15,Paramètres!$A$1:$I$89,5,0)</f>
        <v>248.86368000000007</v>
      </c>
      <c r="EL122" s="13">
        <f t="shared" si="99"/>
        <v>60.342550549293456</v>
      </c>
      <c r="EM122" s="20">
        <f t="shared" si="73"/>
        <v>538.53418487335296</v>
      </c>
      <c r="EN122" s="59">
        <f t="shared" si="74"/>
        <v>831.86751820668633</v>
      </c>
      <c r="EO122" s="59">
        <f ca="1">AVERAGE(OFFSET($EN$3,0,0,'Données projet'!$E$15+1,1))-AVERAGE(OFFSET($H$3,0,0,'Données projet'!$E$15+1,1))</f>
        <v>217.10418688911096</v>
      </c>
      <c r="EP122" s="59">
        <f t="shared" si="100"/>
        <v>105.90631421515786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145.19188637714888</v>
      </c>
      <c r="T123" s="59">
        <f t="shared" si="88"/>
        <v>169.74069292032493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0.37219165297293211</v>
      </c>
      <c r="AA123" s="21">
        <f>EXP(-LN(2)/25)*AA122+(1-EXP(-LN(2)/25))/(LN(2)/25)*Calculateur!V123*Calculateur!X123*VLOOKUP('Données projet'!$B$9,Paramètres!$A$1:$I$89,3,0)*0.475*44/12</f>
        <v>0.71381990160041464</v>
      </c>
      <c r="AB123" s="21">
        <f>EXP(-LN(2)/2)*AB122+(1-EXP(-LN(2)/2))/(LN(2)/2)*V123*Y123*VLOOKUP('Données projet'!$B$9,Paramètres!$A$1:$I$89,3,0)*0.475*44/12</f>
        <v>1.1498066813478943E-13</v>
      </c>
      <c r="AC123" s="22">
        <f t="shared" si="57"/>
        <v>1.0860115545734619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-2.8421709430404007E-14</v>
      </c>
      <c r="AJ123" s="13">
        <f>AI123*VLOOKUP('Données projet'!$B$10,Paramètres!$A$1:$I$89,3,0)*VLOOKUP('Données projet'!$B$10,Paramètres!$A$1:$I$89,5,0)</f>
        <v>-2.4829205358400945E-14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254.24072778190163</v>
      </c>
      <c r="AO123" s="59">
        <f t="shared" si="90"/>
        <v>356.78706780980383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0.51699075784346082</v>
      </c>
      <c r="AV123" s="21">
        <f>EXP(-LN(2)/25)*AV122+(1-EXP(-LN(2)/25))/(LN(2)/25)*Calculateur!AQ123*Calculateur!AS123*VLOOKUP('Données projet'!$B$10,Paramètres!$A$1:$I$89,3,0)*0.475*44/12</f>
        <v>1.4590792491346345</v>
      </c>
      <c r="AW123" s="21">
        <f>EXP(-LN(2)/2)*AW122+(1-EXP(-LN(2)/2))/(LN(2)/2)*AQ123*AT123*VLOOKUP('Données projet'!$B$10,Paramètres!$A$1:$I$89,3,0)*0.475*44/12</f>
        <v>7.8927106441042031E-13</v>
      </c>
      <c r="AX123" s="21">
        <f t="shared" si="60"/>
        <v>1.9760700069788848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-4.5474735088646412E-13</v>
      </c>
      <c r="BE123" s="13">
        <f>BD123*VLOOKUP('Données projet'!$B$11,Paramètres!$A$1:$I$89,3,0)*VLOOKUP('Données projet'!$B$11,Paramètres!$A$1:$I$89,5,0)</f>
        <v>-2.7193891583010558E-13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246.59447135626942</v>
      </c>
      <c r="BJ123" s="59">
        <f t="shared" si="92"/>
        <v>262.00382544285367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1.0596690565170137</v>
      </c>
      <c r="BR123" s="21">
        <f>EXP(-LN(2)/2)*BR122+(1-EXP(-LN(2)/2))/(LN(2)/2)*BL123*BO123*VLOOKUP('Données projet'!$B$11,Paramètres!$A$1:$I$89,3,0)*0.475*44/12</f>
        <v>6.7442897130317111E-13</v>
      </c>
      <c r="BS123" s="22">
        <f t="shared" si="63"/>
        <v>1.0596690565176881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234</v>
      </c>
      <c r="BW123" s="12">
        <f>VLOOKUP(A123,'Données projet'!$A$113:$I$133,9,0)</f>
        <v>2.8</v>
      </c>
      <c r="BX123" s="12">
        <f t="array" ref="BX123">INDEX(BW:BW,MIN(IF(ISNUMBER(BW123:BW319),ROW(BW123:BW319),"")))</f>
        <v>2.8</v>
      </c>
      <c r="BY123" s="12">
        <f>IF('Données projet'!$A$114&gt;35,BY122+BX123-CG122,IF(A123&lt;'Données projet'!$A$114,$BV$205^A123,IF(A123='Données projet'!$A$114,'Données projet'!$B$114,BY122+BX123-CG122)))</f>
        <v>234.00000000000011</v>
      </c>
      <c r="BZ123" s="13">
        <f>BY123*VLOOKUP('Données projet'!$B$12,Paramètres!$A$1:$I$89,3,0)*VLOOKUP('Données projet'!$B$12,Paramètres!$A$1:$I$89,5,0)</f>
        <v>211.72320000000011</v>
      </c>
      <c r="CA123" s="13">
        <f t="shared" si="93"/>
        <v>52.311968964212078</v>
      </c>
      <c r="CB123" s="20">
        <f t="shared" si="64"/>
        <v>459.86125261266949</v>
      </c>
      <c r="CC123" s="59">
        <f t="shared" si="65"/>
        <v>753.1945859460028</v>
      </c>
      <c r="CD123" s="59">
        <f ca="1">AVERAGE(OFFSET($CC$3,0,0,'Données projet'!$E$12+1,1))-AVERAGE(OFFSET($H$3,0,0,'Données projet'!$E$12+1,1))</f>
        <v>169.62156467157178</v>
      </c>
      <c r="CE123" s="59">
        <f t="shared" si="94"/>
        <v>85.631326020763254</v>
      </c>
      <c r="CF123" s="15">
        <f>IF(ISNA(VLOOKUP(A123,'Données projet'!$A$113:$I$133,3,0)),0,VLOOKUP(A123,'Données projet'!$A$113:$I$133,3,0))</f>
        <v>9</v>
      </c>
      <c r="CG123" s="15">
        <f>IF(ISNA(VLOOKUP(A123,'Données projet'!$A$113:$I$133,4,0)),0,VLOOKUP(A123,'Données projet'!$A$113:$I$133,4,0))</f>
        <v>234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4.6111381379887463E-14</v>
      </c>
      <c r="CV123" s="13">
        <f t="shared" si="95"/>
        <v>7.5804141040779151E-13</v>
      </c>
      <c r="CW123" s="20">
        <f t="shared" si="67"/>
        <v>1.4005661123635408E-12</v>
      </c>
      <c r="CX123" s="59">
        <f t="shared" si="68"/>
        <v>293.33333333333474</v>
      </c>
      <c r="CY123" s="59">
        <f ca="1">AVERAGE(OFFSET($CX$3,0,0,'Données projet'!$E$13+1,1))-AVERAGE(OFFSET($H$3,0,0,'Données projet'!$E$13+1,1))</f>
        <v>234.59657655504111</v>
      </c>
      <c r="CZ123" s="59">
        <f t="shared" si="96"/>
        <v>285.10598666479211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0.70151443376834621</v>
      </c>
      <c r="DH123" s="21">
        <f>EXP(-LN(2)/2)*DH122+(1-EXP(-LN(2)/2))/(LN(2)/2)*DB123*DE123*VLOOKUP('Données projet'!$B$13,Paramètres!$A$1:$I$89,3,0)*0.475*44/12</f>
        <v>3.1185917754632211E-13</v>
      </c>
      <c r="DI123" s="22">
        <f t="shared" si="69"/>
        <v>0.70151443376865807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234</v>
      </c>
      <c r="DM123" s="12">
        <f>VLOOKUP(A123,'Données projet'!$A$165:$I$185,9,0)</f>
        <v>2.8</v>
      </c>
      <c r="DN123" s="12">
        <f t="array" ref="DN123">INDEX(DM:DM,MIN(IF(ISNUMBER(DM123:DM319),ROW(DM123:DM319),"")))</f>
        <v>2.8</v>
      </c>
      <c r="DO123" s="12">
        <f>IF('Données projet'!$A$166&gt;35,DO122+DN123-DW122,IF(A123&lt;'Données projet'!$A$166,$DL$205^A123,IF(A123='Données projet'!$A$166,'Données projet'!$B$166,DO122+DN123-DW122)))</f>
        <v>234.00000000000011</v>
      </c>
      <c r="DP123" s="17">
        <f>DO123*VLOOKUP('Données projet'!$B$14,Paramètres!$A$1:$I$89,3,0)*VLOOKUP('Données projet'!$B$14,Paramètres!$A$1:$I$89,5,0)</f>
        <v>226.32480000000012</v>
      </c>
      <c r="DQ123" s="13">
        <f t="shared" si="97"/>
        <v>55.48727390683672</v>
      </c>
      <c r="DR123" s="20">
        <f t="shared" si="70"/>
        <v>490.82269538774079</v>
      </c>
      <c r="DS123" s="59">
        <f t="shared" si="71"/>
        <v>784.15602872107411</v>
      </c>
      <c r="DT123" s="59">
        <f ca="1">AVERAGE(OFFSET($DS$3,0,0,'Données projet'!$E$14+1,1))-AVERAGE(OFFSET($H$3,0,0,'Données projet'!$E$14+1,1))</f>
        <v>186.90852124957956</v>
      </c>
      <c r="DU123" s="59">
        <f t="shared" si="98"/>
        <v>93.013797128776446</v>
      </c>
      <c r="DV123" s="15">
        <f>IF(ISNA(VLOOKUP(A123,'Données projet'!$A$165:$I$185,3,0)),0,VLOOKUP(A123,'Données projet'!$A$165:$I$185,3,0))</f>
        <v>9</v>
      </c>
      <c r="DW123" s="15">
        <f>IF(ISNA(VLOOKUP(A123,'Données projet'!$A$165:$I$185,4,0)),0,VLOOKUP(A123,'Données projet'!$A$165:$I$185,4,0))</f>
        <v>234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234</v>
      </c>
      <c r="EH123" s="12">
        <f>VLOOKUP(A123,'Données projet'!$A$191:$I$211,9,0)</f>
        <v>2.8</v>
      </c>
      <c r="EI123" s="12">
        <f t="array" ref="EI123">INDEX(EH:EH,MIN(IF(ISNUMBER(EH123:EH319),ROW(EH123:EH319),"")))</f>
        <v>2.8</v>
      </c>
      <c r="EJ123" s="12">
        <f>IF('Données projet'!$A$192&gt;35,EJ122+EI123-ER122,IF(A123&lt;'Données projet'!$A$192,$EG$205^A123,IF(A123='Données projet'!$A$192,'Données projet'!$B$192,EJ122+EI123-ER122)))</f>
        <v>234.00000000000011</v>
      </c>
      <c r="EK123" s="17">
        <f>EJ123*VLOOKUP('Données projet'!$B$15,Paramètres!$A$1:$I$89,3,0)*VLOOKUP('Données projet'!$B$15,Paramètres!$A$1:$I$89,5,0)</f>
        <v>251.87760000000011</v>
      </c>
      <c r="EL123" s="13">
        <f t="shared" si="99"/>
        <v>60.987825380023075</v>
      </c>
      <c r="EM123" s="20">
        <f t="shared" si="73"/>
        <v>544.90728253687371</v>
      </c>
      <c r="EN123" s="59">
        <f t="shared" si="74"/>
        <v>838.24061587020697</v>
      </c>
      <c r="EO123" s="59">
        <f ca="1">AVERAGE(OFFSET($EN$3,0,0,'Données projet'!$E$15+1,1))-AVERAGE(OFFSET($H$3,0,0,'Données projet'!$E$15+1,1))</f>
        <v>217.10418688911096</v>
      </c>
      <c r="EP123" s="59">
        <f t="shared" si="100"/>
        <v>105.90631421515786</v>
      </c>
      <c r="EQ123" s="15">
        <f>IF(ISNA(VLOOKUP(A123,'Données projet'!$A$191:$I$211,3,0)),0,VLOOKUP(A123,'Données projet'!$A$191:$I$211,3,0))</f>
        <v>9</v>
      </c>
      <c r="ER123" s="15">
        <f>IF(ISNA(VLOOKUP(A123,'Données projet'!$A$191:$I$211,4,0)),0,VLOOKUP(A123,'Données projet'!$A$191:$I$211,4,0))</f>
        <v>234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145.19188637714888</v>
      </c>
      <c r="T124" s="59">
        <f t="shared" si="88"/>
        <v>169.74069292032493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0.3648932016726254</v>
      </c>
      <c r="AA124" s="21">
        <f>EXP(-LN(2)/25)*AA123+(1-EXP(-LN(2)/25))/(LN(2)/25)*Calculateur!V124*Calculateur!X124*VLOOKUP('Données projet'!$B$9,Paramètres!$A$1:$I$89,3,0)*0.475*44/12</f>
        <v>0.69430045885299418</v>
      </c>
      <c r="AB124" s="21">
        <f>EXP(-LN(2)/2)*AB123+(1-EXP(-LN(2)/2))/(LN(2)/2)*V124*Y124*VLOOKUP('Données projet'!$B$9,Paramètres!$A$1:$I$89,3,0)*0.475*44/12</f>
        <v>8.1303610143469588E-14</v>
      </c>
      <c r="AC124" s="22">
        <f t="shared" si="57"/>
        <v>1.0591936605257009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-2.8421709430404007E-14</v>
      </c>
      <c r="AJ124" s="13">
        <f>AI124*VLOOKUP('Données projet'!$B$10,Paramètres!$A$1:$I$89,3,0)*VLOOKUP('Données projet'!$B$10,Paramètres!$A$1:$I$89,5,0)</f>
        <v>-2.4829205358400945E-14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254.24072778190163</v>
      </c>
      <c r="AO124" s="59">
        <f t="shared" si="90"/>
        <v>356.78706780980383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0.50685288441537624</v>
      </c>
      <c r="AV124" s="21">
        <f>EXP(-LN(2)/25)*AV123+(1-EXP(-LN(2)/25))/(LN(2)/25)*Calculateur!AQ124*Calculateur!AS124*VLOOKUP('Données projet'!$B$10,Paramètres!$A$1:$I$89,3,0)*0.475*44/12</f>
        <v>1.4191806503374049</v>
      </c>
      <c r="AW124" s="21">
        <f>EXP(-LN(2)/2)*AW123+(1-EXP(-LN(2)/2))/(LN(2)/2)*AQ124*AT124*VLOOKUP('Données projet'!$B$10,Paramètres!$A$1:$I$89,3,0)*0.475*44/12</f>
        <v>5.5809892183893252E-13</v>
      </c>
      <c r="AX124" s="21">
        <f t="shared" si="60"/>
        <v>1.926033534753339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-4.5474735088646412E-13</v>
      </c>
      <c r="BE124" s="13">
        <f>BD124*VLOOKUP('Données projet'!$B$11,Paramètres!$A$1:$I$89,3,0)*VLOOKUP('Données projet'!$B$11,Paramètres!$A$1:$I$89,5,0)</f>
        <v>-2.7193891583010558E-13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246.59447135626942</v>
      </c>
      <c r="BJ124" s="59">
        <f t="shared" si="92"/>
        <v>262.00382544285367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1.0306923504409822</v>
      </c>
      <c r="BR124" s="21">
        <f>EXP(-LN(2)/2)*BR123+(1-EXP(-LN(2)/2))/(LN(2)/2)*BL124*BO124*VLOOKUP('Données projet'!$B$11,Paramètres!$A$1:$I$89,3,0)*0.475*44/12</f>
        <v>4.7689329903713974E-13</v>
      </c>
      <c r="BS124" s="22">
        <f t="shared" si="63"/>
        <v>1.0306923504414591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1.1368683772161603E-13</v>
      </c>
      <c r="BZ124" s="13">
        <f>BY124*VLOOKUP('Données projet'!$B$12,Paramètres!$A$1:$I$89,3,0)*VLOOKUP('Données projet'!$B$12,Paramètres!$A$1:$I$89,5,0)</f>
        <v>1.0286385077051818E-13</v>
      </c>
      <c r="CA124" s="13">
        <f t="shared" si="93"/>
        <v>1.5402366592183556E-12</v>
      </c>
      <c r="CB124" s="20">
        <f t="shared" si="64"/>
        <v>2.8617333882306215E-12</v>
      </c>
      <c r="CC124" s="59">
        <f t="shared" si="65"/>
        <v>293.33333333333616</v>
      </c>
      <c r="CD124" s="59">
        <f ca="1">AVERAGE(OFFSET($CC$3,0,0,'Données projet'!$E$12+1,1))-AVERAGE(OFFSET($H$3,0,0,'Données projet'!$E$12+1,1))</f>
        <v>169.62156467157178</v>
      </c>
      <c r="CE124" s="59">
        <f t="shared" si="94"/>
        <v>85.631326020763254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4.6111381379887463E-14</v>
      </c>
      <c r="CV124" s="13">
        <f t="shared" si="95"/>
        <v>7.5804141040779151E-13</v>
      </c>
      <c r="CW124" s="20">
        <f t="shared" si="67"/>
        <v>1.4005661123635408E-12</v>
      </c>
      <c r="CX124" s="59">
        <f t="shared" si="68"/>
        <v>293.33333333333474</v>
      </c>
      <c r="CY124" s="59">
        <f ca="1">AVERAGE(OFFSET($CX$3,0,0,'Données projet'!$E$13+1,1))-AVERAGE(OFFSET($H$3,0,0,'Données projet'!$E$13+1,1))</f>
        <v>234.59657655504111</v>
      </c>
      <c r="CZ124" s="59">
        <f t="shared" si="96"/>
        <v>285.10598666479211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0.68233148468591009</v>
      </c>
      <c r="DH124" s="21">
        <f>EXP(-LN(2)/2)*DH123+(1-EXP(-LN(2)/2))/(LN(2)/2)*DB124*DE124*VLOOKUP('Données projet'!$B$13,Paramètres!$A$1:$I$89,3,0)*0.475*44/12</f>
        <v>2.2051773921826387E-13</v>
      </c>
      <c r="DI124" s="22">
        <f t="shared" si="69"/>
        <v>0.68233148468613058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1.1368683772161603E-13</v>
      </c>
      <c r="DP124" s="17">
        <f>DO124*VLOOKUP('Données projet'!$B$14,Paramètres!$A$1:$I$89,3,0)*VLOOKUP('Données projet'!$B$14,Paramètres!$A$1:$I$89,5,0)</f>
        <v>1.0995790944434703E-13</v>
      </c>
      <c r="DQ124" s="13">
        <f t="shared" si="97"/>
        <v>1.6337280948049956E-12</v>
      </c>
      <c r="DR124" s="20">
        <f t="shared" si="70"/>
        <v>3.036919790734272E-12</v>
      </c>
      <c r="DS124" s="59">
        <f t="shared" si="71"/>
        <v>293.33333333333633</v>
      </c>
      <c r="DT124" s="59">
        <f ca="1">AVERAGE(OFFSET($DS$3,0,0,'Données projet'!$E$14+1,1))-AVERAGE(OFFSET($H$3,0,0,'Données projet'!$E$14+1,1))</f>
        <v>186.90852124957956</v>
      </c>
      <c r="DU124" s="59">
        <f t="shared" si="98"/>
        <v>93.013797128776446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1.1368683772161603E-13</v>
      </c>
      <c r="EK124" s="17">
        <f>EJ124*VLOOKUP('Données projet'!$B$15,Paramètres!$A$1:$I$89,3,0)*VLOOKUP('Données projet'!$B$15,Paramètres!$A$1:$I$89,5,0)</f>
        <v>1.223725121235475E-13</v>
      </c>
      <c r="EL124" s="13">
        <f t="shared" si="99"/>
        <v>1.7956824466038182E-12</v>
      </c>
      <c r="EM124" s="20">
        <f t="shared" si="73"/>
        <v>3.3406123864501612E-12</v>
      </c>
      <c r="EN124" s="59">
        <f t="shared" si="74"/>
        <v>293.33333333333667</v>
      </c>
      <c r="EO124" s="59">
        <f ca="1">AVERAGE(OFFSET($EN$3,0,0,'Données projet'!$E$15+1,1))-AVERAGE(OFFSET($H$3,0,0,'Données projet'!$E$15+1,1))</f>
        <v>217.10418688911096</v>
      </c>
      <c r="EP124" s="59">
        <f t="shared" si="100"/>
        <v>105.90631421515786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145.19188637714888</v>
      </c>
      <c r="T125" s="59">
        <f t="shared" si="88"/>
        <v>169.74069292032493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0.357737868550702</v>
      </c>
      <c r="AA125" s="21">
        <f>EXP(-LN(2)/25)*AA124+(1-EXP(-LN(2)/25))/(LN(2)/25)*Calculateur!V125*Calculateur!X125*VLOOKUP('Données projet'!$B$9,Paramètres!$A$1:$I$89,3,0)*0.475*44/12</f>
        <v>0.67531477629398473</v>
      </c>
      <c r="AB125" s="21">
        <f>EXP(-LN(2)/2)*AB124+(1-EXP(-LN(2)/2))/(LN(2)/2)*V125*Y125*VLOOKUP('Données projet'!$B$9,Paramètres!$A$1:$I$89,3,0)*0.475*44/12</f>
        <v>5.7490334067394715E-14</v>
      </c>
      <c r="AC125" s="22">
        <f t="shared" si="57"/>
        <v>1.0330526448447441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-2.8421709430404007E-14</v>
      </c>
      <c r="AJ125" s="13">
        <f>AI125*VLOOKUP('Données projet'!$B$10,Paramètres!$A$1:$I$89,3,0)*VLOOKUP('Données projet'!$B$10,Paramètres!$A$1:$I$89,5,0)</f>
        <v>-2.4829205358400945E-14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254.24072778190163</v>
      </c>
      <c r="AO125" s="59">
        <f t="shared" si="90"/>
        <v>356.78706780980383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0.49691380850172417</v>
      </c>
      <c r="AV125" s="21">
        <f>EXP(-LN(2)/25)*AV124+(1-EXP(-LN(2)/25))/(LN(2)/25)*Calculateur!AQ125*Calculateur!AS125*VLOOKUP('Données projet'!$B$10,Paramètres!$A$1:$I$89,3,0)*0.475*44/12</f>
        <v>1.3803730808224617</v>
      </c>
      <c r="AW125" s="21">
        <f>EXP(-LN(2)/2)*AW124+(1-EXP(-LN(2)/2))/(LN(2)/2)*AQ125*AT125*VLOOKUP('Données projet'!$B$10,Paramètres!$A$1:$I$89,3,0)*0.475*44/12</f>
        <v>3.9463553220521016E-13</v>
      </c>
      <c r="AX125" s="21">
        <f t="shared" si="60"/>
        <v>1.8772868893245804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-4.5474735088646412E-13</v>
      </c>
      <c r="BE125" s="13">
        <f>BD125*VLOOKUP('Données projet'!$B$11,Paramètres!$A$1:$I$89,3,0)*VLOOKUP('Données projet'!$B$11,Paramètres!$A$1:$I$89,5,0)</f>
        <v>-2.7193891583010558E-13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246.59447135626942</v>
      </c>
      <c r="BJ125" s="59">
        <f t="shared" si="92"/>
        <v>262.00382544285367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1.0025080139164184</v>
      </c>
      <c r="BR125" s="21">
        <f>EXP(-LN(2)/2)*BR124+(1-EXP(-LN(2)/2))/(LN(2)/2)*BL125*BO125*VLOOKUP('Données projet'!$B$11,Paramètres!$A$1:$I$89,3,0)*0.475*44/12</f>
        <v>3.3721448565158556E-13</v>
      </c>
      <c r="BS125" s="22">
        <f t="shared" si="63"/>
        <v>1.0025080139167557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1.1368683772161603E-13</v>
      </c>
      <c r="BZ125" s="13">
        <f>BY125*VLOOKUP('Données projet'!$B$12,Paramètres!$A$1:$I$89,3,0)*VLOOKUP('Données projet'!$B$12,Paramètres!$A$1:$I$89,5,0)</f>
        <v>1.0286385077051818E-13</v>
      </c>
      <c r="CA125" s="13">
        <f t="shared" si="93"/>
        <v>1.5402366592183556E-12</v>
      </c>
      <c r="CB125" s="20">
        <f t="shared" si="64"/>
        <v>2.8617333882306215E-12</v>
      </c>
      <c r="CC125" s="59">
        <f t="shared" si="65"/>
        <v>293.33333333333616</v>
      </c>
      <c r="CD125" s="59">
        <f ca="1">AVERAGE(OFFSET($CC$3,0,0,'Données projet'!$E$12+1,1))-AVERAGE(OFFSET($H$3,0,0,'Données projet'!$E$12+1,1))</f>
        <v>169.62156467157178</v>
      </c>
      <c r="CE125" s="59">
        <f t="shared" si="94"/>
        <v>85.631326020763254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4.6111381379887463E-14</v>
      </c>
      <c r="CV125" s="13">
        <f t="shared" si="95"/>
        <v>7.5804141040779151E-13</v>
      </c>
      <c r="CW125" s="20">
        <f t="shared" si="67"/>
        <v>1.4005661123635408E-12</v>
      </c>
      <c r="CX125" s="59">
        <f t="shared" si="68"/>
        <v>293.33333333333474</v>
      </c>
      <c r="CY125" s="59">
        <f ca="1">AVERAGE(OFFSET($CX$3,0,0,'Données projet'!$E$13+1,1))-AVERAGE(OFFSET($H$3,0,0,'Données projet'!$E$13+1,1))</f>
        <v>234.59657655504111</v>
      </c>
      <c r="CZ125" s="59">
        <f t="shared" si="96"/>
        <v>285.10598666479211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0.66367309435492061</v>
      </c>
      <c r="DH125" s="21">
        <f>EXP(-LN(2)/2)*DH124+(1-EXP(-LN(2)/2))/(LN(2)/2)*DB125*DE125*VLOOKUP('Données projet'!$B$13,Paramètres!$A$1:$I$89,3,0)*0.475*44/12</f>
        <v>1.5592958877316106E-13</v>
      </c>
      <c r="DI125" s="22">
        <f t="shared" si="69"/>
        <v>0.66367309435507649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1.1368683772161603E-13</v>
      </c>
      <c r="DP125" s="17">
        <f>DO125*VLOOKUP('Données projet'!$B$14,Paramètres!$A$1:$I$89,3,0)*VLOOKUP('Données projet'!$B$14,Paramètres!$A$1:$I$89,5,0)</f>
        <v>1.0995790944434703E-13</v>
      </c>
      <c r="DQ125" s="13">
        <f t="shared" si="97"/>
        <v>1.6337280948049956E-12</v>
      </c>
      <c r="DR125" s="20">
        <f t="shared" si="70"/>
        <v>3.036919790734272E-12</v>
      </c>
      <c r="DS125" s="59">
        <f t="shared" si="71"/>
        <v>293.33333333333633</v>
      </c>
      <c r="DT125" s="59">
        <f ca="1">AVERAGE(OFFSET($DS$3,0,0,'Données projet'!$E$14+1,1))-AVERAGE(OFFSET($H$3,0,0,'Données projet'!$E$14+1,1))</f>
        <v>186.90852124957956</v>
      </c>
      <c r="DU125" s="59">
        <f t="shared" si="98"/>
        <v>93.013797128776446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1.1368683772161603E-13</v>
      </c>
      <c r="EK125" s="17">
        <f>EJ125*VLOOKUP('Données projet'!$B$15,Paramètres!$A$1:$I$89,3,0)*VLOOKUP('Données projet'!$B$15,Paramètres!$A$1:$I$89,5,0)</f>
        <v>1.223725121235475E-13</v>
      </c>
      <c r="EL125" s="13">
        <f t="shared" si="99"/>
        <v>1.7956824466038182E-12</v>
      </c>
      <c r="EM125" s="20">
        <f t="shared" si="73"/>
        <v>3.3406123864501612E-12</v>
      </c>
      <c r="EN125" s="59">
        <f t="shared" si="74"/>
        <v>293.33333333333667</v>
      </c>
      <c r="EO125" s="59">
        <f ca="1">AVERAGE(OFFSET($EN$3,0,0,'Données projet'!$E$15+1,1))-AVERAGE(OFFSET($H$3,0,0,'Données projet'!$E$15+1,1))</f>
        <v>217.10418688911096</v>
      </c>
      <c r="EP125" s="59">
        <f t="shared" si="100"/>
        <v>105.90631421515786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145.19188637714888</v>
      </c>
      <c r="T126" s="59">
        <f t="shared" si="88"/>
        <v>169.74069292032493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0.35072284714697721</v>
      </c>
      <c r="AA126" s="21">
        <f>EXP(-LN(2)/25)*AA125+(1-EXP(-LN(2)/25))/(LN(2)/25)*Calculateur!V126*Calculateur!X126*VLOOKUP('Données projet'!$B$9,Paramètres!$A$1:$I$89,3,0)*0.475*44/12</f>
        <v>0.65684825822296511</v>
      </c>
      <c r="AB126" s="21">
        <f>EXP(-LN(2)/2)*AB125+(1-EXP(-LN(2)/2))/(LN(2)/2)*V126*Y126*VLOOKUP('Données projet'!$B$9,Paramètres!$A$1:$I$89,3,0)*0.475*44/12</f>
        <v>4.0651805071734794E-14</v>
      </c>
      <c r="AC126" s="22">
        <f t="shared" si="57"/>
        <v>1.007571105369983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-2.8421709430404007E-14</v>
      </c>
      <c r="AJ126" s="13">
        <f>AI126*VLOOKUP('Données projet'!$B$10,Paramètres!$A$1:$I$89,3,0)*VLOOKUP('Données projet'!$B$10,Paramètres!$A$1:$I$89,5,0)</f>
        <v>-2.4829205358400945E-14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254.24072778190163</v>
      </c>
      <c r="AO126" s="59">
        <f t="shared" si="90"/>
        <v>356.78706780980383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0.48716963180450112</v>
      </c>
      <c r="AV126" s="21">
        <f>EXP(-LN(2)/25)*AV125+(1-EXP(-LN(2)/25))/(LN(2)/25)*Calculateur!AQ126*Calculateur!AS126*VLOOKUP('Données projet'!$B$10,Paramètres!$A$1:$I$89,3,0)*0.475*44/12</f>
        <v>1.3426267063367061</v>
      </c>
      <c r="AW126" s="21">
        <f>EXP(-LN(2)/2)*AW125+(1-EXP(-LN(2)/2))/(LN(2)/2)*AQ126*AT126*VLOOKUP('Données projet'!$B$10,Paramètres!$A$1:$I$89,3,0)*0.475*44/12</f>
        <v>2.7904946091946626E-13</v>
      </c>
      <c r="AX126" s="21">
        <f t="shared" si="60"/>
        <v>1.8297963381414863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-4.5474735088646412E-13</v>
      </c>
      <c r="BE126" s="13">
        <f>BD126*VLOOKUP('Données projet'!$B$11,Paramètres!$A$1:$I$89,3,0)*VLOOKUP('Données projet'!$B$11,Paramètres!$A$1:$I$89,5,0)</f>
        <v>-2.7193891583010558E-13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246.59447135626942</v>
      </c>
      <c r="BJ126" s="59">
        <f t="shared" si="92"/>
        <v>262.00382544285367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0.97509437955626876</v>
      </c>
      <c r="BR126" s="21">
        <f>EXP(-LN(2)/2)*BR125+(1-EXP(-LN(2)/2))/(LN(2)/2)*BL126*BO126*VLOOKUP('Données projet'!$B$11,Paramètres!$A$1:$I$89,3,0)*0.475*44/12</f>
        <v>2.3844664951856987E-13</v>
      </c>
      <c r="BS126" s="22">
        <f t="shared" si="63"/>
        <v>0.97509437955650724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1.1368683772161603E-13</v>
      </c>
      <c r="BZ126" s="13">
        <f>BY126*VLOOKUP('Données projet'!$B$12,Paramètres!$A$1:$I$89,3,0)*VLOOKUP('Données projet'!$B$12,Paramètres!$A$1:$I$89,5,0)</f>
        <v>1.0286385077051818E-13</v>
      </c>
      <c r="CA126" s="13">
        <f t="shared" si="93"/>
        <v>1.5402366592183556E-12</v>
      </c>
      <c r="CB126" s="20">
        <f t="shared" si="64"/>
        <v>2.8617333882306215E-12</v>
      </c>
      <c r="CC126" s="59">
        <f t="shared" si="65"/>
        <v>293.33333333333616</v>
      </c>
      <c r="CD126" s="59">
        <f ca="1">AVERAGE(OFFSET($CC$3,0,0,'Données projet'!$E$12+1,1))-AVERAGE(OFFSET($H$3,0,0,'Données projet'!$E$12+1,1))</f>
        <v>169.62156467157178</v>
      </c>
      <c r="CE126" s="59">
        <f t="shared" si="94"/>
        <v>85.631326020763254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4.6111381379887463E-14</v>
      </c>
      <c r="CV126" s="13">
        <f t="shared" si="95"/>
        <v>7.5804141040779151E-13</v>
      </c>
      <c r="CW126" s="20">
        <f t="shared" si="67"/>
        <v>1.4005661123635408E-12</v>
      </c>
      <c r="CX126" s="59">
        <f t="shared" si="68"/>
        <v>293.33333333333474</v>
      </c>
      <c r="CY126" s="59">
        <f ca="1">AVERAGE(OFFSET($CX$3,0,0,'Données projet'!$E$13+1,1))-AVERAGE(OFFSET($H$3,0,0,'Données projet'!$E$13+1,1))</f>
        <v>234.59657655504111</v>
      </c>
      <c r="CZ126" s="59">
        <f t="shared" si="96"/>
        <v>285.10598666479211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0.64552491868873407</v>
      </c>
      <c r="DH126" s="21">
        <f>EXP(-LN(2)/2)*DH125+(1-EXP(-LN(2)/2))/(LN(2)/2)*DB126*DE126*VLOOKUP('Données projet'!$B$13,Paramètres!$A$1:$I$89,3,0)*0.475*44/12</f>
        <v>1.1025886960913193E-13</v>
      </c>
      <c r="DI126" s="22">
        <f t="shared" si="69"/>
        <v>0.64552491868884432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1.1368683772161603E-13</v>
      </c>
      <c r="DP126" s="17">
        <f>DO126*VLOOKUP('Données projet'!$B$14,Paramètres!$A$1:$I$89,3,0)*VLOOKUP('Données projet'!$B$14,Paramètres!$A$1:$I$89,5,0)</f>
        <v>1.0995790944434703E-13</v>
      </c>
      <c r="DQ126" s="13">
        <f t="shared" si="97"/>
        <v>1.6337280948049956E-12</v>
      </c>
      <c r="DR126" s="20">
        <f t="shared" si="70"/>
        <v>3.036919790734272E-12</v>
      </c>
      <c r="DS126" s="59">
        <f t="shared" si="71"/>
        <v>293.33333333333633</v>
      </c>
      <c r="DT126" s="59">
        <f ca="1">AVERAGE(OFFSET($DS$3,0,0,'Données projet'!$E$14+1,1))-AVERAGE(OFFSET($H$3,0,0,'Données projet'!$E$14+1,1))</f>
        <v>186.90852124957956</v>
      </c>
      <c r="DU126" s="59">
        <f t="shared" si="98"/>
        <v>93.013797128776446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1.1368683772161603E-13</v>
      </c>
      <c r="EK126" s="17">
        <f>EJ126*VLOOKUP('Données projet'!$B$15,Paramètres!$A$1:$I$89,3,0)*VLOOKUP('Données projet'!$B$15,Paramètres!$A$1:$I$89,5,0)</f>
        <v>1.223725121235475E-13</v>
      </c>
      <c r="EL126" s="13">
        <f t="shared" si="99"/>
        <v>1.7956824466038182E-12</v>
      </c>
      <c r="EM126" s="20">
        <f t="shared" si="73"/>
        <v>3.3406123864501612E-12</v>
      </c>
      <c r="EN126" s="59">
        <f t="shared" si="74"/>
        <v>293.33333333333667</v>
      </c>
      <c r="EO126" s="59">
        <f ca="1">AVERAGE(OFFSET($EN$3,0,0,'Données projet'!$E$15+1,1))-AVERAGE(OFFSET($H$3,0,0,'Données projet'!$E$15+1,1))</f>
        <v>217.10418688911096</v>
      </c>
      <c r="EP126" s="59">
        <f t="shared" si="100"/>
        <v>105.90631421515786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145.19188637714888</v>
      </c>
      <c r="T127" s="59">
        <f t="shared" si="88"/>
        <v>169.74069292032493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0.34384538603423892</v>
      </c>
      <c r="AA127" s="21">
        <f>EXP(-LN(2)/25)*AA126+(1-EXP(-LN(2)/25))/(LN(2)/25)*Calculateur!V127*Calculateur!X127*VLOOKUP('Données projet'!$B$9,Paramètres!$A$1:$I$89,3,0)*0.475*44/12</f>
        <v>0.63888670805970948</v>
      </c>
      <c r="AB127" s="21">
        <f>EXP(-LN(2)/2)*AB126+(1-EXP(-LN(2)/2))/(LN(2)/2)*V127*Y127*VLOOKUP('Données projet'!$B$9,Paramètres!$A$1:$I$89,3,0)*0.475*44/12</f>
        <v>2.8745167033697358E-14</v>
      </c>
      <c r="AC127" s="22">
        <f t="shared" si="57"/>
        <v>0.9827320940939771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-2.8421709430404007E-14</v>
      </c>
      <c r="AJ127" s="13">
        <f>AI127*VLOOKUP('Données projet'!$B$10,Paramètres!$A$1:$I$89,3,0)*VLOOKUP('Données projet'!$B$10,Paramètres!$A$1:$I$89,5,0)</f>
        <v>-2.4829205358400945E-14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254.24072778190163</v>
      </c>
      <c r="AO127" s="59">
        <f t="shared" si="90"/>
        <v>356.78706780980383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0.47761653246894969</v>
      </c>
      <c r="AV127" s="21">
        <f>EXP(-LN(2)/25)*AV126+(1-EXP(-LN(2)/25))/(LN(2)/25)*Calculateur!AQ127*Calculateur!AS127*VLOOKUP('Données projet'!$B$10,Paramètres!$A$1:$I$89,3,0)*0.475*44/12</f>
        <v>1.3059125084462591</v>
      </c>
      <c r="AW127" s="21">
        <f>EXP(-LN(2)/2)*AW126+(1-EXP(-LN(2)/2))/(LN(2)/2)*AQ127*AT127*VLOOKUP('Données projet'!$B$10,Paramètres!$A$1:$I$89,3,0)*0.475*44/12</f>
        <v>1.9731776610260508E-13</v>
      </c>
      <c r="AX127" s="21">
        <f t="shared" si="60"/>
        <v>1.7835290409154061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-4.5474735088646412E-13</v>
      </c>
      <c r="BE127" s="13">
        <f>BD127*VLOOKUP('Données projet'!$B$11,Paramètres!$A$1:$I$89,3,0)*VLOOKUP('Données projet'!$B$11,Paramètres!$A$1:$I$89,5,0)</f>
        <v>-2.7193891583010558E-13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246.59447135626942</v>
      </c>
      <c r="BJ127" s="59">
        <f t="shared" si="92"/>
        <v>262.00382544285367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0.94843037246931783</v>
      </c>
      <c r="BR127" s="21">
        <f>EXP(-LN(2)/2)*BR126+(1-EXP(-LN(2)/2))/(LN(2)/2)*BL127*BO127*VLOOKUP('Données projet'!$B$11,Paramètres!$A$1:$I$89,3,0)*0.475*44/12</f>
        <v>1.6860724282579278E-13</v>
      </c>
      <c r="BS127" s="22">
        <f t="shared" si="63"/>
        <v>0.94843037246948647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1.1368683772161603E-13</v>
      </c>
      <c r="BZ127" s="13">
        <f>BY127*VLOOKUP('Données projet'!$B$12,Paramètres!$A$1:$I$89,3,0)*VLOOKUP('Données projet'!$B$12,Paramètres!$A$1:$I$89,5,0)</f>
        <v>1.0286385077051818E-13</v>
      </c>
      <c r="CA127" s="13">
        <f t="shared" si="93"/>
        <v>1.5402366592183556E-12</v>
      </c>
      <c r="CB127" s="20">
        <f t="shared" si="64"/>
        <v>2.8617333882306215E-12</v>
      </c>
      <c r="CC127" s="59">
        <f t="shared" si="65"/>
        <v>293.33333333333616</v>
      </c>
      <c r="CD127" s="59">
        <f ca="1">AVERAGE(OFFSET($CC$3,0,0,'Données projet'!$E$12+1,1))-AVERAGE(OFFSET($H$3,0,0,'Données projet'!$E$12+1,1))</f>
        <v>169.62156467157178</v>
      </c>
      <c r="CE127" s="59">
        <f t="shared" si="94"/>
        <v>85.631326020763254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4.6111381379887463E-14</v>
      </c>
      <c r="CV127" s="13">
        <f t="shared" si="95"/>
        <v>7.5804141040779151E-13</v>
      </c>
      <c r="CW127" s="20">
        <f t="shared" si="67"/>
        <v>1.4005661123635408E-12</v>
      </c>
      <c r="CX127" s="59">
        <f t="shared" si="68"/>
        <v>293.33333333333474</v>
      </c>
      <c r="CY127" s="59">
        <f ca="1">AVERAGE(OFFSET($CX$3,0,0,'Données projet'!$E$13+1,1))-AVERAGE(OFFSET($H$3,0,0,'Données projet'!$E$13+1,1))</f>
        <v>234.59657655504111</v>
      </c>
      <c r="CZ127" s="59">
        <f t="shared" si="96"/>
        <v>285.10598666479211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0.62787300584051053</v>
      </c>
      <c r="DH127" s="21">
        <f>EXP(-LN(2)/2)*DH126+(1-EXP(-LN(2)/2))/(LN(2)/2)*DB127*DE127*VLOOKUP('Données projet'!$B$13,Paramètres!$A$1:$I$89,3,0)*0.475*44/12</f>
        <v>7.7964794386580528E-14</v>
      </c>
      <c r="DI127" s="22">
        <f t="shared" si="69"/>
        <v>0.62787300584058847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1.1368683772161603E-13</v>
      </c>
      <c r="DP127" s="17">
        <f>DO127*VLOOKUP('Données projet'!$B$14,Paramètres!$A$1:$I$89,3,0)*VLOOKUP('Données projet'!$B$14,Paramètres!$A$1:$I$89,5,0)</f>
        <v>1.0995790944434703E-13</v>
      </c>
      <c r="DQ127" s="13">
        <f t="shared" si="97"/>
        <v>1.6337280948049956E-12</v>
      </c>
      <c r="DR127" s="20">
        <f t="shared" si="70"/>
        <v>3.036919790734272E-12</v>
      </c>
      <c r="DS127" s="59">
        <f t="shared" si="71"/>
        <v>293.33333333333633</v>
      </c>
      <c r="DT127" s="59">
        <f ca="1">AVERAGE(OFFSET($DS$3,0,0,'Données projet'!$E$14+1,1))-AVERAGE(OFFSET($H$3,0,0,'Données projet'!$E$14+1,1))</f>
        <v>186.90852124957956</v>
      </c>
      <c r="DU127" s="59">
        <f t="shared" si="98"/>
        <v>93.013797128776446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1.1368683772161603E-13</v>
      </c>
      <c r="EK127" s="17">
        <f>EJ127*VLOOKUP('Données projet'!$B$15,Paramètres!$A$1:$I$89,3,0)*VLOOKUP('Données projet'!$B$15,Paramètres!$A$1:$I$89,5,0)</f>
        <v>1.223725121235475E-13</v>
      </c>
      <c r="EL127" s="13">
        <f t="shared" si="99"/>
        <v>1.7956824466038182E-12</v>
      </c>
      <c r="EM127" s="20">
        <f t="shared" si="73"/>
        <v>3.3406123864501612E-12</v>
      </c>
      <c r="EN127" s="59">
        <f t="shared" si="74"/>
        <v>293.33333333333667</v>
      </c>
      <c r="EO127" s="59">
        <f ca="1">AVERAGE(OFFSET($EN$3,0,0,'Données projet'!$E$15+1,1))-AVERAGE(OFFSET($H$3,0,0,'Données projet'!$E$15+1,1))</f>
        <v>217.10418688911096</v>
      </c>
      <c r="EP127" s="59">
        <f t="shared" si="100"/>
        <v>105.90631421515786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145.19188637714888</v>
      </c>
      <c r="T128" s="59">
        <f t="shared" si="88"/>
        <v>169.74069292032493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0.33710278773908436</v>
      </c>
      <c r="AA128" s="21">
        <f>EXP(-LN(2)/25)*AA127+(1-EXP(-LN(2)/25))/(LN(2)/25)*Calculateur!V128*Calculateur!X128*VLOOKUP('Données projet'!$B$9,Paramètres!$A$1:$I$89,3,0)*0.475*44/12</f>
        <v>0.62141631743022496</v>
      </c>
      <c r="AB128" s="21">
        <f>EXP(-LN(2)/2)*AB127+(1-EXP(-LN(2)/2))/(LN(2)/2)*V128*Y128*VLOOKUP('Données projet'!$B$9,Paramètres!$A$1:$I$89,3,0)*0.475*44/12</f>
        <v>2.0325902535867397E-14</v>
      </c>
      <c r="AC128" s="22">
        <f t="shared" si="57"/>
        <v>0.9585191051693297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-2.8421709430404007E-14</v>
      </c>
      <c r="AJ128" s="13">
        <f>AI128*VLOOKUP('Données projet'!$B$10,Paramètres!$A$1:$I$89,3,0)*VLOOKUP('Données projet'!$B$10,Paramètres!$A$1:$I$89,5,0)</f>
        <v>-2.4829205358400945E-14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254.24072778190163</v>
      </c>
      <c r="AO128" s="59">
        <f t="shared" si="90"/>
        <v>356.78706780980383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0.4682507635845532</v>
      </c>
      <c r="AV128" s="21">
        <f>EXP(-LN(2)/25)*AV127+(1-EXP(-LN(2)/25))/(LN(2)/25)*Calculateur!AQ128*Calculateur!AS128*VLOOKUP('Données projet'!$B$10,Paramètres!$A$1:$I$89,3,0)*0.475*44/12</f>
        <v>1.2702022622278419</v>
      </c>
      <c r="AW128" s="21">
        <f>EXP(-LN(2)/2)*AW127+(1-EXP(-LN(2)/2))/(LN(2)/2)*AQ128*AT128*VLOOKUP('Données projet'!$B$10,Paramètres!$A$1:$I$89,3,0)*0.475*44/12</f>
        <v>1.3952473045973313E-13</v>
      </c>
      <c r="AX128" s="21">
        <f t="shared" si="60"/>
        <v>1.7384530258125346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-4.5474735088646412E-13</v>
      </c>
      <c r="BE128" s="13">
        <f>BD128*VLOOKUP('Données projet'!$B$11,Paramètres!$A$1:$I$89,3,0)*VLOOKUP('Données projet'!$B$11,Paramètres!$A$1:$I$89,5,0)</f>
        <v>-2.7193891583010558E-13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246.59447135626942</v>
      </c>
      <c r="BJ128" s="59">
        <f t="shared" si="92"/>
        <v>262.00382544285367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0.92249549405835873</v>
      </c>
      <c r="BR128" s="21">
        <f>EXP(-LN(2)/2)*BR127+(1-EXP(-LN(2)/2))/(LN(2)/2)*BL128*BO128*VLOOKUP('Données projet'!$B$11,Paramètres!$A$1:$I$89,3,0)*0.475*44/12</f>
        <v>1.1922332475928494E-13</v>
      </c>
      <c r="BS128" s="22">
        <f t="shared" si="63"/>
        <v>0.92249549405847797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1.1368683772161603E-13</v>
      </c>
      <c r="BZ128" s="13">
        <f>BY128*VLOOKUP('Données projet'!$B$12,Paramètres!$A$1:$I$89,3,0)*VLOOKUP('Données projet'!$B$12,Paramètres!$A$1:$I$89,5,0)</f>
        <v>1.0286385077051818E-13</v>
      </c>
      <c r="CA128" s="13">
        <f t="shared" si="93"/>
        <v>1.5402366592183556E-12</v>
      </c>
      <c r="CB128" s="20">
        <f t="shared" si="64"/>
        <v>2.8617333882306215E-12</v>
      </c>
      <c r="CC128" s="59">
        <f t="shared" si="65"/>
        <v>293.33333333333616</v>
      </c>
      <c r="CD128" s="59">
        <f ca="1">AVERAGE(OFFSET($CC$3,0,0,'Données projet'!$E$12+1,1))-AVERAGE(OFFSET($H$3,0,0,'Données projet'!$E$12+1,1))</f>
        <v>169.62156467157178</v>
      </c>
      <c r="CE128" s="59">
        <f t="shared" si="94"/>
        <v>85.631326020763254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4.6111381379887463E-14</v>
      </c>
      <c r="CV128" s="13">
        <f t="shared" si="95"/>
        <v>7.5804141040779151E-13</v>
      </c>
      <c r="CW128" s="20">
        <f t="shared" si="67"/>
        <v>1.4005661123635408E-12</v>
      </c>
      <c r="CX128" s="59">
        <f t="shared" si="68"/>
        <v>293.33333333333474</v>
      </c>
      <c r="CY128" s="59">
        <f ca="1">AVERAGE(OFFSET($CX$3,0,0,'Données projet'!$E$13+1,1))-AVERAGE(OFFSET($H$3,0,0,'Données projet'!$E$13+1,1))</f>
        <v>234.59657655504111</v>
      </c>
      <c r="CZ128" s="59">
        <f t="shared" si="96"/>
        <v>285.10598666479211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0.61070378547739546</v>
      </c>
      <c r="DH128" s="21">
        <f>EXP(-LN(2)/2)*DH127+(1-EXP(-LN(2)/2))/(LN(2)/2)*DB128*DE128*VLOOKUP('Données projet'!$B$13,Paramètres!$A$1:$I$89,3,0)*0.475*44/12</f>
        <v>5.5129434804565966E-14</v>
      </c>
      <c r="DI128" s="22">
        <f t="shared" si="69"/>
        <v>0.61070378547745063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1.1368683772161603E-13</v>
      </c>
      <c r="DP128" s="17">
        <f>DO128*VLOOKUP('Données projet'!$B$14,Paramètres!$A$1:$I$89,3,0)*VLOOKUP('Données projet'!$B$14,Paramètres!$A$1:$I$89,5,0)</f>
        <v>1.0995790944434703E-13</v>
      </c>
      <c r="DQ128" s="13">
        <f t="shared" si="97"/>
        <v>1.6337280948049956E-12</v>
      </c>
      <c r="DR128" s="20">
        <f t="shared" si="70"/>
        <v>3.036919790734272E-12</v>
      </c>
      <c r="DS128" s="59">
        <f t="shared" si="71"/>
        <v>293.33333333333633</v>
      </c>
      <c r="DT128" s="59">
        <f ca="1">AVERAGE(OFFSET($DS$3,0,0,'Données projet'!$E$14+1,1))-AVERAGE(OFFSET($H$3,0,0,'Données projet'!$E$14+1,1))</f>
        <v>186.90852124957956</v>
      </c>
      <c r="DU128" s="59">
        <f t="shared" si="98"/>
        <v>93.013797128776446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1.1368683772161603E-13</v>
      </c>
      <c r="EK128" s="17">
        <f>EJ128*VLOOKUP('Données projet'!$B$15,Paramètres!$A$1:$I$89,3,0)*VLOOKUP('Données projet'!$B$15,Paramètres!$A$1:$I$89,5,0)</f>
        <v>1.223725121235475E-13</v>
      </c>
      <c r="EL128" s="13">
        <f t="shared" si="99"/>
        <v>1.7956824466038182E-12</v>
      </c>
      <c r="EM128" s="20">
        <f t="shared" si="73"/>
        <v>3.3406123864501612E-12</v>
      </c>
      <c r="EN128" s="59">
        <f t="shared" si="74"/>
        <v>293.33333333333667</v>
      </c>
      <c r="EO128" s="59">
        <f ca="1">AVERAGE(OFFSET($EN$3,0,0,'Données projet'!$E$15+1,1))-AVERAGE(OFFSET($H$3,0,0,'Données projet'!$E$15+1,1))</f>
        <v>217.10418688911096</v>
      </c>
      <c r="EP128" s="59">
        <f t="shared" si="100"/>
        <v>105.90631421515786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145.19188637714888</v>
      </c>
      <c r="T129" s="59">
        <f t="shared" si="88"/>
        <v>169.74069292032493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0.33049240768391891</v>
      </c>
      <c r="AA129" s="21">
        <f>EXP(-LN(2)/25)*AA128+(1-EXP(-LN(2)/25))/(LN(2)/25)*Calculateur!V129*Calculateur!X129*VLOOKUP('Données projet'!$B$9,Paramètres!$A$1:$I$89,3,0)*0.475*44/12</f>
        <v>0.60442365555123156</v>
      </c>
      <c r="AB129" s="21">
        <f>EXP(-LN(2)/2)*AB128+(1-EXP(-LN(2)/2))/(LN(2)/2)*V129*Y129*VLOOKUP('Données projet'!$B$9,Paramètres!$A$1:$I$89,3,0)*0.475*44/12</f>
        <v>1.4372583516848679E-14</v>
      </c>
      <c r="AC129" s="22">
        <f t="shared" si="57"/>
        <v>0.93491606323516485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-2.8421709430404007E-14</v>
      </c>
      <c r="AJ129" s="13">
        <f>AI129*VLOOKUP('Données projet'!$B$10,Paramètres!$A$1:$I$89,3,0)*VLOOKUP('Données projet'!$B$10,Paramètres!$A$1:$I$89,5,0)</f>
        <v>-2.4829205358400945E-14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254.24072778190163</v>
      </c>
      <c r="AO129" s="59">
        <f t="shared" si="90"/>
        <v>356.78706780980383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0.45906865171542477</v>
      </c>
      <c r="AV129" s="21">
        <f>EXP(-LN(2)/25)*AV128+(1-EXP(-LN(2)/25))/(LN(2)/25)*Calculateur!AQ129*Calculateur!AS129*VLOOKUP('Données projet'!$B$10,Paramètres!$A$1:$I$89,3,0)*0.475*44/12</f>
        <v>1.2354685145701878</v>
      </c>
      <c r="AW129" s="21">
        <f>EXP(-LN(2)/2)*AW128+(1-EXP(-LN(2)/2))/(LN(2)/2)*AQ129*AT129*VLOOKUP('Données projet'!$B$10,Paramètres!$A$1:$I$89,3,0)*0.475*44/12</f>
        <v>9.8658883051302539E-14</v>
      </c>
      <c r="AX129" s="21">
        <f t="shared" si="60"/>
        <v>1.6945371662857112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-4.5474735088646412E-13</v>
      </c>
      <c r="BE129" s="13">
        <f>BD129*VLOOKUP('Données projet'!$B$11,Paramètres!$A$1:$I$89,3,0)*VLOOKUP('Données projet'!$B$11,Paramètres!$A$1:$I$89,5,0)</f>
        <v>-2.7193891583010558E-13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246.59447135626942</v>
      </c>
      <c r="BJ129" s="59">
        <f t="shared" si="92"/>
        <v>262.00382544285367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0.89726980626140329</v>
      </c>
      <c r="BR129" s="21">
        <f>EXP(-LN(2)/2)*BR128+(1-EXP(-LN(2)/2))/(LN(2)/2)*BL129*BO129*VLOOKUP('Données projet'!$B$11,Paramètres!$A$1:$I$89,3,0)*0.475*44/12</f>
        <v>8.4303621412896389E-14</v>
      </c>
      <c r="BS129" s="22">
        <f t="shared" si="63"/>
        <v>0.89726980626148756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1.1368683772161603E-13</v>
      </c>
      <c r="BZ129" s="13">
        <f>BY129*VLOOKUP('Données projet'!$B$12,Paramètres!$A$1:$I$89,3,0)*VLOOKUP('Données projet'!$B$12,Paramètres!$A$1:$I$89,5,0)</f>
        <v>1.0286385077051818E-13</v>
      </c>
      <c r="CA129" s="13">
        <f t="shared" si="93"/>
        <v>1.5402366592183556E-12</v>
      </c>
      <c r="CB129" s="20">
        <f t="shared" si="64"/>
        <v>2.8617333882306215E-12</v>
      </c>
      <c r="CC129" s="59">
        <f t="shared" si="65"/>
        <v>293.33333333333616</v>
      </c>
      <c r="CD129" s="59">
        <f ca="1">AVERAGE(OFFSET($CC$3,0,0,'Données projet'!$E$12+1,1))-AVERAGE(OFFSET($H$3,0,0,'Données projet'!$E$12+1,1))</f>
        <v>169.62156467157178</v>
      </c>
      <c r="CE129" s="59">
        <f t="shared" si="94"/>
        <v>85.631326020763254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4.6111381379887463E-14</v>
      </c>
      <c r="CV129" s="13">
        <f t="shared" si="95"/>
        <v>7.5804141040779151E-13</v>
      </c>
      <c r="CW129" s="20">
        <f t="shared" si="67"/>
        <v>1.4005661123635408E-12</v>
      </c>
      <c r="CX129" s="59">
        <f t="shared" si="68"/>
        <v>293.33333333333474</v>
      </c>
      <c r="CY129" s="59">
        <f ca="1">AVERAGE(OFFSET($CX$3,0,0,'Données projet'!$E$13+1,1))-AVERAGE(OFFSET($H$3,0,0,'Données projet'!$E$13+1,1))</f>
        <v>234.59657655504111</v>
      </c>
      <c r="CZ129" s="59">
        <f t="shared" si="96"/>
        <v>285.10598666479211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0.59400405834799974</v>
      </c>
      <c r="DH129" s="21">
        <f>EXP(-LN(2)/2)*DH128+(1-EXP(-LN(2)/2))/(LN(2)/2)*DB129*DE129*VLOOKUP('Données projet'!$B$13,Paramètres!$A$1:$I$89,3,0)*0.475*44/12</f>
        <v>3.8982397193290264E-14</v>
      </c>
      <c r="DI129" s="22">
        <f t="shared" si="69"/>
        <v>0.59400405834803871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1.1368683772161603E-13</v>
      </c>
      <c r="DP129" s="17">
        <f>DO129*VLOOKUP('Données projet'!$B$14,Paramètres!$A$1:$I$89,3,0)*VLOOKUP('Données projet'!$B$14,Paramètres!$A$1:$I$89,5,0)</f>
        <v>1.0995790944434703E-13</v>
      </c>
      <c r="DQ129" s="13">
        <f t="shared" si="97"/>
        <v>1.6337280948049956E-12</v>
      </c>
      <c r="DR129" s="20">
        <f t="shared" si="70"/>
        <v>3.036919790734272E-12</v>
      </c>
      <c r="DS129" s="59">
        <f t="shared" si="71"/>
        <v>293.33333333333633</v>
      </c>
      <c r="DT129" s="59">
        <f ca="1">AVERAGE(OFFSET($DS$3,0,0,'Données projet'!$E$14+1,1))-AVERAGE(OFFSET($H$3,0,0,'Données projet'!$E$14+1,1))</f>
        <v>186.90852124957956</v>
      </c>
      <c r="DU129" s="59">
        <f t="shared" si="98"/>
        <v>93.013797128776446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1.1368683772161603E-13</v>
      </c>
      <c r="EK129" s="17">
        <f>EJ129*VLOOKUP('Données projet'!$B$15,Paramètres!$A$1:$I$89,3,0)*VLOOKUP('Données projet'!$B$15,Paramètres!$A$1:$I$89,5,0)</f>
        <v>1.223725121235475E-13</v>
      </c>
      <c r="EL129" s="13">
        <f t="shared" si="99"/>
        <v>1.7956824466038182E-12</v>
      </c>
      <c r="EM129" s="20">
        <f t="shared" si="73"/>
        <v>3.3406123864501612E-12</v>
      </c>
      <c r="EN129" s="59">
        <f t="shared" si="74"/>
        <v>293.33333333333667</v>
      </c>
      <c r="EO129" s="59">
        <f ca="1">AVERAGE(OFFSET($EN$3,0,0,'Données projet'!$E$15+1,1))-AVERAGE(OFFSET($H$3,0,0,'Données projet'!$E$15+1,1))</f>
        <v>217.10418688911096</v>
      </c>
      <c r="EP129" s="59">
        <f t="shared" si="100"/>
        <v>105.90631421515786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145.19188637714888</v>
      </c>
      <c r="T130" s="59">
        <f t="shared" si="88"/>
        <v>169.74069292032493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0.32401165314970154</v>
      </c>
      <c r="AA130" s="21">
        <f>EXP(-LN(2)/25)*AA129+(1-EXP(-LN(2)/25))/(LN(2)/25)*Calculateur!V130*Calculateur!X130*VLOOKUP('Données projet'!$B$9,Paramètres!$A$1:$I$89,3,0)*0.475*44/12</f>
        <v>0.58789565890492457</v>
      </c>
      <c r="AB130" s="21">
        <f>EXP(-LN(2)/2)*AB129+(1-EXP(-LN(2)/2))/(LN(2)/2)*V130*Y130*VLOOKUP('Données projet'!$B$9,Paramètres!$A$1:$I$89,3,0)*0.475*44/12</f>
        <v>1.0162951267933699E-14</v>
      </c>
      <c r="AC130" s="22">
        <f t="shared" si="57"/>
        <v>0.91190731205463638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-2.8421709430404007E-14</v>
      </c>
      <c r="AJ130" s="13">
        <f>AI130*VLOOKUP('Données projet'!$B$10,Paramètres!$A$1:$I$89,3,0)*VLOOKUP('Données projet'!$B$10,Paramètres!$A$1:$I$89,5,0)</f>
        <v>-2.4829205358400945E-14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254.24072778190163</v>
      </c>
      <c r="AO130" s="59">
        <f t="shared" si="90"/>
        <v>356.78706780980383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0.45006659545951472</v>
      </c>
      <c r="AV130" s="21">
        <f>EXP(-LN(2)/25)*AV129+(1-EXP(-LN(2)/25))/(LN(2)/25)*Calculateur!AQ130*Calculateur!AS130*VLOOKUP('Données projet'!$B$10,Paramètres!$A$1:$I$89,3,0)*0.475*44/12</f>
        <v>1.2016845630688004</v>
      </c>
      <c r="AW130" s="21">
        <f>EXP(-LN(2)/2)*AW129+(1-EXP(-LN(2)/2))/(LN(2)/2)*AQ130*AT130*VLOOKUP('Données projet'!$B$10,Paramètres!$A$1:$I$89,3,0)*0.475*44/12</f>
        <v>6.9762365229866565E-14</v>
      </c>
      <c r="AX130" s="21">
        <f t="shared" si="60"/>
        <v>1.6517511585283848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-4.5474735088646412E-13</v>
      </c>
      <c r="BE130" s="13">
        <f>BD130*VLOOKUP('Données projet'!$B$11,Paramètres!$A$1:$I$89,3,0)*VLOOKUP('Données projet'!$B$11,Paramètres!$A$1:$I$89,5,0)</f>
        <v>-2.7193891583010558E-13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246.59447135626942</v>
      </c>
      <c r="BJ130" s="59">
        <f t="shared" si="92"/>
        <v>262.00382544285367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0.8727339162238168</v>
      </c>
      <c r="BR130" s="21">
        <f>EXP(-LN(2)/2)*BR129+(1-EXP(-LN(2)/2))/(LN(2)/2)*BL130*BO130*VLOOKUP('Données projet'!$B$11,Paramètres!$A$1:$I$89,3,0)*0.475*44/12</f>
        <v>5.9611662379642468E-14</v>
      </c>
      <c r="BS130" s="22">
        <f t="shared" si="63"/>
        <v>0.87273391622387642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1.1368683772161603E-13</v>
      </c>
      <c r="BZ130" s="13">
        <f>BY130*VLOOKUP('Données projet'!$B$12,Paramètres!$A$1:$I$89,3,0)*VLOOKUP('Données projet'!$B$12,Paramètres!$A$1:$I$89,5,0)</f>
        <v>1.0286385077051818E-13</v>
      </c>
      <c r="CA130" s="13">
        <f t="shared" si="93"/>
        <v>1.5402366592183556E-12</v>
      </c>
      <c r="CB130" s="20">
        <f t="shared" si="64"/>
        <v>2.8617333882306215E-12</v>
      </c>
      <c r="CC130" s="59">
        <f t="shared" si="65"/>
        <v>293.33333333333616</v>
      </c>
      <c r="CD130" s="59">
        <f ca="1">AVERAGE(OFFSET($CC$3,0,0,'Données projet'!$E$12+1,1))-AVERAGE(OFFSET($H$3,0,0,'Données projet'!$E$12+1,1))</f>
        <v>169.62156467157178</v>
      </c>
      <c r="CE130" s="59">
        <f t="shared" si="94"/>
        <v>85.631326020763254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4.6111381379887463E-14</v>
      </c>
      <c r="CV130" s="13">
        <f t="shared" si="95"/>
        <v>7.5804141040779151E-13</v>
      </c>
      <c r="CW130" s="20">
        <f t="shared" si="67"/>
        <v>1.4005661123635408E-12</v>
      </c>
      <c r="CX130" s="59">
        <f t="shared" si="68"/>
        <v>293.33333333333474</v>
      </c>
      <c r="CY130" s="59">
        <f ca="1">AVERAGE(OFFSET($CX$3,0,0,'Données projet'!$E$13+1,1))-AVERAGE(OFFSET($H$3,0,0,'Données projet'!$E$13+1,1))</f>
        <v>234.59657655504111</v>
      </c>
      <c r="CZ130" s="59">
        <f t="shared" si="96"/>
        <v>285.10598666479211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0.57776098613515792</v>
      </c>
      <c r="DH130" s="21">
        <f>EXP(-LN(2)/2)*DH129+(1-EXP(-LN(2)/2))/(LN(2)/2)*DB130*DE130*VLOOKUP('Données projet'!$B$13,Paramètres!$A$1:$I$89,3,0)*0.475*44/12</f>
        <v>2.7564717402282983E-14</v>
      </c>
      <c r="DI130" s="22">
        <f t="shared" si="69"/>
        <v>0.57776098613518545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1.1368683772161603E-13</v>
      </c>
      <c r="DP130" s="17">
        <f>DO130*VLOOKUP('Données projet'!$B$14,Paramètres!$A$1:$I$89,3,0)*VLOOKUP('Données projet'!$B$14,Paramètres!$A$1:$I$89,5,0)</f>
        <v>1.0995790944434703E-13</v>
      </c>
      <c r="DQ130" s="13">
        <f t="shared" si="97"/>
        <v>1.6337280948049956E-12</v>
      </c>
      <c r="DR130" s="20">
        <f t="shared" si="70"/>
        <v>3.036919790734272E-12</v>
      </c>
      <c r="DS130" s="59">
        <f t="shared" si="71"/>
        <v>293.33333333333633</v>
      </c>
      <c r="DT130" s="59">
        <f ca="1">AVERAGE(OFFSET($DS$3,0,0,'Données projet'!$E$14+1,1))-AVERAGE(OFFSET($H$3,0,0,'Données projet'!$E$14+1,1))</f>
        <v>186.90852124957956</v>
      </c>
      <c r="DU130" s="59">
        <f t="shared" si="98"/>
        <v>93.013797128776446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1.1368683772161603E-13</v>
      </c>
      <c r="EK130" s="17">
        <f>EJ130*VLOOKUP('Données projet'!$B$15,Paramètres!$A$1:$I$89,3,0)*VLOOKUP('Données projet'!$B$15,Paramètres!$A$1:$I$89,5,0)</f>
        <v>1.223725121235475E-13</v>
      </c>
      <c r="EL130" s="13">
        <f t="shared" si="99"/>
        <v>1.7956824466038182E-12</v>
      </c>
      <c r="EM130" s="20">
        <f t="shared" si="73"/>
        <v>3.3406123864501612E-12</v>
      </c>
      <c r="EN130" s="59">
        <f t="shared" si="74"/>
        <v>293.33333333333667</v>
      </c>
      <c r="EO130" s="59">
        <f ca="1">AVERAGE(OFFSET($EN$3,0,0,'Données projet'!$E$15+1,1))-AVERAGE(OFFSET($H$3,0,0,'Données projet'!$E$15+1,1))</f>
        <v>217.10418688911096</v>
      </c>
      <c r="EP130" s="59">
        <f t="shared" si="100"/>
        <v>105.90631421515786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145.19188637714888</v>
      </c>
      <c r="T131" s="59">
        <f t="shared" si="88"/>
        <v>169.74069292032493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0.31765798225903019</v>
      </c>
      <c r="AA131" s="21">
        <f>EXP(-LN(2)/25)*AA130+(1-EXP(-LN(2)/25))/(LN(2)/25)*Calculateur!V131*Calculateur!X131*VLOOKUP('Données projet'!$B$9,Paramètres!$A$1:$I$89,3,0)*0.475*44/12</f>
        <v>0.57181962119608032</v>
      </c>
      <c r="AB131" s="21">
        <f>EXP(-LN(2)/2)*AB130+(1-EXP(-LN(2)/2))/(LN(2)/2)*V131*Y131*VLOOKUP('Données projet'!$B$9,Paramètres!$A$1:$I$89,3,0)*0.475*44/12</f>
        <v>7.1862917584243394E-15</v>
      </c>
      <c r="AC131" s="22">
        <f t="shared" si="57"/>
        <v>0.88947760345511773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-2.8421709430404007E-14</v>
      </c>
      <c r="AJ131" s="13">
        <f>AI131*VLOOKUP('Données projet'!$B$10,Paramètres!$A$1:$I$89,3,0)*VLOOKUP('Données projet'!$B$10,Paramètres!$A$1:$I$89,5,0)</f>
        <v>-2.4829205358400945E-14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254.24072778190163</v>
      </c>
      <c r="AO131" s="59">
        <f t="shared" si="90"/>
        <v>356.78706780980383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0.44124106403607088</v>
      </c>
      <c r="AV131" s="21">
        <f>EXP(-LN(2)/25)*AV130+(1-EXP(-LN(2)/25))/(LN(2)/25)*Calculateur!AQ131*Calculateur!AS131*VLOOKUP('Données projet'!$B$10,Paramètres!$A$1:$I$89,3,0)*0.475*44/12</f>
        <v>1.1688244354978394</v>
      </c>
      <c r="AW131" s="21">
        <f>EXP(-LN(2)/2)*AW130+(1-EXP(-LN(2)/2))/(LN(2)/2)*AQ131*AT131*VLOOKUP('Données projet'!$B$10,Paramètres!$A$1:$I$89,3,0)*0.475*44/12</f>
        <v>4.9329441525651269E-14</v>
      </c>
      <c r="AX131" s="21">
        <f t="shared" si="60"/>
        <v>1.6100654995339596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-4.5474735088646412E-13</v>
      </c>
      <c r="BE131" s="13">
        <f>BD131*VLOOKUP('Données projet'!$B$11,Paramètres!$A$1:$I$89,3,0)*VLOOKUP('Données projet'!$B$11,Paramètres!$A$1:$I$89,5,0)</f>
        <v>-2.7193891583010558E-13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246.59447135626942</v>
      </c>
      <c r="BJ131" s="59">
        <f t="shared" si="92"/>
        <v>262.00382544285367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0.84886896138959456</v>
      </c>
      <c r="BR131" s="21">
        <f>EXP(-LN(2)/2)*BR130+(1-EXP(-LN(2)/2))/(LN(2)/2)*BL131*BO131*VLOOKUP('Données projet'!$B$11,Paramètres!$A$1:$I$89,3,0)*0.475*44/12</f>
        <v>4.2151810706448194E-14</v>
      </c>
      <c r="BS131" s="22">
        <f t="shared" si="63"/>
        <v>0.84886896138963674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1.1368683772161603E-13</v>
      </c>
      <c r="BZ131" s="13">
        <f>BY131*VLOOKUP('Données projet'!$B$12,Paramètres!$A$1:$I$89,3,0)*VLOOKUP('Données projet'!$B$12,Paramètres!$A$1:$I$89,5,0)</f>
        <v>1.0286385077051818E-13</v>
      </c>
      <c r="CA131" s="13">
        <f t="shared" si="93"/>
        <v>1.5402366592183556E-12</v>
      </c>
      <c r="CB131" s="20">
        <f t="shared" si="64"/>
        <v>2.8617333882306215E-12</v>
      </c>
      <c r="CC131" s="59">
        <f t="shared" si="65"/>
        <v>293.33333333333616</v>
      </c>
      <c r="CD131" s="59">
        <f ca="1">AVERAGE(OFFSET($CC$3,0,0,'Données projet'!$E$12+1,1))-AVERAGE(OFFSET($H$3,0,0,'Données projet'!$E$12+1,1))</f>
        <v>169.62156467157178</v>
      </c>
      <c r="CE131" s="59">
        <f t="shared" si="94"/>
        <v>85.631326020763254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4.6111381379887463E-14</v>
      </c>
      <c r="CV131" s="13">
        <f t="shared" si="95"/>
        <v>7.5804141040779151E-13</v>
      </c>
      <c r="CW131" s="20">
        <f t="shared" si="67"/>
        <v>1.4005661123635408E-12</v>
      </c>
      <c r="CX131" s="59">
        <f t="shared" si="68"/>
        <v>293.33333333333474</v>
      </c>
      <c r="CY131" s="59">
        <f ca="1">AVERAGE(OFFSET($CX$3,0,0,'Données projet'!$E$13+1,1))-AVERAGE(OFFSET($H$3,0,0,'Données projet'!$E$13+1,1))</f>
        <v>234.59657655504111</v>
      </c>
      <c r="CZ131" s="59">
        <f t="shared" si="96"/>
        <v>285.10598666479211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0.56196208158616223</v>
      </c>
      <c r="DH131" s="21">
        <f>EXP(-LN(2)/2)*DH130+(1-EXP(-LN(2)/2))/(LN(2)/2)*DB131*DE131*VLOOKUP('Données projet'!$B$13,Paramètres!$A$1:$I$89,3,0)*0.475*44/12</f>
        <v>1.9491198596645132E-14</v>
      </c>
      <c r="DI131" s="22">
        <f t="shared" si="69"/>
        <v>0.56196208158618177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1.1368683772161603E-13</v>
      </c>
      <c r="DP131" s="17">
        <f>DO131*VLOOKUP('Données projet'!$B$14,Paramètres!$A$1:$I$89,3,0)*VLOOKUP('Données projet'!$B$14,Paramètres!$A$1:$I$89,5,0)</f>
        <v>1.0995790944434703E-13</v>
      </c>
      <c r="DQ131" s="13">
        <f t="shared" si="97"/>
        <v>1.6337280948049956E-12</v>
      </c>
      <c r="DR131" s="20">
        <f t="shared" si="70"/>
        <v>3.036919790734272E-12</v>
      </c>
      <c r="DS131" s="59">
        <f t="shared" si="71"/>
        <v>293.33333333333633</v>
      </c>
      <c r="DT131" s="59">
        <f ca="1">AVERAGE(OFFSET($DS$3,0,0,'Données projet'!$E$14+1,1))-AVERAGE(OFFSET($H$3,0,0,'Données projet'!$E$14+1,1))</f>
        <v>186.90852124957956</v>
      </c>
      <c r="DU131" s="59">
        <f t="shared" si="98"/>
        <v>93.013797128776446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1.1368683772161603E-13</v>
      </c>
      <c r="EK131" s="17">
        <f>EJ131*VLOOKUP('Données projet'!$B$15,Paramètres!$A$1:$I$89,3,0)*VLOOKUP('Données projet'!$B$15,Paramètres!$A$1:$I$89,5,0)</f>
        <v>1.223725121235475E-13</v>
      </c>
      <c r="EL131" s="13">
        <f t="shared" si="99"/>
        <v>1.7956824466038182E-12</v>
      </c>
      <c r="EM131" s="20">
        <f t="shared" si="73"/>
        <v>3.3406123864501612E-12</v>
      </c>
      <c r="EN131" s="59">
        <f t="shared" si="74"/>
        <v>293.33333333333667</v>
      </c>
      <c r="EO131" s="59">
        <f ca="1">AVERAGE(OFFSET($EN$3,0,0,'Données projet'!$E$15+1,1))-AVERAGE(OFFSET($H$3,0,0,'Données projet'!$E$15+1,1))</f>
        <v>217.10418688911096</v>
      </c>
      <c r="EP131" s="59">
        <f t="shared" si="100"/>
        <v>105.90631421515786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145.19188637714888</v>
      </c>
      <c r="T132" s="59">
        <f t="shared" si="88"/>
        <v>169.74069292032493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0.31142890297916836</v>
      </c>
      <c r="AA132" s="21">
        <f>EXP(-LN(2)/25)*AA131+(1-EXP(-LN(2)/25))/(LN(2)/25)*Calculateur!V132*Calculateur!X132*VLOOKUP('Données projet'!$B$9,Paramètres!$A$1:$I$89,3,0)*0.475*44/12</f>
        <v>0.55618318358378649</v>
      </c>
      <c r="AB132" s="21">
        <f>EXP(-LN(2)/2)*AB131+(1-EXP(-LN(2)/2))/(LN(2)/2)*V132*Y132*VLOOKUP('Données projet'!$B$9,Paramètres!$A$1:$I$89,3,0)*0.475*44/12</f>
        <v>5.0814756339668493E-15</v>
      </c>
      <c r="AC132" s="22">
        <f t="shared" ref="AC132:AC153" si="111">SUM(Z132:AB132)</f>
        <v>0.86761208656295996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-2.8421709430404007E-14</v>
      </c>
      <c r="AJ132" s="13">
        <f>AI132*VLOOKUP('Données projet'!$B$10,Paramètres!$A$1:$I$89,3,0)*VLOOKUP('Données projet'!$B$10,Paramètres!$A$1:$I$89,5,0)</f>
        <v>-2.4829205358400945E-14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254.24072778190163</v>
      </c>
      <c r="AO132" s="59">
        <f t="shared" si="90"/>
        <v>356.78706780980383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0.43258859590079818</v>
      </c>
      <c r="AV132" s="21">
        <f>EXP(-LN(2)/25)*AV131+(1-EXP(-LN(2)/25))/(LN(2)/25)*Calculateur!AQ132*Calculateur!AS132*VLOOKUP('Données projet'!$B$10,Paramètres!$A$1:$I$89,3,0)*0.475*44/12</f>
        <v>1.1368628698433454</v>
      </c>
      <c r="AW132" s="21">
        <f>EXP(-LN(2)/2)*AW131+(1-EXP(-LN(2)/2))/(LN(2)/2)*AQ132*AT132*VLOOKUP('Données projet'!$B$10,Paramètres!$A$1:$I$89,3,0)*0.475*44/12</f>
        <v>3.4881182614933283E-14</v>
      </c>
      <c r="AX132" s="21">
        <f t="shared" ref="AX132:AX153" si="114">SUM(AU132:AW132)</f>
        <v>1.5694514657441785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-4.5474735088646412E-13</v>
      </c>
      <c r="BE132" s="13">
        <f>BD132*VLOOKUP('Données projet'!$B$11,Paramètres!$A$1:$I$89,3,0)*VLOOKUP('Données projet'!$B$11,Paramètres!$A$1:$I$89,5,0)</f>
        <v>-2.7193891583010558E-13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246.59447135626942</v>
      </c>
      <c r="BJ132" s="59">
        <f t="shared" si="92"/>
        <v>262.00382544285367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0.82565659500031752</v>
      </c>
      <c r="BR132" s="21">
        <f>EXP(-LN(2)/2)*BR131+(1-EXP(-LN(2)/2))/(LN(2)/2)*BL132*BO132*VLOOKUP('Données projet'!$B$11,Paramètres!$A$1:$I$89,3,0)*0.475*44/12</f>
        <v>2.9805831189821234E-14</v>
      </c>
      <c r="BS132" s="22">
        <f t="shared" ref="BS132:BS153" si="117">SUM(BP132:BR132)</f>
        <v>0.82565659500034727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1.1368683772161603E-13</v>
      </c>
      <c r="BZ132" s="13">
        <f>BY132*VLOOKUP('Données projet'!$B$12,Paramètres!$A$1:$I$89,3,0)*VLOOKUP('Données projet'!$B$12,Paramètres!$A$1:$I$89,5,0)</f>
        <v>1.0286385077051818E-13</v>
      </c>
      <c r="CA132" s="13">
        <f t="shared" si="93"/>
        <v>1.5402366592183556E-12</v>
      </c>
      <c r="CB132" s="20">
        <f t="shared" ref="CB132:CB153" si="118">(BZ132+CA132)*0.475*44/12</f>
        <v>2.8617333882306215E-12</v>
      </c>
      <c r="CC132" s="59">
        <f t="shared" ref="CC132:CC195" si="119">CB132+(BT132+BU132)*44/12</f>
        <v>293.33333333333616</v>
      </c>
      <c r="CD132" s="59">
        <f ca="1">AVERAGE(OFFSET($CC$3,0,0,'Données projet'!$E$12+1,1))-AVERAGE(OFFSET($H$3,0,0,'Données projet'!$E$12+1,1))</f>
        <v>169.62156467157178</v>
      </c>
      <c r="CE132" s="59">
        <f t="shared" si="94"/>
        <v>85.631326020763254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4.6111381379887463E-14</v>
      </c>
      <c r="CV132" s="13">
        <f t="shared" si="95"/>
        <v>7.5804141040779151E-13</v>
      </c>
      <c r="CW132" s="20">
        <f t="shared" ref="CW132:CW153" si="121">(CU132+CV132)*0.475*44/12</f>
        <v>1.4005661123635408E-12</v>
      </c>
      <c r="CX132" s="59">
        <f t="shared" ref="CX132:CX195" si="122">CW132+(CO132+CP132)*44/12</f>
        <v>293.33333333333474</v>
      </c>
      <c r="CY132" s="59">
        <f ca="1">AVERAGE(OFFSET($CX$3,0,0,'Données projet'!$E$13+1,1))-AVERAGE(OFFSET($H$3,0,0,'Données projet'!$E$13+1,1))</f>
        <v>234.59657655504111</v>
      </c>
      <c r="CZ132" s="59">
        <f t="shared" si="96"/>
        <v>285.10598666479211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0.5465951989128871</v>
      </c>
      <c r="DH132" s="21">
        <f>EXP(-LN(2)/2)*DH131+(1-EXP(-LN(2)/2))/(LN(2)/2)*DB132*DE132*VLOOKUP('Données projet'!$B$13,Paramètres!$A$1:$I$89,3,0)*0.475*44/12</f>
        <v>1.3782358701141492E-14</v>
      </c>
      <c r="DI132" s="22">
        <f t="shared" ref="DI132:DI153" si="123">SUM(DF132:DH132)</f>
        <v>0.54659519891290087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1.1368683772161603E-13</v>
      </c>
      <c r="DP132" s="17">
        <f>DO132*VLOOKUP('Données projet'!$B$14,Paramètres!$A$1:$I$89,3,0)*VLOOKUP('Données projet'!$B$14,Paramètres!$A$1:$I$89,5,0)</f>
        <v>1.0995790944434703E-13</v>
      </c>
      <c r="DQ132" s="13">
        <f t="shared" si="97"/>
        <v>1.6337280948049956E-12</v>
      </c>
      <c r="DR132" s="20">
        <f t="shared" ref="DR132:DR153" si="124">(DP132+DQ132)*0.475*44/12</f>
        <v>3.036919790734272E-12</v>
      </c>
      <c r="DS132" s="59">
        <f t="shared" ref="DS132:DS195" si="125">DR132+(DJ132+DK132)*44/12</f>
        <v>293.33333333333633</v>
      </c>
      <c r="DT132" s="59">
        <f ca="1">AVERAGE(OFFSET($DS$3,0,0,'Données projet'!$E$14+1,1))-AVERAGE(OFFSET($H$3,0,0,'Données projet'!$E$14+1,1))</f>
        <v>186.90852124957956</v>
      </c>
      <c r="DU132" s="59">
        <f t="shared" si="98"/>
        <v>93.013797128776446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1.1368683772161603E-13</v>
      </c>
      <c r="EK132" s="17">
        <f>EJ132*VLOOKUP('Données projet'!$B$15,Paramètres!$A$1:$I$89,3,0)*VLOOKUP('Données projet'!$B$15,Paramètres!$A$1:$I$89,5,0)</f>
        <v>1.223725121235475E-13</v>
      </c>
      <c r="EL132" s="13">
        <f t="shared" si="99"/>
        <v>1.7956824466038182E-12</v>
      </c>
      <c r="EM132" s="20">
        <f t="shared" ref="EM132:EM153" si="127">(EK132+EL132)*0.475*44/12</f>
        <v>3.3406123864501612E-12</v>
      </c>
      <c r="EN132" s="59">
        <f t="shared" ref="EN132:EN195" si="128">EM132+(EE132+EF132)*44/12</f>
        <v>293.33333333333667</v>
      </c>
      <c r="EO132" s="59">
        <f ca="1">AVERAGE(OFFSET($EN$3,0,0,'Données projet'!$E$15+1,1))-AVERAGE(OFFSET($H$3,0,0,'Données projet'!$E$15+1,1))</f>
        <v>217.10418688911096</v>
      </c>
      <c r="EP132" s="59">
        <f t="shared" si="100"/>
        <v>105.90631421515786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145.19188637714888</v>
      </c>
      <c r="T133" s="59">
        <f t="shared" ref="T133:T196" si="142">$T$3</f>
        <v>169.74069292032493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0.30532197214462142</v>
      </c>
      <c r="AA133" s="21">
        <f>EXP(-LN(2)/25)*AA132+(1-EXP(-LN(2)/25))/(LN(2)/25)*Calculateur!V133*Calculateur!X133*VLOOKUP('Données projet'!$B$9,Paramètres!$A$1:$I$89,3,0)*0.475*44/12</f>
        <v>0.54097432518028543</v>
      </c>
      <c r="AB133" s="21">
        <f>EXP(-LN(2)/2)*AB132+(1-EXP(-LN(2)/2))/(LN(2)/2)*V133*Y133*VLOOKUP('Données projet'!$B$9,Paramètres!$A$1:$I$89,3,0)*0.475*44/12</f>
        <v>3.5931458792121697E-15</v>
      </c>
      <c r="AC133" s="22">
        <f t="shared" si="111"/>
        <v>0.84629629732491041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-2.8421709430404007E-14</v>
      </c>
      <c r="AJ133" s="13">
        <f>AI133*VLOOKUP('Données projet'!$B$10,Paramètres!$A$1:$I$89,3,0)*VLOOKUP('Données projet'!$B$10,Paramètres!$A$1:$I$89,5,0)</f>
        <v>-2.4829205358400945E-14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254.24072778190163</v>
      </c>
      <c r="AO133" s="59">
        <f t="shared" ref="AO133:AO196" si="144">$AO$3</f>
        <v>356.78706780980383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0.42410579738817372</v>
      </c>
      <c r="AV133" s="21">
        <f>EXP(-LN(2)/25)*AV132+(1-EXP(-LN(2)/25))/(LN(2)/25)*Calculateur!AQ133*Calculateur!AS133*VLOOKUP('Données projet'!$B$10,Paramètres!$A$1:$I$89,3,0)*0.475*44/12</f>
        <v>1.1057752948824591</v>
      </c>
      <c r="AW133" s="21">
        <f>EXP(-LN(2)/2)*AW132+(1-EXP(-LN(2)/2))/(LN(2)/2)*AQ133*AT133*VLOOKUP('Données projet'!$B$10,Paramètres!$A$1:$I$89,3,0)*0.475*44/12</f>
        <v>2.4664720762825635E-14</v>
      </c>
      <c r="AX133" s="21">
        <f t="shared" si="114"/>
        <v>1.5298810922706574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-4.5474735088646412E-13</v>
      </c>
      <c r="BE133" s="13">
        <f>BD133*VLOOKUP('Données projet'!$B$11,Paramètres!$A$1:$I$89,3,0)*VLOOKUP('Données projet'!$B$11,Paramètres!$A$1:$I$89,5,0)</f>
        <v>-2.7193891583010558E-13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246.59447135626942</v>
      </c>
      <c r="BJ133" s="59">
        <f t="shared" ref="BJ133:BJ196" si="146">$BJ$3</f>
        <v>262.00382544285367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0.8030789719906406</v>
      </c>
      <c r="BR133" s="21">
        <f>EXP(-LN(2)/2)*BR132+(1-EXP(-LN(2)/2))/(LN(2)/2)*BL133*BO133*VLOOKUP('Données projet'!$B$11,Paramètres!$A$1:$I$89,3,0)*0.475*44/12</f>
        <v>2.1075905353224097E-14</v>
      </c>
      <c r="BS133" s="22">
        <f t="shared" si="117"/>
        <v>0.80307897199066169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1.1368683772161603E-13</v>
      </c>
      <c r="BZ133" s="13">
        <f>BY133*VLOOKUP('Données projet'!$B$12,Paramètres!$A$1:$I$89,3,0)*VLOOKUP('Données projet'!$B$12,Paramètres!$A$1:$I$89,5,0)</f>
        <v>1.0286385077051818E-13</v>
      </c>
      <c r="CA133" s="13">
        <f t="shared" ref="CA133:CA153" si="147">EXP(-1.0587+0.8836*LN(BZ133)+0.284)</f>
        <v>1.5402366592183556E-12</v>
      </c>
      <c r="CB133" s="20">
        <f t="shared" si="118"/>
        <v>2.8617333882306215E-12</v>
      </c>
      <c r="CC133" s="59">
        <f t="shared" si="119"/>
        <v>293.33333333333616</v>
      </c>
      <c r="CD133" s="59">
        <f ca="1">AVERAGE(OFFSET($CC$3,0,0,'Données projet'!$E$12+1,1))-AVERAGE(OFFSET($H$3,0,0,'Données projet'!$E$12+1,1))</f>
        <v>169.62156467157178</v>
      </c>
      <c r="CE133" s="59">
        <f t="shared" ref="CE133:CE196" si="148">$CE$3</f>
        <v>85.631326020763254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4.6111381379887463E-14</v>
      </c>
      <c r="CV133" s="13">
        <f t="shared" ref="CV133:CV153" si="149">EXP(-1.0587+0.8836*LN(CU133)+0.284)</f>
        <v>7.5804141040779151E-13</v>
      </c>
      <c r="CW133" s="20">
        <f t="shared" si="121"/>
        <v>1.4005661123635408E-12</v>
      </c>
      <c r="CX133" s="59">
        <f t="shared" si="122"/>
        <v>293.33333333333474</v>
      </c>
      <c r="CY133" s="59">
        <f ca="1">AVERAGE(OFFSET($CX$3,0,0,'Données projet'!$E$13+1,1))-AVERAGE(OFFSET($H$3,0,0,'Données projet'!$E$13+1,1))</f>
        <v>234.59657655504111</v>
      </c>
      <c r="CZ133" s="59">
        <f t="shared" ref="CZ133:CZ196" si="150">$CZ$3</f>
        <v>285.10598666479211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0.5316485244544219</v>
      </c>
      <c r="DH133" s="21">
        <f>EXP(-LN(2)/2)*DH132+(1-EXP(-LN(2)/2))/(LN(2)/2)*DB133*DE133*VLOOKUP('Données projet'!$B$13,Paramètres!$A$1:$I$89,3,0)*0.475*44/12</f>
        <v>9.7455992983225659E-15</v>
      </c>
      <c r="DI133" s="22">
        <f t="shared" si="123"/>
        <v>0.53164852445443167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1.1368683772161603E-13</v>
      </c>
      <c r="DP133" s="17">
        <f>DO133*VLOOKUP('Données projet'!$B$14,Paramètres!$A$1:$I$89,3,0)*VLOOKUP('Données projet'!$B$14,Paramètres!$A$1:$I$89,5,0)</f>
        <v>1.0995790944434703E-13</v>
      </c>
      <c r="DQ133" s="13">
        <f t="shared" ref="DQ133:DQ153" si="151">EXP(-1.0587+0.8836*LN(DP133)+0.284)</f>
        <v>1.6337280948049956E-12</v>
      </c>
      <c r="DR133" s="20">
        <f t="shared" si="124"/>
        <v>3.036919790734272E-12</v>
      </c>
      <c r="DS133" s="59">
        <f t="shared" si="125"/>
        <v>293.33333333333633</v>
      </c>
      <c r="DT133" s="59">
        <f ca="1">AVERAGE(OFFSET($DS$3,0,0,'Données projet'!$E$14+1,1))-AVERAGE(OFFSET($H$3,0,0,'Données projet'!$E$14+1,1))</f>
        <v>186.90852124957956</v>
      </c>
      <c r="DU133" s="59">
        <f t="shared" ref="DU133:DU196" si="152">$DU$3</f>
        <v>93.013797128776446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1.1368683772161603E-13</v>
      </c>
      <c r="EK133" s="17">
        <f>EJ133*VLOOKUP('Données projet'!$B$15,Paramètres!$A$1:$I$89,3,0)*VLOOKUP('Données projet'!$B$15,Paramètres!$A$1:$I$89,5,0)</f>
        <v>1.223725121235475E-13</v>
      </c>
      <c r="EL133" s="13">
        <f t="shared" ref="EL133:EL153" si="153">EXP(-1.0587+0.8836*LN(EK133)+0.284)</f>
        <v>1.7956824466038182E-12</v>
      </c>
      <c r="EM133" s="20">
        <f t="shared" si="127"/>
        <v>3.3406123864501612E-12</v>
      </c>
      <c r="EN133" s="59">
        <f t="shared" si="128"/>
        <v>293.33333333333667</v>
      </c>
      <c r="EO133" s="59">
        <f ca="1">AVERAGE(OFFSET($EN$3,0,0,'Données projet'!$E$15+1,1))-AVERAGE(OFFSET($H$3,0,0,'Données projet'!$E$15+1,1))</f>
        <v>217.10418688911096</v>
      </c>
      <c r="EP133" s="59">
        <f t="shared" ref="EP133:EP196" si="154">$EP$3</f>
        <v>105.90631421515786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145.19188637714888</v>
      </c>
      <c r="T134" s="59">
        <f t="shared" si="142"/>
        <v>169.74069292032493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0.2993347944988799</v>
      </c>
      <c r="AA134" s="21">
        <f>EXP(-LN(2)/25)*AA133+(1-EXP(-LN(2)/25))/(LN(2)/25)*Calculateur!V134*Calculateur!X134*VLOOKUP('Données projet'!$B$9,Paramètres!$A$1:$I$89,3,0)*0.475*44/12</f>
        <v>0.52618135380962716</v>
      </c>
      <c r="AB134" s="21">
        <f>EXP(-LN(2)/2)*AB133+(1-EXP(-LN(2)/2))/(LN(2)/2)*V134*Y134*VLOOKUP('Données projet'!$B$9,Paramètres!$A$1:$I$89,3,0)*0.475*44/12</f>
        <v>2.5407378169834246E-15</v>
      </c>
      <c r="AC134" s="22">
        <f t="shared" si="111"/>
        <v>0.82551614830850961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-2.8421709430404007E-14</v>
      </c>
      <c r="AJ134" s="13">
        <f>AI134*VLOOKUP('Données projet'!$B$10,Paramètres!$A$1:$I$89,3,0)*VLOOKUP('Données projet'!$B$10,Paramètres!$A$1:$I$89,5,0)</f>
        <v>-2.4829205358400945E-14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254.24072778190163</v>
      </c>
      <c r="AO134" s="59">
        <f t="shared" si="144"/>
        <v>356.78706780980383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0.41578934138038559</v>
      </c>
      <c r="AV134" s="21">
        <f>EXP(-LN(2)/25)*AV133+(1-EXP(-LN(2)/25))/(LN(2)/25)*Calculateur!AQ134*Calculateur!AS134*VLOOKUP('Données projet'!$B$10,Paramètres!$A$1:$I$89,3,0)*0.475*44/12</f>
        <v>1.0755378112937029</v>
      </c>
      <c r="AW134" s="21">
        <f>EXP(-LN(2)/2)*AW133+(1-EXP(-LN(2)/2))/(LN(2)/2)*AQ134*AT134*VLOOKUP('Données projet'!$B$10,Paramètres!$A$1:$I$89,3,0)*0.475*44/12</f>
        <v>1.7440591307466641E-14</v>
      </c>
      <c r="AX134" s="21">
        <f t="shared" si="114"/>
        <v>1.4913271526741061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-4.5474735088646412E-13</v>
      </c>
      <c r="BE134" s="13">
        <f>BD134*VLOOKUP('Données projet'!$B$11,Paramètres!$A$1:$I$89,3,0)*VLOOKUP('Données projet'!$B$11,Paramètres!$A$1:$I$89,5,0)</f>
        <v>-2.7193891583010558E-13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246.59447135626942</v>
      </c>
      <c r="BJ134" s="59">
        <f t="shared" si="146"/>
        <v>262.00382544285367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0.78111873526946884</v>
      </c>
      <c r="BR134" s="21">
        <f>EXP(-LN(2)/2)*BR133+(1-EXP(-LN(2)/2))/(LN(2)/2)*BL134*BO134*VLOOKUP('Données projet'!$B$11,Paramètres!$A$1:$I$89,3,0)*0.475*44/12</f>
        <v>1.4902915594910617E-14</v>
      </c>
      <c r="BS134" s="22">
        <f t="shared" si="117"/>
        <v>0.78111873526948372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1.1368683772161603E-13</v>
      </c>
      <c r="BZ134" s="13">
        <f>BY134*VLOOKUP('Données projet'!$B$12,Paramètres!$A$1:$I$89,3,0)*VLOOKUP('Données projet'!$B$12,Paramètres!$A$1:$I$89,5,0)</f>
        <v>1.0286385077051818E-13</v>
      </c>
      <c r="CA134" s="13">
        <f t="shared" si="147"/>
        <v>1.5402366592183556E-12</v>
      </c>
      <c r="CB134" s="20">
        <f t="shared" si="118"/>
        <v>2.8617333882306215E-12</v>
      </c>
      <c r="CC134" s="59">
        <f t="shared" si="119"/>
        <v>293.33333333333616</v>
      </c>
      <c r="CD134" s="59">
        <f ca="1">AVERAGE(OFFSET($CC$3,0,0,'Données projet'!$E$12+1,1))-AVERAGE(OFFSET($H$3,0,0,'Données projet'!$E$12+1,1))</f>
        <v>169.62156467157178</v>
      </c>
      <c r="CE134" s="59">
        <f t="shared" si="148"/>
        <v>85.631326020763254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4.6111381379887463E-14</v>
      </c>
      <c r="CV134" s="13">
        <f t="shared" si="149"/>
        <v>7.5804141040779151E-13</v>
      </c>
      <c r="CW134" s="20">
        <f t="shared" si="121"/>
        <v>1.4005661123635408E-12</v>
      </c>
      <c r="CX134" s="59">
        <f t="shared" si="122"/>
        <v>293.33333333333474</v>
      </c>
      <c r="CY134" s="59">
        <f ca="1">AVERAGE(OFFSET($CX$3,0,0,'Données projet'!$E$13+1,1))-AVERAGE(OFFSET($H$3,0,0,'Données projet'!$E$13+1,1))</f>
        <v>234.59657655504111</v>
      </c>
      <c r="CZ134" s="59">
        <f t="shared" si="150"/>
        <v>285.10598666479211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0.51711056759503493</v>
      </c>
      <c r="DH134" s="21">
        <f>EXP(-LN(2)/2)*DH133+(1-EXP(-LN(2)/2))/(LN(2)/2)*DB134*DE134*VLOOKUP('Données projet'!$B$13,Paramètres!$A$1:$I$89,3,0)*0.475*44/12</f>
        <v>6.8911793505707458E-15</v>
      </c>
      <c r="DI134" s="22">
        <f t="shared" si="123"/>
        <v>0.51711056759504181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1.1368683772161603E-13</v>
      </c>
      <c r="DP134" s="17">
        <f>DO134*VLOOKUP('Données projet'!$B$14,Paramètres!$A$1:$I$89,3,0)*VLOOKUP('Données projet'!$B$14,Paramètres!$A$1:$I$89,5,0)</f>
        <v>1.0995790944434703E-13</v>
      </c>
      <c r="DQ134" s="13">
        <f t="shared" si="151"/>
        <v>1.6337280948049956E-12</v>
      </c>
      <c r="DR134" s="20">
        <f t="shared" si="124"/>
        <v>3.036919790734272E-12</v>
      </c>
      <c r="DS134" s="59">
        <f t="shared" si="125"/>
        <v>293.33333333333633</v>
      </c>
      <c r="DT134" s="59">
        <f ca="1">AVERAGE(OFFSET($DS$3,0,0,'Données projet'!$E$14+1,1))-AVERAGE(OFFSET($H$3,0,0,'Données projet'!$E$14+1,1))</f>
        <v>186.90852124957956</v>
      </c>
      <c r="DU134" s="59">
        <f t="shared" si="152"/>
        <v>93.013797128776446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1.1368683772161603E-13</v>
      </c>
      <c r="EK134" s="17">
        <f>EJ134*VLOOKUP('Données projet'!$B$15,Paramètres!$A$1:$I$89,3,0)*VLOOKUP('Données projet'!$B$15,Paramètres!$A$1:$I$89,5,0)</f>
        <v>1.223725121235475E-13</v>
      </c>
      <c r="EL134" s="13">
        <f t="shared" si="153"/>
        <v>1.7956824466038182E-12</v>
      </c>
      <c r="EM134" s="20">
        <f t="shared" si="127"/>
        <v>3.3406123864501612E-12</v>
      </c>
      <c r="EN134" s="59">
        <f t="shared" si="128"/>
        <v>293.33333333333667</v>
      </c>
      <c r="EO134" s="59">
        <f ca="1">AVERAGE(OFFSET($EN$3,0,0,'Données projet'!$E$15+1,1))-AVERAGE(OFFSET($H$3,0,0,'Données projet'!$E$15+1,1))</f>
        <v>217.10418688911096</v>
      </c>
      <c r="EP134" s="59">
        <f t="shared" si="154"/>
        <v>105.90631421515786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145.19188637714888</v>
      </c>
      <c r="T135" s="59">
        <f t="shared" si="142"/>
        <v>169.74069292032493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0.29346502175495359</v>
      </c>
      <c r="AA135" s="21">
        <f>EXP(-LN(2)/25)*AA134+(1-EXP(-LN(2)/25))/(LN(2)/25)*Calculateur!V135*Calculateur!X135*VLOOKUP('Données projet'!$B$9,Paramètres!$A$1:$I$89,3,0)*0.475*44/12</f>
        <v>0.51179289701902808</v>
      </c>
      <c r="AB135" s="21">
        <f>EXP(-LN(2)/2)*AB134+(1-EXP(-LN(2)/2))/(LN(2)/2)*V135*Y135*VLOOKUP('Données projet'!$B$9,Paramètres!$A$1:$I$89,3,0)*0.475*44/12</f>
        <v>1.7965729396060849E-15</v>
      </c>
      <c r="AC135" s="22">
        <f t="shared" si="111"/>
        <v>0.80525791877398345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-2.8421709430404007E-14</v>
      </c>
      <c r="AJ135" s="13">
        <f>AI135*VLOOKUP('Données projet'!$B$10,Paramètres!$A$1:$I$89,3,0)*VLOOKUP('Données projet'!$B$10,Paramètres!$A$1:$I$89,5,0)</f>
        <v>-2.4829205358400945E-14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254.24072778190163</v>
      </c>
      <c r="AO135" s="59">
        <f t="shared" si="144"/>
        <v>356.78706780980383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0.4076359660023729</v>
      </c>
      <c r="AV135" s="21">
        <f>EXP(-LN(2)/25)*AV134+(1-EXP(-LN(2)/25))/(LN(2)/25)*Calculateur!AQ135*Calculateur!AS135*VLOOKUP('Données projet'!$B$10,Paramètres!$A$1:$I$89,3,0)*0.475*44/12</f>
        <v>1.0461271732838011</v>
      </c>
      <c r="AW135" s="21">
        <f>EXP(-LN(2)/2)*AW134+(1-EXP(-LN(2)/2))/(LN(2)/2)*AQ135*AT135*VLOOKUP('Données projet'!$B$10,Paramètres!$A$1:$I$89,3,0)*0.475*44/12</f>
        <v>1.2332360381412817E-14</v>
      </c>
      <c r="AX135" s="21">
        <f t="shared" si="114"/>
        <v>1.4537631392861865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-4.5474735088646412E-13</v>
      </c>
      <c r="BE135" s="13">
        <f>BD135*VLOOKUP('Données projet'!$B$11,Paramètres!$A$1:$I$89,3,0)*VLOOKUP('Données projet'!$B$11,Paramètres!$A$1:$I$89,5,0)</f>
        <v>-2.7193891583010558E-13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246.59447135626942</v>
      </c>
      <c r="BJ135" s="59">
        <f t="shared" si="146"/>
        <v>262.00382544285367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0.75975900237627625</v>
      </c>
      <c r="BR135" s="21">
        <f>EXP(-LN(2)/2)*BR134+(1-EXP(-LN(2)/2))/(LN(2)/2)*BL135*BO135*VLOOKUP('Données projet'!$B$11,Paramètres!$A$1:$I$89,3,0)*0.475*44/12</f>
        <v>1.0537952676612049E-14</v>
      </c>
      <c r="BS135" s="22">
        <f t="shared" si="117"/>
        <v>0.7597590023762868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1.1368683772161603E-13</v>
      </c>
      <c r="BZ135" s="13">
        <f>BY135*VLOOKUP('Données projet'!$B$12,Paramètres!$A$1:$I$89,3,0)*VLOOKUP('Données projet'!$B$12,Paramètres!$A$1:$I$89,5,0)</f>
        <v>1.0286385077051818E-13</v>
      </c>
      <c r="CA135" s="13">
        <f t="shared" si="147"/>
        <v>1.5402366592183556E-12</v>
      </c>
      <c r="CB135" s="20">
        <f t="shared" si="118"/>
        <v>2.8617333882306215E-12</v>
      </c>
      <c r="CC135" s="59">
        <f t="shared" si="119"/>
        <v>293.33333333333616</v>
      </c>
      <c r="CD135" s="59">
        <f ca="1">AVERAGE(OFFSET($CC$3,0,0,'Données projet'!$E$12+1,1))-AVERAGE(OFFSET($H$3,0,0,'Données projet'!$E$12+1,1))</f>
        <v>169.62156467157178</v>
      </c>
      <c r="CE135" s="59">
        <f t="shared" si="148"/>
        <v>85.631326020763254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4.6111381379887463E-14</v>
      </c>
      <c r="CV135" s="13">
        <f t="shared" si="149"/>
        <v>7.5804141040779151E-13</v>
      </c>
      <c r="CW135" s="20">
        <f t="shared" si="121"/>
        <v>1.4005661123635408E-12</v>
      </c>
      <c r="CX135" s="59">
        <f t="shared" si="122"/>
        <v>293.33333333333474</v>
      </c>
      <c r="CY135" s="59">
        <f ca="1">AVERAGE(OFFSET($CX$3,0,0,'Données projet'!$E$13+1,1))-AVERAGE(OFFSET($H$3,0,0,'Données projet'!$E$13+1,1))</f>
        <v>234.59657655504111</v>
      </c>
      <c r="CZ135" s="59">
        <f t="shared" si="150"/>
        <v>285.10598666479211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0.50297015193048578</v>
      </c>
      <c r="DH135" s="21">
        <f>EXP(-LN(2)/2)*DH134+(1-EXP(-LN(2)/2))/(LN(2)/2)*DB135*DE135*VLOOKUP('Données projet'!$B$13,Paramètres!$A$1:$I$89,3,0)*0.475*44/12</f>
        <v>4.872799649161283E-15</v>
      </c>
      <c r="DI135" s="22">
        <f t="shared" si="123"/>
        <v>0.50297015193049066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1.1368683772161603E-13</v>
      </c>
      <c r="DP135" s="17">
        <f>DO135*VLOOKUP('Données projet'!$B$14,Paramètres!$A$1:$I$89,3,0)*VLOOKUP('Données projet'!$B$14,Paramètres!$A$1:$I$89,5,0)</f>
        <v>1.0995790944434703E-13</v>
      </c>
      <c r="DQ135" s="13">
        <f t="shared" si="151"/>
        <v>1.6337280948049956E-12</v>
      </c>
      <c r="DR135" s="20">
        <f t="shared" si="124"/>
        <v>3.036919790734272E-12</v>
      </c>
      <c r="DS135" s="59">
        <f t="shared" si="125"/>
        <v>293.33333333333633</v>
      </c>
      <c r="DT135" s="59">
        <f ca="1">AVERAGE(OFFSET($DS$3,0,0,'Données projet'!$E$14+1,1))-AVERAGE(OFFSET($H$3,0,0,'Données projet'!$E$14+1,1))</f>
        <v>186.90852124957956</v>
      </c>
      <c r="DU135" s="59">
        <f t="shared" si="152"/>
        <v>93.013797128776446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1.1368683772161603E-13</v>
      </c>
      <c r="EK135" s="17">
        <f>EJ135*VLOOKUP('Données projet'!$B$15,Paramètres!$A$1:$I$89,3,0)*VLOOKUP('Données projet'!$B$15,Paramètres!$A$1:$I$89,5,0)</f>
        <v>1.223725121235475E-13</v>
      </c>
      <c r="EL135" s="13">
        <f t="shared" si="153"/>
        <v>1.7956824466038182E-12</v>
      </c>
      <c r="EM135" s="20">
        <f t="shared" si="127"/>
        <v>3.3406123864501612E-12</v>
      </c>
      <c r="EN135" s="59">
        <f t="shared" si="128"/>
        <v>293.33333333333667</v>
      </c>
      <c r="EO135" s="59">
        <f ca="1">AVERAGE(OFFSET($EN$3,0,0,'Données projet'!$E$15+1,1))-AVERAGE(OFFSET($H$3,0,0,'Données projet'!$E$15+1,1))</f>
        <v>217.10418688911096</v>
      </c>
      <c r="EP135" s="59">
        <f t="shared" si="154"/>
        <v>105.90631421515786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145.19188637714888</v>
      </c>
      <c r="T136" s="59">
        <f t="shared" si="142"/>
        <v>169.74069292032493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0.28771035167432785</v>
      </c>
      <c r="AA136" s="21">
        <f>EXP(-LN(2)/25)*AA135+(1-EXP(-LN(2)/25))/(LN(2)/25)*Calculateur!V136*Calculateur!X136*VLOOKUP('Données projet'!$B$9,Paramètres!$A$1:$I$89,3,0)*0.475*44/12</f>
        <v>0.49779789333602403</v>
      </c>
      <c r="AB136" s="21">
        <f>EXP(-LN(2)/2)*AB135+(1-EXP(-LN(2)/2))/(LN(2)/2)*V136*Y136*VLOOKUP('Données projet'!$B$9,Paramètres!$A$1:$I$89,3,0)*0.475*44/12</f>
        <v>1.2703689084917123E-15</v>
      </c>
      <c r="AC136" s="22">
        <f t="shared" si="111"/>
        <v>0.7855082450103531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-2.8421709430404007E-14</v>
      </c>
      <c r="AJ136" s="13">
        <f>AI136*VLOOKUP('Données projet'!$B$10,Paramètres!$A$1:$I$89,3,0)*VLOOKUP('Données projet'!$B$10,Paramètres!$A$1:$I$89,5,0)</f>
        <v>-2.4829205358400945E-14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254.24072778190163</v>
      </c>
      <c r="AO136" s="59">
        <f t="shared" si="144"/>
        <v>356.78706780980383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0.39964247334245512</v>
      </c>
      <c r="AV136" s="21">
        <f>EXP(-LN(2)/25)*AV135+(1-EXP(-LN(2)/25))/(LN(2)/25)*Calculateur!AQ136*Calculateur!AS136*VLOOKUP('Données projet'!$B$10,Paramètres!$A$1:$I$89,3,0)*0.475*44/12</f>
        <v>1.0175207707169185</v>
      </c>
      <c r="AW136" s="21">
        <f>EXP(-LN(2)/2)*AW135+(1-EXP(-LN(2)/2))/(LN(2)/2)*AQ136*AT136*VLOOKUP('Données projet'!$B$10,Paramètres!$A$1:$I$89,3,0)*0.475*44/12</f>
        <v>8.7202956537333206E-15</v>
      </c>
      <c r="AX136" s="21">
        <f t="shared" si="114"/>
        <v>1.4171632440593822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-4.5474735088646412E-13</v>
      </c>
      <c r="BE136" s="13">
        <f>BD136*VLOOKUP('Données projet'!$B$11,Paramètres!$A$1:$I$89,3,0)*VLOOKUP('Données projet'!$B$11,Paramètres!$A$1:$I$89,5,0)</f>
        <v>-2.7193891583010558E-13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246.59447135626942</v>
      </c>
      <c r="BJ136" s="59">
        <f t="shared" si="146"/>
        <v>262.00382544285367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0.73898335250230751</v>
      </c>
      <c r="BR136" s="21">
        <f>EXP(-LN(2)/2)*BR135+(1-EXP(-LN(2)/2))/(LN(2)/2)*BL136*BO136*VLOOKUP('Données projet'!$B$11,Paramètres!$A$1:$I$89,3,0)*0.475*44/12</f>
        <v>7.4514577974553085E-15</v>
      </c>
      <c r="BS136" s="22">
        <f t="shared" si="117"/>
        <v>0.73898335250231495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1.1368683772161603E-13</v>
      </c>
      <c r="BZ136" s="13">
        <f>BY136*VLOOKUP('Données projet'!$B$12,Paramètres!$A$1:$I$89,3,0)*VLOOKUP('Données projet'!$B$12,Paramètres!$A$1:$I$89,5,0)</f>
        <v>1.0286385077051818E-13</v>
      </c>
      <c r="CA136" s="13">
        <f t="shared" si="147"/>
        <v>1.5402366592183556E-12</v>
      </c>
      <c r="CB136" s="20">
        <f t="shared" si="118"/>
        <v>2.8617333882306215E-12</v>
      </c>
      <c r="CC136" s="59">
        <f t="shared" si="119"/>
        <v>293.33333333333616</v>
      </c>
      <c r="CD136" s="59">
        <f ca="1">AVERAGE(OFFSET($CC$3,0,0,'Données projet'!$E$12+1,1))-AVERAGE(OFFSET($H$3,0,0,'Données projet'!$E$12+1,1))</f>
        <v>169.62156467157178</v>
      </c>
      <c r="CE136" s="59">
        <f t="shared" si="148"/>
        <v>85.631326020763254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4.6111381379887463E-14</v>
      </c>
      <c r="CV136" s="13">
        <f t="shared" si="149"/>
        <v>7.5804141040779151E-13</v>
      </c>
      <c r="CW136" s="20">
        <f t="shared" si="121"/>
        <v>1.4005661123635408E-12</v>
      </c>
      <c r="CX136" s="59">
        <f t="shared" si="122"/>
        <v>293.33333333333474</v>
      </c>
      <c r="CY136" s="59">
        <f ca="1">AVERAGE(OFFSET($CX$3,0,0,'Données projet'!$E$13+1,1))-AVERAGE(OFFSET($H$3,0,0,'Données projet'!$E$13+1,1))</f>
        <v>234.59657655504111</v>
      </c>
      <c r="CZ136" s="59">
        <f t="shared" si="150"/>
        <v>285.10598666479211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0.48921640667589589</v>
      </c>
      <c r="DH136" s="21">
        <f>EXP(-LN(2)/2)*DH135+(1-EXP(-LN(2)/2))/(LN(2)/2)*DB136*DE136*VLOOKUP('Données projet'!$B$13,Paramètres!$A$1:$I$89,3,0)*0.475*44/12</f>
        <v>3.4455896752853729E-15</v>
      </c>
      <c r="DI136" s="22">
        <f t="shared" si="123"/>
        <v>0.48921640667589933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1.1368683772161603E-13</v>
      </c>
      <c r="DP136" s="17">
        <f>DO136*VLOOKUP('Données projet'!$B$14,Paramètres!$A$1:$I$89,3,0)*VLOOKUP('Données projet'!$B$14,Paramètres!$A$1:$I$89,5,0)</f>
        <v>1.0995790944434703E-13</v>
      </c>
      <c r="DQ136" s="13">
        <f t="shared" si="151"/>
        <v>1.6337280948049956E-12</v>
      </c>
      <c r="DR136" s="20">
        <f t="shared" si="124"/>
        <v>3.036919790734272E-12</v>
      </c>
      <c r="DS136" s="59">
        <f t="shared" si="125"/>
        <v>293.33333333333633</v>
      </c>
      <c r="DT136" s="59">
        <f ca="1">AVERAGE(OFFSET($DS$3,0,0,'Données projet'!$E$14+1,1))-AVERAGE(OFFSET($H$3,0,0,'Données projet'!$E$14+1,1))</f>
        <v>186.90852124957956</v>
      </c>
      <c r="DU136" s="59">
        <f t="shared" si="152"/>
        <v>93.013797128776446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1.1368683772161603E-13</v>
      </c>
      <c r="EK136" s="17">
        <f>EJ136*VLOOKUP('Données projet'!$B$15,Paramètres!$A$1:$I$89,3,0)*VLOOKUP('Données projet'!$B$15,Paramètres!$A$1:$I$89,5,0)</f>
        <v>1.223725121235475E-13</v>
      </c>
      <c r="EL136" s="13">
        <f t="shared" si="153"/>
        <v>1.7956824466038182E-12</v>
      </c>
      <c r="EM136" s="20">
        <f t="shared" si="127"/>
        <v>3.3406123864501612E-12</v>
      </c>
      <c r="EN136" s="59">
        <f t="shared" si="128"/>
        <v>293.33333333333667</v>
      </c>
      <c r="EO136" s="59">
        <f ca="1">AVERAGE(OFFSET($EN$3,0,0,'Données projet'!$E$15+1,1))-AVERAGE(OFFSET($H$3,0,0,'Données projet'!$E$15+1,1))</f>
        <v>217.10418688911096</v>
      </c>
      <c r="EP136" s="59">
        <f t="shared" si="154"/>
        <v>105.90631421515786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145.19188637714888</v>
      </c>
      <c r="T137" s="59">
        <f t="shared" si="142"/>
        <v>169.74069292032493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0.28206852716398101</v>
      </c>
      <c r="AA137" s="21">
        <f>EXP(-LN(2)/25)*AA136+(1-EXP(-LN(2)/25))/(LN(2)/25)*Calculateur!V137*Calculateur!X137*VLOOKUP('Données projet'!$B$9,Paramètres!$A$1:$I$89,3,0)*0.475*44/12</f>
        <v>0.484185583764697</v>
      </c>
      <c r="AB137" s="21">
        <f>EXP(-LN(2)/2)*AB136+(1-EXP(-LN(2)/2))/(LN(2)/2)*V137*Y137*VLOOKUP('Données projet'!$B$9,Paramètres!$A$1:$I$89,3,0)*0.475*44/12</f>
        <v>8.9828646980304243E-16</v>
      </c>
      <c r="AC137" s="22">
        <f t="shared" si="111"/>
        <v>0.7662541109286789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-2.8421709430404007E-14</v>
      </c>
      <c r="AJ137" s="13">
        <f>AI137*VLOOKUP('Données projet'!$B$10,Paramètres!$A$1:$I$89,3,0)*VLOOKUP('Données projet'!$B$10,Paramètres!$A$1:$I$89,5,0)</f>
        <v>-2.4829205358400945E-14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254.24072778190163</v>
      </c>
      <c r="AO137" s="59">
        <f t="shared" si="144"/>
        <v>356.78706780980383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0.39180572819804921</v>
      </c>
      <c r="AV137" s="21">
        <f>EXP(-LN(2)/25)*AV136+(1-EXP(-LN(2)/25))/(LN(2)/25)*Calculateur!AQ137*Calculateur!AS137*VLOOKUP('Données projet'!$B$10,Paramètres!$A$1:$I$89,3,0)*0.475*44/12</f>
        <v>0.98969661173257262</v>
      </c>
      <c r="AW137" s="21">
        <f>EXP(-LN(2)/2)*AW136+(1-EXP(-LN(2)/2))/(LN(2)/2)*AQ137*AT137*VLOOKUP('Données projet'!$B$10,Paramètres!$A$1:$I$89,3,0)*0.475*44/12</f>
        <v>6.1661801907064087E-15</v>
      </c>
      <c r="AX137" s="21">
        <f t="shared" si="114"/>
        <v>1.3815023399306281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-4.5474735088646412E-13</v>
      </c>
      <c r="BE137" s="13">
        <f>BD137*VLOOKUP('Données projet'!$B$11,Paramètres!$A$1:$I$89,3,0)*VLOOKUP('Données projet'!$B$11,Paramètres!$A$1:$I$89,5,0)</f>
        <v>-2.7193891583010558E-13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246.59447135626942</v>
      </c>
      <c r="BJ137" s="59">
        <f t="shared" si="146"/>
        <v>262.00382544285367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0.71877581386668632</v>
      </c>
      <c r="BR137" s="21">
        <f>EXP(-LN(2)/2)*BR136+(1-EXP(-LN(2)/2))/(LN(2)/2)*BL137*BO137*VLOOKUP('Données projet'!$B$11,Paramètres!$A$1:$I$89,3,0)*0.475*44/12</f>
        <v>5.2689763383060243E-15</v>
      </c>
      <c r="BS137" s="22">
        <f t="shared" si="117"/>
        <v>0.71877581386669154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1.1368683772161603E-13</v>
      </c>
      <c r="BZ137" s="13">
        <f>BY137*VLOOKUP('Données projet'!$B$12,Paramètres!$A$1:$I$89,3,0)*VLOOKUP('Données projet'!$B$12,Paramètres!$A$1:$I$89,5,0)</f>
        <v>1.0286385077051818E-13</v>
      </c>
      <c r="CA137" s="13">
        <f t="shared" si="147"/>
        <v>1.5402366592183556E-12</v>
      </c>
      <c r="CB137" s="20">
        <f t="shared" si="118"/>
        <v>2.8617333882306215E-12</v>
      </c>
      <c r="CC137" s="59">
        <f t="shared" si="119"/>
        <v>293.33333333333616</v>
      </c>
      <c r="CD137" s="59">
        <f ca="1">AVERAGE(OFFSET($CC$3,0,0,'Données projet'!$E$12+1,1))-AVERAGE(OFFSET($H$3,0,0,'Données projet'!$E$12+1,1))</f>
        <v>169.62156467157178</v>
      </c>
      <c r="CE137" s="59">
        <f t="shared" si="148"/>
        <v>85.631326020763254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4.6111381379887463E-14</v>
      </c>
      <c r="CV137" s="13">
        <f t="shared" si="149"/>
        <v>7.5804141040779151E-13</v>
      </c>
      <c r="CW137" s="20">
        <f t="shared" si="121"/>
        <v>1.4005661123635408E-12</v>
      </c>
      <c r="CX137" s="59">
        <f t="shared" si="122"/>
        <v>293.33333333333474</v>
      </c>
      <c r="CY137" s="59">
        <f ca="1">AVERAGE(OFFSET($CX$3,0,0,'Données projet'!$E$13+1,1))-AVERAGE(OFFSET($H$3,0,0,'Données projet'!$E$13+1,1))</f>
        <v>234.59657655504111</v>
      </c>
      <c r="CZ137" s="59">
        <f t="shared" si="150"/>
        <v>285.10598666479211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0.47583875830857081</v>
      </c>
      <c r="DH137" s="21">
        <f>EXP(-LN(2)/2)*DH136+(1-EXP(-LN(2)/2))/(LN(2)/2)*DB137*DE137*VLOOKUP('Données projet'!$B$13,Paramètres!$A$1:$I$89,3,0)*0.475*44/12</f>
        <v>2.4363998245806415E-15</v>
      </c>
      <c r="DI137" s="22">
        <f t="shared" si="123"/>
        <v>0.47583875830857325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1.1368683772161603E-13</v>
      </c>
      <c r="DP137" s="17">
        <f>DO137*VLOOKUP('Données projet'!$B$14,Paramètres!$A$1:$I$89,3,0)*VLOOKUP('Données projet'!$B$14,Paramètres!$A$1:$I$89,5,0)</f>
        <v>1.0995790944434703E-13</v>
      </c>
      <c r="DQ137" s="13">
        <f t="shared" si="151"/>
        <v>1.6337280948049956E-12</v>
      </c>
      <c r="DR137" s="20">
        <f t="shared" si="124"/>
        <v>3.036919790734272E-12</v>
      </c>
      <c r="DS137" s="59">
        <f t="shared" si="125"/>
        <v>293.33333333333633</v>
      </c>
      <c r="DT137" s="59">
        <f ca="1">AVERAGE(OFFSET($DS$3,0,0,'Données projet'!$E$14+1,1))-AVERAGE(OFFSET($H$3,0,0,'Données projet'!$E$14+1,1))</f>
        <v>186.90852124957956</v>
      </c>
      <c r="DU137" s="59">
        <f t="shared" si="152"/>
        <v>93.013797128776446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1.1368683772161603E-13</v>
      </c>
      <c r="EK137" s="17">
        <f>EJ137*VLOOKUP('Données projet'!$B$15,Paramètres!$A$1:$I$89,3,0)*VLOOKUP('Données projet'!$B$15,Paramètres!$A$1:$I$89,5,0)</f>
        <v>1.223725121235475E-13</v>
      </c>
      <c r="EL137" s="13">
        <f t="shared" si="153"/>
        <v>1.7956824466038182E-12</v>
      </c>
      <c r="EM137" s="20">
        <f t="shared" si="127"/>
        <v>3.3406123864501612E-12</v>
      </c>
      <c r="EN137" s="59">
        <f t="shared" si="128"/>
        <v>293.33333333333667</v>
      </c>
      <c r="EO137" s="59">
        <f ca="1">AVERAGE(OFFSET($EN$3,0,0,'Données projet'!$E$15+1,1))-AVERAGE(OFFSET($H$3,0,0,'Données projet'!$E$15+1,1))</f>
        <v>217.10418688911096</v>
      </c>
      <c r="EP137" s="59">
        <f t="shared" si="154"/>
        <v>105.90631421515786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145.19188637714888</v>
      </c>
      <c r="T138" s="59">
        <f t="shared" si="142"/>
        <v>169.74069292032493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0.27653733539110892</v>
      </c>
      <c r="AA138" s="21">
        <f>EXP(-LN(2)/25)*AA137+(1-EXP(-LN(2)/25))/(LN(2)/25)*Calculateur!V138*Calculateur!X138*VLOOKUP('Données projet'!$B$9,Paramètres!$A$1:$I$89,3,0)*0.475*44/12</f>
        <v>0.47094550351443815</v>
      </c>
      <c r="AB138" s="21">
        <f>EXP(-LN(2)/2)*AB137+(1-EXP(-LN(2)/2))/(LN(2)/2)*V138*Y138*VLOOKUP('Données projet'!$B$9,Paramètres!$A$1:$I$89,3,0)*0.475*44/12</f>
        <v>6.3518445424585616E-16</v>
      </c>
      <c r="AC138" s="22">
        <f t="shared" si="111"/>
        <v>0.74748283890554768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-2.8421709430404007E-14</v>
      </c>
      <c r="AJ138" s="13">
        <f>AI138*VLOOKUP('Données projet'!$B$10,Paramètres!$A$1:$I$89,3,0)*VLOOKUP('Données projet'!$B$10,Paramètres!$A$1:$I$89,5,0)</f>
        <v>-2.4829205358400945E-14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254.24072778190163</v>
      </c>
      <c r="AO138" s="59">
        <f t="shared" si="144"/>
        <v>356.78706780980383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0.38412265684598257</v>
      </c>
      <c r="AV138" s="21">
        <f>EXP(-LN(2)/25)*AV137+(1-EXP(-LN(2)/25))/(LN(2)/25)*Calculateur!AQ138*Calculateur!AS138*VLOOKUP('Données projet'!$B$10,Paramètres!$A$1:$I$89,3,0)*0.475*44/12</f>
        <v>0.96263330583886264</v>
      </c>
      <c r="AW138" s="21">
        <f>EXP(-LN(2)/2)*AW137+(1-EXP(-LN(2)/2))/(LN(2)/2)*AQ138*AT138*VLOOKUP('Données projet'!$B$10,Paramètres!$A$1:$I$89,3,0)*0.475*44/12</f>
        <v>4.3601478268666603E-15</v>
      </c>
      <c r="AX138" s="21">
        <f t="shared" si="114"/>
        <v>1.3467559626848495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-4.5474735088646412E-13</v>
      </c>
      <c r="BE138" s="13">
        <f>BD138*VLOOKUP('Données projet'!$B$11,Paramètres!$A$1:$I$89,3,0)*VLOOKUP('Données projet'!$B$11,Paramètres!$A$1:$I$89,5,0)</f>
        <v>-2.7193891583010558E-13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246.59447135626942</v>
      </c>
      <c r="BJ138" s="59">
        <f t="shared" si="146"/>
        <v>262.00382544285367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0.69912085143772451</v>
      </c>
      <c r="BR138" s="21">
        <f>EXP(-LN(2)/2)*BR137+(1-EXP(-LN(2)/2))/(LN(2)/2)*BL138*BO138*VLOOKUP('Données projet'!$B$11,Paramètres!$A$1:$I$89,3,0)*0.475*44/12</f>
        <v>3.7257288987276542E-15</v>
      </c>
      <c r="BS138" s="22">
        <f t="shared" si="117"/>
        <v>0.69912085143772829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1.1368683772161603E-13</v>
      </c>
      <c r="BZ138" s="13">
        <f>BY138*VLOOKUP('Données projet'!$B$12,Paramètres!$A$1:$I$89,3,0)*VLOOKUP('Données projet'!$B$12,Paramètres!$A$1:$I$89,5,0)</f>
        <v>1.0286385077051818E-13</v>
      </c>
      <c r="CA138" s="13">
        <f t="shared" si="147"/>
        <v>1.5402366592183556E-12</v>
      </c>
      <c r="CB138" s="20">
        <f t="shared" si="118"/>
        <v>2.8617333882306215E-12</v>
      </c>
      <c r="CC138" s="59">
        <f t="shared" si="119"/>
        <v>293.33333333333616</v>
      </c>
      <c r="CD138" s="59">
        <f ca="1">AVERAGE(OFFSET($CC$3,0,0,'Données projet'!$E$12+1,1))-AVERAGE(OFFSET($H$3,0,0,'Données projet'!$E$12+1,1))</f>
        <v>169.62156467157178</v>
      </c>
      <c r="CE138" s="59">
        <f t="shared" si="148"/>
        <v>85.631326020763254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4.6111381379887463E-14</v>
      </c>
      <c r="CV138" s="13">
        <f t="shared" si="149"/>
        <v>7.5804141040779151E-13</v>
      </c>
      <c r="CW138" s="20">
        <f t="shared" si="121"/>
        <v>1.4005661123635408E-12</v>
      </c>
      <c r="CX138" s="59">
        <f t="shared" si="122"/>
        <v>293.33333333333474</v>
      </c>
      <c r="CY138" s="59">
        <f ca="1">AVERAGE(OFFSET($CX$3,0,0,'Données projet'!$E$13+1,1))-AVERAGE(OFFSET($H$3,0,0,'Données projet'!$E$13+1,1))</f>
        <v>234.59657655504111</v>
      </c>
      <c r="CZ138" s="59">
        <f t="shared" si="150"/>
        <v>285.10598666479211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0.4628269224393502</v>
      </c>
      <c r="DH138" s="21">
        <f>EXP(-LN(2)/2)*DH137+(1-EXP(-LN(2)/2))/(LN(2)/2)*DB138*DE138*VLOOKUP('Données projet'!$B$13,Paramètres!$A$1:$I$89,3,0)*0.475*44/12</f>
        <v>1.7227948376426865E-15</v>
      </c>
      <c r="DI138" s="22">
        <f t="shared" si="123"/>
        <v>0.46282692243935192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1.1368683772161603E-13</v>
      </c>
      <c r="DP138" s="17">
        <f>DO138*VLOOKUP('Données projet'!$B$14,Paramètres!$A$1:$I$89,3,0)*VLOOKUP('Données projet'!$B$14,Paramètres!$A$1:$I$89,5,0)</f>
        <v>1.0995790944434703E-13</v>
      </c>
      <c r="DQ138" s="13">
        <f t="shared" si="151"/>
        <v>1.6337280948049956E-12</v>
      </c>
      <c r="DR138" s="20">
        <f t="shared" si="124"/>
        <v>3.036919790734272E-12</v>
      </c>
      <c r="DS138" s="59">
        <f t="shared" si="125"/>
        <v>293.33333333333633</v>
      </c>
      <c r="DT138" s="59">
        <f ca="1">AVERAGE(OFFSET($DS$3,0,0,'Données projet'!$E$14+1,1))-AVERAGE(OFFSET($H$3,0,0,'Données projet'!$E$14+1,1))</f>
        <v>186.90852124957956</v>
      </c>
      <c r="DU138" s="59">
        <f t="shared" si="152"/>
        <v>93.013797128776446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1.1368683772161603E-13</v>
      </c>
      <c r="EK138" s="17">
        <f>EJ138*VLOOKUP('Données projet'!$B$15,Paramètres!$A$1:$I$89,3,0)*VLOOKUP('Données projet'!$B$15,Paramètres!$A$1:$I$89,5,0)</f>
        <v>1.223725121235475E-13</v>
      </c>
      <c r="EL138" s="13">
        <f t="shared" si="153"/>
        <v>1.7956824466038182E-12</v>
      </c>
      <c r="EM138" s="20">
        <f t="shared" si="127"/>
        <v>3.3406123864501612E-12</v>
      </c>
      <c r="EN138" s="59">
        <f t="shared" si="128"/>
        <v>293.33333333333667</v>
      </c>
      <c r="EO138" s="59">
        <f ca="1">AVERAGE(OFFSET($EN$3,0,0,'Données projet'!$E$15+1,1))-AVERAGE(OFFSET($H$3,0,0,'Données projet'!$E$15+1,1))</f>
        <v>217.10418688911096</v>
      </c>
      <c r="EP138" s="59">
        <f t="shared" si="154"/>
        <v>105.90631421515786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145.19188637714888</v>
      </c>
      <c r="T139" s="59">
        <f t="shared" si="142"/>
        <v>169.74069292032493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0.27111460691520894</v>
      </c>
      <c r="AA139" s="21">
        <f>EXP(-LN(2)/25)*AA138+(1-EXP(-LN(2)/25))/(LN(2)/25)*Calculateur!V139*Calculateur!X139*VLOOKUP('Données projet'!$B$9,Paramètres!$A$1:$I$89,3,0)*0.475*44/12</f>
        <v>0.45806747395488817</v>
      </c>
      <c r="AB139" s="21">
        <f>EXP(-LN(2)/2)*AB138+(1-EXP(-LN(2)/2))/(LN(2)/2)*V139*Y139*VLOOKUP('Données projet'!$B$9,Paramètres!$A$1:$I$89,3,0)*0.475*44/12</f>
        <v>4.4914323490152121E-16</v>
      </c>
      <c r="AC139" s="22">
        <f t="shared" si="111"/>
        <v>0.7291820808700975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-2.8421709430404007E-14</v>
      </c>
      <c r="AJ139" s="13">
        <f>AI139*VLOOKUP('Données projet'!$B$10,Paramètres!$A$1:$I$89,3,0)*VLOOKUP('Données projet'!$B$10,Paramètres!$A$1:$I$89,5,0)</f>
        <v>-2.4829205358400945E-14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254.24072778190163</v>
      </c>
      <c r="AO139" s="59">
        <f t="shared" si="144"/>
        <v>356.78706780980383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0.37659024583691914</v>
      </c>
      <c r="AV139" s="21">
        <f>EXP(-LN(2)/25)*AV138+(1-EXP(-LN(2)/25))/(LN(2)/25)*Calculateur!AQ139*Calculateur!AS139*VLOOKUP('Données projet'!$B$10,Paramètres!$A$1:$I$89,3,0)*0.475*44/12</f>
        <v>0.9363100474680135</v>
      </c>
      <c r="AW139" s="21">
        <f>EXP(-LN(2)/2)*AW138+(1-EXP(-LN(2)/2))/(LN(2)/2)*AQ139*AT139*VLOOKUP('Données projet'!$B$10,Paramètres!$A$1:$I$89,3,0)*0.475*44/12</f>
        <v>3.0830900953532043E-15</v>
      </c>
      <c r="AX139" s="21">
        <f t="shared" si="114"/>
        <v>1.3129002933049359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-4.5474735088646412E-13</v>
      </c>
      <c r="BE139" s="13">
        <f>BD139*VLOOKUP('Données projet'!$B$11,Paramètres!$A$1:$I$89,3,0)*VLOOKUP('Données projet'!$B$11,Paramètres!$A$1:$I$89,5,0)</f>
        <v>-2.7193891583010558E-13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246.59447135626942</v>
      </c>
      <c r="BJ139" s="59">
        <f t="shared" si="146"/>
        <v>262.00382544285367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0.6800033549899922</v>
      </c>
      <c r="BR139" s="21">
        <f>EXP(-LN(2)/2)*BR138+(1-EXP(-LN(2)/2))/(LN(2)/2)*BL139*BO139*VLOOKUP('Données projet'!$B$11,Paramètres!$A$1:$I$89,3,0)*0.475*44/12</f>
        <v>2.6344881691530121E-15</v>
      </c>
      <c r="BS139" s="22">
        <f t="shared" si="117"/>
        <v>0.68000335498999487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1.1368683772161603E-13</v>
      </c>
      <c r="BZ139" s="13">
        <f>BY139*VLOOKUP('Données projet'!$B$12,Paramètres!$A$1:$I$89,3,0)*VLOOKUP('Données projet'!$B$12,Paramètres!$A$1:$I$89,5,0)</f>
        <v>1.0286385077051818E-13</v>
      </c>
      <c r="CA139" s="13">
        <f t="shared" si="147"/>
        <v>1.5402366592183556E-12</v>
      </c>
      <c r="CB139" s="20">
        <f t="shared" si="118"/>
        <v>2.8617333882306215E-12</v>
      </c>
      <c r="CC139" s="59">
        <f t="shared" si="119"/>
        <v>293.33333333333616</v>
      </c>
      <c r="CD139" s="59">
        <f ca="1">AVERAGE(OFFSET($CC$3,0,0,'Données projet'!$E$12+1,1))-AVERAGE(OFFSET($H$3,0,0,'Données projet'!$E$12+1,1))</f>
        <v>169.62156467157178</v>
      </c>
      <c r="CE139" s="59">
        <f t="shared" si="148"/>
        <v>85.631326020763254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4.6111381379887463E-14</v>
      </c>
      <c r="CV139" s="13">
        <f t="shared" si="149"/>
        <v>7.5804141040779151E-13</v>
      </c>
      <c r="CW139" s="20">
        <f t="shared" si="121"/>
        <v>1.4005661123635408E-12</v>
      </c>
      <c r="CX139" s="59">
        <f t="shared" si="122"/>
        <v>293.33333333333474</v>
      </c>
      <c r="CY139" s="59">
        <f ca="1">AVERAGE(OFFSET($CX$3,0,0,'Données projet'!$E$13+1,1))-AVERAGE(OFFSET($H$3,0,0,'Données projet'!$E$13+1,1))</f>
        <v>234.59657655504111</v>
      </c>
      <c r="CZ139" s="59">
        <f t="shared" si="150"/>
        <v>285.10598666479211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0.4501708959062361</v>
      </c>
      <c r="DH139" s="21">
        <f>EXP(-LN(2)/2)*DH138+(1-EXP(-LN(2)/2))/(LN(2)/2)*DB139*DE139*VLOOKUP('Données projet'!$B$13,Paramètres!$A$1:$I$89,3,0)*0.475*44/12</f>
        <v>1.2181999122903207E-15</v>
      </c>
      <c r="DI139" s="22">
        <f t="shared" si="123"/>
        <v>0.45017089590623732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1.1368683772161603E-13</v>
      </c>
      <c r="DP139" s="17">
        <f>DO139*VLOOKUP('Données projet'!$B$14,Paramètres!$A$1:$I$89,3,0)*VLOOKUP('Données projet'!$B$14,Paramètres!$A$1:$I$89,5,0)</f>
        <v>1.0995790944434703E-13</v>
      </c>
      <c r="DQ139" s="13">
        <f t="shared" si="151"/>
        <v>1.6337280948049956E-12</v>
      </c>
      <c r="DR139" s="20">
        <f t="shared" si="124"/>
        <v>3.036919790734272E-12</v>
      </c>
      <c r="DS139" s="59">
        <f t="shared" si="125"/>
        <v>293.33333333333633</v>
      </c>
      <c r="DT139" s="59">
        <f ca="1">AVERAGE(OFFSET($DS$3,0,0,'Données projet'!$E$14+1,1))-AVERAGE(OFFSET($H$3,0,0,'Données projet'!$E$14+1,1))</f>
        <v>186.90852124957956</v>
      </c>
      <c r="DU139" s="59">
        <f t="shared" si="152"/>
        <v>93.013797128776446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1.1368683772161603E-13</v>
      </c>
      <c r="EK139" s="17">
        <f>EJ139*VLOOKUP('Données projet'!$B$15,Paramètres!$A$1:$I$89,3,0)*VLOOKUP('Données projet'!$B$15,Paramètres!$A$1:$I$89,5,0)</f>
        <v>1.223725121235475E-13</v>
      </c>
      <c r="EL139" s="13">
        <f t="shared" si="153"/>
        <v>1.7956824466038182E-12</v>
      </c>
      <c r="EM139" s="20">
        <f t="shared" si="127"/>
        <v>3.3406123864501612E-12</v>
      </c>
      <c r="EN139" s="59">
        <f t="shared" si="128"/>
        <v>293.33333333333667</v>
      </c>
      <c r="EO139" s="59">
        <f ca="1">AVERAGE(OFFSET($EN$3,0,0,'Données projet'!$E$15+1,1))-AVERAGE(OFFSET($H$3,0,0,'Données projet'!$E$15+1,1))</f>
        <v>217.10418688911096</v>
      </c>
      <c r="EP139" s="59">
        <f t="shared" si="154"/>
        <v>105.90631421515786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145.19188637714888</v>
      </c>
      <c r="T140" s="59">
        <f t="shared" si="142"/>
        <v>169.74069292032493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0.26579821483718363</v>
      </c>
      <c r="AA140" s="21">
        <f>EXP(-LN(2)/25)*AA139+(1-EXP(-LN(2)/25))/(LN(2)/25)*Calculateur!V140*Calculateur!X140*VLOOKUP('Données projet'!$B$9,Paramètres!$A$1:$I$89,3,0)*0.475*44/12</f>
        <v>0.44554159479087024</v>
      </c>
      <c r="AB140" s="21">
        <f>EXP(-LN(2)/2)*AB139+(1-EXP(-LN(2)/2))/(LN(2)/2)*V140*Y140*VLOOKUP('Données projet'!$B$9,Paramètres!$A$1:$I$89,3,0)*0.475*44/12</f>
        <v>3.1759222712292808E-16</v>
      </c>
      <c r="AC140" s="22">
        <f t="shared" si="111"/>
        <v>0.71133980962805421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-2.8421709430404007E-14</v>
      </c>
      <c r="AJ140" s="13">
        <f>AI140*VLOOKUP('Données projet'!$B$10,Paramètres!$A$1:$I$89,3,0)*VLOOKUP('Données projet'!$B$10,Paramètres!$A$1:$I$89,5,0)</f>
        <v>-2.4829205358400945E-14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254.24072778190163</v>
      </c>
      <c r="AO140" s="59">
        <f t="shared" si="144"/>
        <v>356.78706780980383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0.36920554081342638</v>
      </c>
      <c r="AV140" s="21">
        <f>EXP(-LN(2)/25)*AV139+(1-EXP(-LN(2)/25))/(LN(2)/25)*Calculateur!AQ140*Calculateur!AS140*VLOOKUP('Données projet'!$B$10,Paramètres!$A$1:$I$89,3,0)*0.475*44/12</f>
        <v>0.9107065999815952</v>
      </c>
      <c r="AW140" s="21">
        <f>EXP(-LN(2)/2)*AW139+(1-EXP(-LN(2)/2))/(LN(2)/2)*AQ140*AT140*VLOOKUP('Données projet'!$B$10,Paramètres!$A$1:$I$89,3,0)*0.475*44/12</f>
        <v>2.1800739134333302E-15</v>
      </c>
      <c r="AX140" s="21">
        <f t="shared" si="114"/>
        <v>1.2799121407950238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-4.5474735088646412E-13</v>
      </c>
      <c r="BE140" s="13">
        <f>BD140*VLOOKUP('Données projet'!$B$11,Paramètres!$A$1:$I$89,3,0)*VLOOKUP('Données projet'!$B$11,Paramètres!$A$1:$I$89,5,0)</f>
        <v>-2.7193891583010558E-13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246.59447135626942</v>
      </c>
      <c r="BJ140" s="59">
        <f t="shared" si="146"/>
        <v>262.00382544285367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0.66140862748796858</v>
      </c>
      <c r="BR140" s="21">
        <f>EXP(-LN(2)/2)*BR139+(1-EXP(-LN(2)/2))/(LN(2)/2)*BL140*BO140*VLOOKUP('Données projet'!$B$11,Paramètres!$A$1:$I$89,3,0)*0.475*44/12</f>
        <v>1.8628644493638271E-15</v>
      </c>
      <c r="BS140" s="22">
        <f t="shared" si="117"/>
        <v>0.66140862748797047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1.1368683772161603E-13</v>
      </c>
      <c r="BZ140" s="13">
        <f>BY140*VLOOKUP('Données projet'!$B$12,Paramètres!$A$1:$I$89,3,0)*VLOOKUP('Données projet'!$B$12,Paramètres!$A$1:$I$89,5,0)</f>
        <v>1.0286385077051818E-13</v>
      </c>
      <c r="CA140" s="13">
        <f t="shared" si="147"/>
        <v>1.5402366592183556E-12</v>
      </c>
      <c r="CB140" s="20">
        <f t="shared" si="118"/>
        <v>2.8617333882306215E-12</v>
      </c>
      <c r="CC140" s="59">
        <f t="shared" si="119"/>
        <v>293.33333333333616</v>
      </c>
      <c r="CD140" s="59">
        <f ca="1">AVERAGE(OFFSET($CC$3,0,0,'Données projet'!$E$12+1,1))-AVERAGE(OFFSET($H$3,0,0,'Données projet'!$E$12+1,1))</f>
        <v>169.62156467157178</v>
      </c>
      <c r="CE140" s="59">
        <f t="shared" si="148"/>
        <v>85.631326020763254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4.6111381379887463E-14</v>
      </c>
      <c r="CV140" s="13">
        <f t="shared" si="149"/>
        <v>7.5804141040779151E-13</v>
      </c>
      <c r="CW140" s="20">
        <f t="shared" si="121"/>
        <v>1.4005661123635408E-12</v>
      </c>
      <c r="CX140" s="59">
        <f t="shared" si="122"/>
        <v>293.33333333333474</v>
      </c>
      <c r="CY140" s="59">
        <f ca="1">AVERAGE(OFFSET($CX$3,0,0,'Données projet'!$E$13+1,1))-AVERAGE(OFFSET($H$3,0,0,'Données projet'!$E$13+1,1))</f>
        <v>234.59657655504111</v>
      </c>
      <c r="CZ140" s="59">
        <f t="shared" si="150"/>
        <v>285.10598666479211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0.43786094908422152</v>
      </c>
      <c r="DH140" s="21">
        <f>EXP(-LN(2)/2)*DH139+(1-EXP(-LN(2)/2))/(LN(2)/2)*DB140*DE140*VLOOKUP('Données projet'!$B$13,Paramètres!$A$1:$I$89,3,0)*0.475*44/12</f>
        <v>8.6139741882134323E-16</v>
      </c>
      <c r="DI140" s="22">
        <f t="shared" si="123"/>
        <v>0.43786094908422241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1.1368683772161603E-13</v>
      </c>
      <c r="DP140" s="17">
        <f>DO140*VLOOKUP('Données projet'!$B$14,Paramètres!$A$1:$I$89,3,0)*VLOOKUP('Données projet'!$B$14,Paramètres!$A$1:$I$89,5,0)</f>
        <v>1.0995790944434703E-13</v>
      </c>
      <c r="DQ140" s="13">
        <f t="shared" si="151"/>
        <v>1.6337280948049956E-12</v>
      </c>
      <c r="DR140" s="20">
        <f t="shared" si="124"/>
        <v>3.036919790734272E-12</v>
      </c>
      <c r="DS140" s="59">
        <f t="shared" si="125"/>
        <v>293.33333333333633</v>
      </c>
      <c r="DT140" s="59">
        <f ca="1">AVERAGE(OFFSET($DS$3,0,0,'Données projet'!$E$14+1,1))-AVERAGE(OFFSET($H$3,0,0,'Données projet'!$E$14+1,1))</f>
        <v>186.90852124957956</v>
      </c>
      <c r="DU140" s="59">
        <f t="shared" si="152"/>
        <v>93.013797128776446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1.1368683772161603E-13</v>
      </c>
      <c r="EK140" s="17">
        <f>EJ140*VLOOKUP('Données projet'!$B$15,Paramètres!$A$1:$I$89,3,0)*VLOOKUP('Données projet'!$B$15,Paramètres!$A$1:$I$89,5,0)</f>
        <v>1.223725121235475E-13</v>
      </c>
      <c r="EL140" s="13">
        <f t="shared" si="153"/>
        <v>1.7956824466038182E-12</v>
      </c>
      <c r="EM140" s="20">
        <f t="shared" si="127"/>
        <v>3.3406123864501612E-12</v>
      </c>
      <c r="EN140" s="59">
        <f t="shared" si="128"/>
        <v>293.33333333333667</v>
      </c>
      <c r="EO140" s="59">
        <f ca="1">AVERAGE(OFFSET($EN$3,0,0,'Données projet'!$E$15+1,1))-AVERAGE(OFFSET($H$3,0,0,'Données projet'!$E$15+1,1))</f>
        <v>217.10418688911096</v>
      </c>
      <c r="EP140" s="59">
        <f t="shared" si="154"/>
        <v>105.90631421515786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145.19188637714888</v>
      </c>
      <c r="T141" s="59">
        <f t="shared" si="142"/>
        <v>169.74069292032493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0.26058607396512939</v>
      </c>
      <c r="AA141" s="21">
        <f>EXP(-LN(2)/25)*AA140+(1-EXP(-LN(2)/25))/(LN(2)/25)*Calculateur!V141*Calculateur!X141*VLOOKUP('Données projet'!$B$9,Paramètres!$A$1:$I$89,3,0)*0.475*44/12</f>
        <v>0.43335823645129973</v>
      </c>
      <c r="AB141" s="21">
        <f>EXP(-LN(2)/2)*AB140+(1-EXP(-LN(2)/2))/(LN(2)/2)*V141*Y141*VLOOKUP('Données projet'!$B$9,Paramètres!$A$1:$I$89,3,0)*0.475*44/12</f>
        <v>2.2457161745076061E-16</v>
      </c>
      <c r="AC141" s="22">
        <f t="shared" si="111"/>
        <v>0.69394431041642934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-2.8421709430404007E-14</v>
      </c>
      <c r="AJ141" s="13">
        <f>AI141*VLOOKUP('Données projet'!$B$10,Paramètres!$A$1:$I$89,3,0)*VLOOKUP('Données projet'!$B$10,Paramètres!$A$1:$I$89,5,0)</f>
        <v>-2.4829205358400945E-14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254.24072778190163</v>
      </c>
      <c r="AO141" s="59">
        <f t="shared" si="144"/>
        <v>356.78706780980383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0.361965645351219</v>
      </c>
      <c r="AV141" s="21">
        <f>EXP(-LN(2)/25)*AV140+(1-EXP(-LN(2)/25))/(LN(2)/25)*Calculateur!AQ141*Calculateur!AS141*VLOOKUP('Données projet'!$B$10,Paramètres!$A$1:$I$89,3,0)*0.475*44/12</f>
        <v>0.88580328011311982</v>
      </c>
      <c r="AW141" s="21">
        <f>EXP(-LN(2)/2)*AW140+(1-EXP(-LN(2)/2))/(LN(2)/2)*AQ141*AT141*VLOOKUP('Données projet'!$B$10,Paramètres!$A$1:$I$89,3,0)*0.475*44/12</f>
        <v>1.5415450476766022E-15</v>
      </c>
      <c r="AX141" s="21">
        <f t="shared" si="114"/>
        <v>1.2477689254643403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-4.5474735088646412E-13</v>
      </c>
      <c r="BE141" s="13">
        <f>BD141*VLOOKUP('Données projet'!$B$11,Paramètres!$A$1:$I$89,3,0)*VLOOKUP('Données projet'!$B$11,Paramètres!$A$1:$I$89,5,0)</f>
        <v>-2.7193891583010558E-13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246.59447135626942</v>
      </c>
      <c r="BJ141" s="59">
        <f t="shared" si="146"/>
        <v>262.00382544285367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0.64332237378734203</v>
      </c>
      <c r="BR141" s="21">
        <f>EXP(-LN(2)/2)*BR140+(1-EXP(-LN(2)/2))/(LN(2)/2)*BL141*BO141*VLOOKUP('Données projet'!$B$11,Paramètres!$A$1:$I$89,3,0)*0.475*44/12</f>
        <v>1.3172440845765061E-15</v>
      </c>
      <c r="BS141" s="22">
        <f t="shared" si="117"/>
        <v>0.64332237378734336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1.1368683772161603E-13</v>
      </c>
      <c r="BZ141" s="13">
        <f>BY141*VLOOKUP('Données projet'!$B$12,Paramètres!$A$1:$I$89,3,0)*VLOOKUP('Données projet'!$B$12,Paramètres!$A$1:$I$89,5,0)</f>
        <v>1.0286385077051818E-13</v>
      </c>
      <c r="CA141" s="13">
        <f t="shared" si="147"/>
        <v>1.5402366592183556E-12</v>
      </c>
      <c r="CB141" s="20">
        <f t="shared" si="118"/>
        <v>2.8617333882306215E-12</v>
      </c>
      <c r="CC141" s="59">
        <f t="shared" si="119"/>
        <v>293.33333333333616</v>
      </c>
      <c r="CD141" s="59">
        <f ca="1">AVERAGE(OFFSET($CC$3,0,0,'Données projet'!$E$12+1,1))-AVERAGE(OFFSET($H$3,0,0,'Données projet'!$E$12+1,1))</f>
        <v>169.62156467157178</v>
      </c>
      <c r="CE141" s="59">
        <f t="shared" si="148"/>
        <v>85.631326020763254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4.6111381379887463E-14</v>
      </c>
      <c r="CV141" s="13">
        <f t="shared" si="149"/>
        <v>7.5804141040779151E-13</v>
      </c>
      <c r="CW141" s="20">
        <f t="shared" si="121"/>
        <v>1.4005661123635408E-12</v>
      </c>
      <c r="CX141" s="59">
        <f t="shared" si="122"/>
        <v>293.33333333333474</v>
      </c>
      <c r="CY141" s="59">
        <f ca="1">AVERAGE(OFFSET($CX$3,0,0,'Données projet'!$E$13+1,1))-AVERAGE(OFFSET($H$3,0,0,'Données projet'!$E$13+1,1))</f>
        <v>234.59657655504111</v>
      </c>
      <c r="CZ141" s="59">
        <f t="shared" si="150"/>
        <v>285.10598666479211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0.4258876184054069</v>
      </c>
      <c r="DH141" s="21">
        <f>EXP(-LN(2)/2)*DH140+(1-EXP(-LN(2)/2))/(LN(2)/2)*DB141*DE141*VLOOKUP('Données projet'!$B$13,Paramètres!$A$1:$I$89,3,0)*0.475*44/12</f>
        <v>6.0909995614516037E-16</v>
      </c>
      <c r="DI141" s="22">
        <f t="shared" si="123"/>
        <v>0.42588761840540751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1.1368683772161603E-13</v>
      </c>
      <c r="DP141" s="17">
        <f>DO141*VLOOKUP('Données projet'!$B$14,Paramètres!$A$1:$I$89,3,0)*VLOOKUP('Données projet'!$B$14,Paramètres!$A$1:$I$89,5,0)</f>
        <v>1.0995790944434703E-13</v>
      </c>
      <c r="DQ141" s="13">
        <f t="shared" si="151"/>
        <v>1.6337280948049956E-12</v>
      </c>
      <c r="DR141" s="20">
        <f t="shared" si="124"/>
        <v>3.036919790734272E-12</v>
      </c>
      <c r="DS141" s="59">
        <f t="shared" si="125"/>
        <v>293.33333333333633</v>
      </c>
      <c r="DT141" s="59">
        <f ca="1">AVERAGE(OFFSET($DS$3,0,0,'Données projet'!$E$14+1,1))-AVERAGE(OFFSET($H$3,0,0,'Données projet'!$E$14+1,1))</f>
        <v>186.90852124957956</v>
      </c>
      <c r="DU141" s="59">
        <f t="shared" si="152"/>
        <v>93.013797128776446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1.1368683772161603E-13</v>
      </c>
      <c r="EK141" s="17">
        <f>EJ141*VLOOKUP('Données projet'!$B$15,Paramètres!$A$1:$I$89,3,0)*VLOOKUP('Données projet'!$B$15,Paramètres!$A$1:$I$89,5,0)</f>
        <v>1.223725121235475E-13</v>
      </c>
      <c r="EL141" s="13">
        <f t="shared" si="153"/>
        <v>1.7956824466038182E-12</v>
      </c>
      <c r="EM141" s="20">
        <f t="shared" si="127"/>
        <v>3.3406123864501612E-12</v>
      </c>
      <c r="EN141" s="59">
        <f t="shared" si="128"/>
        <v>293.33333333333667</v>
      </c>
      <c r="EO141" s="59">
        <f ca="1">AVERAGE(OFFSET($EN$3,0,0,'Données projet'!$E$15+1,1))-AVERAGE(OFFSET($H$3,0,0,'Données projet'!$E$15+1,1))</f>
        <v>217.10418688911096</v>
      </c>
      <c r="EP141" s="59">
        <f t="shared" si="154"/>
        <v>105.90631421515786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145.19188637714888</v>
      </c>
      <c r="T142" s="59">
        <f t="shared" si="142"/>
        <v>169.74069292032493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0.25547613999648411</v>
      </c>
      <c r="AA142" s="21">
        <f>EXP(-LN(2)/25)*AA141+(1-EXP(-LN(2)/25))/(LN(2)/25)*Calculateur!V142*Calculateur!X142*VLOOKUP('Données projet'!$B$9,Paramètres!$A$1:$I$89,3,0)*0.475*44/12</f>
        <v>0.42150803268621972</v>
      </c>
      <c r="AB142" s="21">
        <f>EXP(-LN(2)/2)*AB141+(1-EXP(-LN(2)/2))/(LN(2)/2)*V142*Y142*VLOOKUP('Données projet'!$B$9,Paramètres!$A$1:$I$89,3,0)*0.475*44/12</f>
        <v>1.5879611356146404E-16</v>
      </c>
      <c r="AC142" s="22">
        <f t="shared" si="111"/>
        <v>0.67698417268270394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-2.8421709430404007E-14</v>
      </c>
      <c r="AJ142" s="13">
        <f>AI142*VLOOKUP('Données projet'!$B$10,Paramètres!$A$1:$I$89,3,0)*VLOOKUP('Données projet'!$B$10,Paramètres!$A$1:$I$89,5,0)</f>
        <v>-2.4829205358400945E-14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254.24072778190163</v>
      </c>
      <c r="AO142" s="59">
        <f t="shared" si="144"/>
        <v>356.78706780980383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0.35486771982312532</v>
      </c>
      <c r="AV142" s="21">
        <f>EXP(-LN(2)/25)*AV141+(1-EXP(-LN(2)/25))/(LN(2)/25)*Calculateur!AQ142*Calculateur!AS142*VLOOKUP('Données projet'!$B$10,Paramètres!$A$1:$I$89,3,0)*0.475*44/12</f>
        <v>0.86158094283605657</v>
      </c>
      <c r="AW142" s="21">
        <f>EXP(-LN(2)/2)*AW141+(1-EXP(-LN(2)/2))/(LN(2)/2)*AQ142*AT142*VLOOKUP('Données projet'!$B$10,Paramètres!$A$1:$I$89,3,0)*0.475*44/12</f>
        <v>1.0900369567166651E-15</v>
      </c>
      <c r="AX142" s="21">
        <f t="shared" si="114"/>
        <v>1.2164486626591831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-4.5474735088646412E-13</v>
      </c>
      <c r="BE142" s="13">
        <f>BD142*VLOOKUP('Données projet'!$B$11,Paramètres!$A$1:$I$89,3,0)*VLOOKUP('Données projet'!$B$11,Paramètres!$A$1:$I$89,5,0)</f>
        <v>-2.7193891583010558E-13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246.59447135626942</v>
      </c>
      <c r="BJ142" s="59">
        <f t="shared" si="146"/>
        <v>262.00382544285367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0.6257306896452739</v>
      </c>
      <c r="BR142" s="21">
        <f>EXP(-LN(2)/2)*BR141+(1-EXP(-LN(2)/2))/(LN(2)/2)*BL142*BO142*VLOOKUP('Données projet'!$B$11,Paramètres!$A$1:$I$89,3,0)*0.475*44/12</f>
        <v>9.3143222468191356E-16</v>
      </c>
      <c r="BS142" s="22">
        <f t="shared" si="117"/>
        <v>0.62573068964527478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1.1368683772161603E-13</v>
      </c>
      <c r="BZ142" s="13">
        <f>BY142*VLOOKUP('Données projet'!$B$12,Paramètres!$A$1:$I$89,3,0)*VLOOKUP('Données projet'!$B$12,Paramètres!$A$1:$I$89,5,0)</f>
        <v>1.0286385077051818E-13</v>
      </c>
      <c r="CA142" s="13">
        <f t="shared" si="147"/>
        <v>1.5402366592183556E-12</v>
      </c>
      <c r="CB142" s="20">
        <f t="shared" si="118"/>
        <v>2.8617333882306215E-12</v>
      </c>
      <c r="CC142" s="59">
        <f t="shared" si="119"/>
        <v>293.33333333333616</v>
      </c>
      <c r="CD142" s="59">
        <f ca="1">AVERAGE(OFFSET($CC$3,0,0,'Données projet'!$E$12+1,1))-AVERAGE(OFFSET($H$3,0,0,'Données projet'!$E$12+1,1))</f>
        <v>169.62156467157178</v>
      </c>
      <c r="CE142" s="59">
        <f t="shared" si="148"/>
        <v>85.631326020763254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4.6111381379887463E-14</v>
      </c>
      <c r="CV142" s="13">
        <f t="shared" si="149"/>
        <v>7.5804141040779151E-13</v>
      </c>
      <c r="CW142" s="20">
        <f t="shared" si="121"/>
        <v>1.4005661123635408E-12</v>
      </c>
      <c r="CX142" s="59">
        <f t="shared" si="122"/>
        <v>293.33333333333474</v>
      </c>
      <c r="CY142" s="59">
        <f ca="1">AVERAGE(OFFSET($CX$3,0,0,'Données projet'!$E$13+1,1))-AVERAGE(OFFSET($H$3,0,0,'Données projet'!$E$13+1,1))</f>
        <v>234.59657655504111</v>
      </c>
      <c r="CZ142" s="59">
        <f t="shared" si="150"/>
        <v>285.10598666479211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0.41424169908365455</v>
      </c>
      <c r="DH142" s="21">
        <f>EXP(-LN(2)/2)*DH141+(1-EXP(-LN(2)/2))/(LN(2)/2)*DB142*DE142*VLOOKUP('Données projet'!$B$13,Paramètres!$A$1:$I$89,3,0)*0.475*44/12</f>
        <v>4.3069870941067161E-16</v>
      </c>
      <c r="DI142" s="22">
        <f t="shared" si="123"/>
        <v>0.41424169908365499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1.1368683772161603E-13</v>
      </c>
      <c r="DP142" s="17">
        <f>DO142*VLOOKUP('Données projet'!$B$14,Paramètres!$A$1:$I$89,3,0)*VLOOKUP('Données projet'!$B$14,Paramètres!$A$1:$I$89,5,0)</f>
        <v>1.0995790944434703E-13</v>
      </c>
      <c r="DQ142" s="13">
        <f t="shared" si="151"/>
        <v>1.6337280948049956E-12</v>
      </c>
      <c r="DR142" s="20">
        <f t="shared" si="124"/>
        <v>3.036919790734272E-12</v>
      </c>
      <c r="DS142" s="59">
        <f t="shared" si="125"/>
        <v>293.33333333333633</v>
      </c>
      <c r="DT142" s="59">
        <f ca="1">AVERAGE(OFFSET($DS$3,0,0,'Données projet'!$E$14+1,1))-AVERAGE(OFFSET($H$3,0,0,'Données projet'!$E$14+1,1))</f>
        <v>186.90852124957956</v>
      </c>
      <c r="DU142" s="59">
        <f t="shared" si="152"/>
        <v>93.013797128776446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1.1368683772161603E-13</v>
      </c>
      <c r="EK142" s="17">
        <f>EJ142*VLOOKUP('Données projet'!$B$15,Paramètres!$A$1:$I$89,3,0)*VLOOKUP('Données projet'!$B$15,Paramètres!$A$1:$I$89,5,0)</f>
        <v>1.223725121235475E-13</v>
      </c>
      <c r="EL142" s="13">
        <f t="shared" si="153"/>
        <v>1.7956824466038182E-12</v>
      </c>
      <c r="EM142" s="20">
        <f t="shared" si="127"/>
        <v>3.3406123864501612E-12</v>
      </c>
      <c r="EN142" s="59">
        <f t="shared" si="128"/>
        <v>293.33333333333667</v>
      </c>
      <c r="EO142" s="59">
        <f ca="1">AVERAGE(OFFSET($EN$3,0,0,'Données projet'!$E$15+1,1))-AVERAGE(OFFSET($H$3,0,0,'Données projet'!$E$15+1,1))</f>
        <v>217.10418688911096</v>
      </c>
      <c r="EP142" s="59">
        <f t="shared" si="154"/>
        <v>105.90631421515786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145.19188637714888</v>
      </c>
      <c r="T143" s="59">
        <f t="shared" si="142"/>
        <v>169.74069292032493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0.25046640871621201</v>
      </c>
      <c r="AA143" s="21">
        <f>EXP(-LN(2)/25)*AA142+(1-EXP(-LN(2)/25))/(LN(2)/25)*Calculateur!V143*Calculateur!X143*VLOOKUP('Données projet'!$B$9,Paramètres!$A$1:$I$89,3,0)*0.475*44/12</f>
        <v>0.40998187336627095</v>
      </c>
      <c r="AB143" s="21">
        <f>EXP(-LN(2)/2)*AB142+(1-EXP(-LN(2)/2))/(LN(2)/2)*V143*Y143*VLOOKUP('Données projet'!$B$9,Paramètres!$A$1:$I$89,3,0)*0.475*44/12</f>
        <v>1.122858087253803E-16</v>
      </c>
      <c r="AC143" s="22">
        <f t="shared" si="111"/>
        <v>0.66044828208248307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-2.8421709430404007E-14</v>
      </c>
      <c r="AJ143" s="13">
        <f>AI143*VLOOKUP('Données projet'!$B$10,Paramètres!$A$1:$I$89,3,0)*VLOOKUP('Données projet'!$B$10,Paramètres!$A$1:$I$89,5,0)</f>
        <v>-2.4829205358400945E-14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254.24072778190163</v>
      </c>
      <c r="AO143" s="59">
        <f t="shared" si="144"/>
        <v>356.78706780980383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0.34790898028533046</v>
      </c>
      <c r="AV143" s="21">
        <f>EXP(-LN(2)/25)*AV142+(1-EXP(-LN(2)/25))/(LN(2)/25)*Calculateur!AQ143*Calculateur!AS143*VLOOKUP('Données projet'!$B$10,Paramètres!$A$1:$I$89,3,0)*0.475*44/12</f>
        <v>0.83802096664563197</v>
      </c>
      <c r="AW143" s="21">
        <f>EXP(-LN(2)/2)*AW142+(1-EXP(-LN(2)/2))/(LN(2)/2)*AQ143*AT143*VLOOKUP('Données projet'!$B$10,Paramètres!$A$1:$I$89,3,0)*0.475*44/12</f>
        <v>7.7077252383830108E-16</v>
      </c>
      <c r="AX143" s="21">
        <f t="shared" si="114"/>
        <v>1.185929946930963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-4.5474735088646412E-13</v>
      </c>
      <c r="BE143" s="13">
        <f>BD143*VLOOKUP('Données projet'!$B$11,Paramètres!$A$1:$I$89,3,0)*VLOOKUP('Données projet'!$B$11,Paramètres!$A$1:$I$89,5,0)</f>
        <v>-2.7193891583010558E-13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246.59447135626942</v>
      </c>
      <c r="BJ143" s="59">
        <f t="shared" si="146"/>
        <v>262.00382544285367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0.608620051031177</v>
      </c>
      <c r="BR143" s="21">
        <f>EXP(-LN(2)/2)*BR142+(1-EXP(-LN(2)/2))/(LN(2)/2)*BL143*BO143*VLOOKUP('Données projet'!$B$11,Paramètres!$A$1:$I$89,3,0)*0.475*44/12</f>
        <v>6.5862204228825304E-16</v>
      </c>
      <c r="BS143" s="22">
        <f t="shared" si="117"/>
        <v>0.60862005103117767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1.1368683772161603E-13</v>
      </c>
      <c r="BZ143" s="13">
        <f>BY143*VLOOKUP('Données projet'!$B$12,Paramètres!$A$1:$I$89,3,0)*VLOOKUP('Données projet'!$B$12,Paramètres!$A$1:$I$89,5,0)</f>
        <v>1.0286385077051818E-13</v>
      </c>
      <c r="CA143" s="13">
        <f t="shared" si="147"/>
        <v>1.5402366592183556E-12</v>
      </c>
      <c r="CB143" s="20">
        <f t="shared" si="118"/>
        <v>2.8617333882306215E-12</v>
      </c>
      <c r="CC143" s="59">
        <f t="shared" si="119"/>
        <v>293.33333333333616</v>
      </c>
      <c r="CD143" s="59">
        <f ca="1">AVERAGE(OFFSET($CC$3,0,0,'Données projet'!$E$12+1,1))-AVERAGE(OFFSET($H$3,0,0,'Données projet'!$E$12+1,1))</f>
        <v>169.62156467157178</v>
      </c>
      <c r="CE143" s="59">
        <f t="shared" si="148"/>
        <v>85.631326020763254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4.6111381379887463E-14</v>
      </c>
      <c r="CV143" s="13">
        <f t="shared" si="149"/>
        <v>7.5804141040779151E-13</v>
      </c>
      <c r="CW143" s="20">
        <f t="shared" si="121"/>
        <v>1.4005661123635408E-12</v>
      </c>
      <c r="CX143" s="59">
        <f t="shared" si="122"/>
        <v>293.33333333333474</v>
      </c>
      <c r="CY143" s="59">
        <f ca="1">AVERAGE(OFFSET($CX$3,0,0,'Données projet'!$E$13+1,1))-AVERAGE(OFFSET($H$3,0,0,'Données projet'!$E$13+1,1))</f>
        <v>234.59657655504111</v>
      </c>
      <c r="CZ143" s="59">
        <f t="shared" si="150"/>
        <v>285.10598666479211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0.40291423803818782</v>
      </c>
      <c r="DH143" s="21">
        <f>EXP(-LN(2)/2)*DH142+(1-EXP(-LN(2)/2))/(LN(2)/2)*DB143*DE143*VLOOKUP('Données projet'!$B$13,Paramètres!$A$1:$I$89,3,0)*0.475*44/12</f>
        <v>3.0454997807258019E-16</v>
      </c>
      <c r="DI143" s="22">
        <f t="shared" si="123"/>
        <v>0.4029142380381881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1.1368683772161603E-13</v>
      </c>
      <c r="DP143" s="17">
        <f>DO143*VLOOKUP('Données projet'!$B$14,Paramètres!$A$1:$I$89,3,0)*VLOOKUP('Données projet'!$B$14,Paramètres!$A$1:$I$89,5,0)</f>
        <v>1.0995790944434703E-13</v>
      </c>
      <c r="DQ143" s="13">
        <f t="shared" si="151"/>
        <v>1.6337280948049956E-12</v>
      </c>
      <c r="DR143" s="20">
        <f t="shared" si="124"/>
        <v>3.036919790734272E-12</v>
      </c>
      <c r="DS143" s="59">
        <f t="shared" si="125"/>
        <v>293.33333333333633</v>
      </c>
      <c r="DT143" s="59">
        <f ca="1">AVERAGE(OFFSET($DS$3,0,0,'Données projet'!$E$14+1,1))-AVERAGE(OFFSET($H$3,0,0,'Données projet'!$E$14+1,1))</f>
        <v>186.90852124957956</v>
      </c>
      <c r="DU143" s="59">
        <f t="shared" si="152"/>
        <v>93.013797128776446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1.1368683772161603E-13</v>
      </c>
      <c r="EK143" s="17">
        <f>EJ143*VLOOKUP('Données projet'!$B$15,Paramètres!$A$1:$I$89,3,0)*VLOOKUP('Données projet'!$B$15,Paramètres!$A$1:$I$89,5,0)</f>
        <v>1.223725121235475E-13</v>
      </c>
      <c r="EL143" s="13">
        <f t="shared" si="153"/>
        <v>1.7956824466038182E-12</v>
      </c>
      <c r="EM143" s="20">
        <f t="shared" si="127"/>
        <v>3.3406123864501612E-12</v>
      </c>
      <c r="EN143" s="59">
        <f t="shared" si="128"/>
        <v>293.33333333333667</v>
      </c>
      <c r="EO143" s="59">
        <f ca="1">AVERAGE(OFFSET($EN$3,0,0,'Données projet'!$E$15+1,1))-AVERAGE(OFFSET($H$3,0,0,'Données projet'!$E$15+1,1))</f>
        <v>217.10418688911096</v>
      </c>
      <c r="EP143" s="59">
        <f t="shared" si="154"/>
        <v>105.90631421515786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145.19188637714888</v>
      </c>
      <c r="T144" s="59">
        <f t="shared" si="142"/>
        <v>169.74069292032493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0.24555491521071168</v>
      </c>
      <c r="AA144" s="21">
        <f>EXP(-LN(2)/25)*AA143+(1-EXP(-LN(2)/25))/(LN(2)/25)*Calculateur!V144*Calculateur!X144*VLOOKUP('Données projet'!$B$9,Paramètres!$A$1:$I$89,3,0)*0.475*44/12</f>
        <v>0.39877089747906058</v>
      </c>
      <c r="AB144" s="21">
        <f>EXP(-LN(2)/2)*AB143+(1-EXP(-LN(2)/2))/(LN(2)/2)*V144*Y144*VLOOKUP('Données projet'!$B$9,Paramètres!$A$1:$I$89,3,0)*0.475*44/12</f>
        <v>7.939805678073202E-17</v>
      </c>
      <c r="AC144" s="22">
        <f t="shared" si="111"/>
        <v>0.6443258126897724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-2.8421709430404007E-14</v>
      </c>
      <c r="AJ144" s="13">
        <f>AI144*VLOOKUP('Données projet'!$B$10,Paramètres!$A$1:$I$89,3,0)*VLOOKUP('Données projet'!$B$10,Paramètres!$A$1:$I$89,5,0)</f>
        <v>-2.4829205358400945E-14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254.24072778190163</v>
      </c>
      <c r="AO144" s="59">
        <f t="shared" si="144"/>
        <v>356.78706780980383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0.34108669738545977</v>
      </c>
      <c r="AV144" s="21">
        <f>EXP(-LN(2)/25)*AV143+(1-EXP(-LN(2)/25))/(LN(2)/25)*Calculateur!AQ144*Calculateur!AS144*VLOOKUP('Données projet'!$B$10,Paramètres!$A$1:$I$89,3,0)*0.475*44/12</f>
        <v>0.81510523924309985</v>
      </c>
      <c r="AW144" s="21">
        <f>EXP(-LN(2)/2)*AW143+(1-EXP(-LN(2)/2))/(LN(2)/2)*AQ144*AT144*VLOOKUP('Données projet'!$B$10,Paramètres!$A$1:$I$89,3,0)*0.475*44/12</f>
        <v>5.4501847835833254E-16</v>
      </c>
      <c r="AX144" s="21">
        <f t="shared" si="114"/>
        <v>1.15619193662856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-4.5474735088646412E-13</v>
      </c>
      <c r="BE144" s="13">
        <f>BD144*VLOOKUP('Données projet'!$B$11,Paramètres!$A$1:$I$89,3,0)*VLOOKUP('Données projet'!$B$11,Paramètres!$A$1:$I$89,5,0)</f>
        <v>-2.7193891583010558E-13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246.59447135626942</v>
      </c>
      <c r="BJ144" s="59">
        <f t="shared" si="146"/>
        <v>262.00382544285367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0.59197730372979196</v>
      </c>
      <c r="BR144" s="21">
        <f>EXP(-LN(2)/2)*BR143+(1-EXP(-LN(2)/2))/(LN(2)/2)*BL144*BO144*VLOOKUP('Données projet'!$B$11,Paramètres!$A$1:$I$89,3,0)*0.475*44/12</f>
        <v>4.6571611234095678E-16</v>
      </c>
      <c r="BS144" s="22">
        <f t="shared" si="117"/>
        <v>0.5919773037297924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1.1368683772161603E-13</v>
      </c>
      <c r="BZ144" s="13">
        <f>BY144*VLOOKUP('Données projet'!$B$12,Paramètres!$A$1:$I$89,3,0)*VLOOKUP('Données projet'!$B$12,Paramètres!$A$1:$I$89,5,0)</f>
        <v>1.0286385077051818E-13</v>
      </c>
      <c r="CA144" s="13">
        <f t="shared" si="147"/>
        <v>1.5402366592183556E-12</v>
      </c>
      <c r="CB144" s="20">
        <f t="shared" si="118"/>
        <v>2.8617333882306215E-12</v>
      </c>
      <c r="CC144" s="59">
        <f t="shared" si="119"/>
        <v>293.33333333333616</v>
      </c>
      <c r="CD144" s="59">
        <f ca="1">AVERAGE(OFFSET($CC$3,0,0,'Données projet'!$E$12+1,1))-AVERAGE(OFFSET($H$3,0,0,'Données projet'!$E$12+1,1))</f>
        <v>169.62156467157178</v>
      </c>
      <c r="CE144" s="59">
        <f t="shared" si="148"/>
        <v>85.631326020763254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4.6111381379887463E-14</v>
      </c>
      <c r="CV144" s="13">
        <f t="shared" si="149"/>
        <v>7.5804141040779151E-13</v>
      </c>
      <c r="CW144" s="20">
        <f t="shared" si="121"/>
        <v>1.4005661123635408E-12</v>
      </c>
      <c r="CX144" s="59">
        <f t="shared" si="122"/>
        <v>293.33333333333474</v>
      </c>
      <c r="CY144" s="59">
        <f ca="1">AVERAGE(OFFSET($CX$3,0,0,'Données projet'!$E$13+1,1))-AVERAGE(OFFSET($H$3,0,0,'Données projet'!$E$13+1,1))</f>
        <v>234.59657655504111</v>
      </c>
      <c r="CZ144" s="59">
        <f t="shared" si="150"/>
        <v>285.10598666479211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0.39189652701069466</v>
      </c>
      <c r="DH144" s="21">
        <f>EXP(-LN(2)/2)*DH143+(1-EXP(-LN(2)/2))/(LN(2)/2)*DB144*DE144*VLOOKUP('Données projet'!$B$13,Paramètres!$A$1:$I$89,3,0)*0.475*44/12</f>
        <v>2.1534935470533581E-16</v>
      </c>
      <c r="DI144" s="22">
        <f t="shared" si="123"/>
        <v>0.39189652701069488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1.1368683772161603E-13</v>
      </c>
      <c r="DP144" s="17">
        <f>DO144*VLOOKUP('Données projet'!$B$14,Paramètres!$A$1:$I$89,3,0)*VLOOKUP('Données projet'!$B$14,Paramètres!$A$1:$I$89,5,0)</f>
        <v>1.0995790944434703E-13</v>
      </c>
      <c r="DQ144" s="13">
        <f t="shared" si="151"/>
        <v>1.6337280948049956E-12</v>
      </c>
      <c r="DR144" s="20">
        <f t="shared" si="124"/>
        <v>3.036919790734272E-12</v>
      </c>
      <c r="DS144" s="59">
        <f t="shared" si="125"/>
        <v>293.33333333333633</v>
      </c>
      <c r="DT144" s="59">
        <f ca="1">AVERAGE(OFFSET($DS$3,0,0,'Données projet'!$E$14+1,1))-AVERAGE(OFFSET($H$3,0,0,'Données projet'!$E$14+1,1))</f>
        <v>186.90852124957956</v>
      </c>
      <c r="DU144" s="59">
        <f t="shared" si="152"/>
        <v>93.013797128776446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1.1368683772161603E-13</v>
      </c>
      <c r="EK144" s="17">
        <f>EJ144*VLOOKUP('Données projet'!$B$15,Paramètres!$A$1:$I$89,3,0)*VLOOKUP('Données projet'!$B$15,Paramètres!$A$1:$I$89,5,0)</f>
        <v>1.223725121235475E-13</v>
      </c>
      <c r="EL144" s="13">
        <f t="shared" si="153"/>
        <v>1.7956824466038182E-12</v>
      </c>
      <c r="EM144" s="20">
        <f t="shared" si="127"/>
        <v>3.3406123864501612E-12</v>
      </c>
      <c r="EN144" s="59">
        <f t="shared" si="128"/>
        <v>293.33333333333667</v>
      </c>
      <c r="EO144" s="59">
        <f ca="1">AVERAGE(OFFSET($EN$3,0,0,'Données projet'!$E$15+1,1))-AVERAGE(OFFSET($H$3,0,0,'Données projet'!$E$15+1,1))</f>
        <v>217.10418688911096</v>
      </c>
      <c r="EP144" s="59">
        <f t="shared" si="154"/>
        <v>105.90631421515786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145.19188637714888</v>
      </c>
      <c r="T145" s="59">
        <f t="shared" si="142"/>
        <v>169.74069292032493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0.24073973309713897</v>
      </c>
      <c r="AA145" s="21">
        <f>EXP(-LN(2)/25)*AA144+(1-EXP(-LN(2)/25))/(LN(2)/25)*Calculateur!V145*Calculateur!X145*VLOOKUP('Données projet'!$B$9,Paramètres!$A$1:$I$89,3,0)*0.475*44/12</f>
        <v>0.38786648631704557</v>
      </c>
      <c r="AB145" s="21">
        <f>EXP(-LN(2)/2)*AB144+(1-EXP(-LN(2)/2))/(LN(2)/2)*V145*Y145*VLOOKUP('Données projet'!$B$9,Paramètres!$A$1:$I$89,3,0)*0.475*44/12</f>
        <v>5.6142904362690152E-17</v>
      </c>
      <c r="AC145" s="22">
        <f t="shared" si="111"/>
        <v>0.62860621941418471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-2.8421709430404007E-14</v>
      </c>
      <c r="AJ145" s="13">
        <f>AI145*VLOOKUP('Données projet'!$B$10,Paramètres!$A$1:$I$89,3,0)*VLOOKUP('Données projet'!$B$10,Paramètres!$A$1:$I$89,5,0)</f>
        <v>-2.4829205358400945E-14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254.24072778190163</v>
      </c>
      <c r="AO145" s="59">
        <f t="shared" si="144"/>
        <v>356.78706780980383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0.33439819529207382</v>
      </c>
      <c r="AV145" s="21">
        <f>EXP(-LN(2)/25)*AV144+(1-EXP(-LN(2)/25))/(LN(2)/25)*Calculateur!AQ145*Calculateur!AS145*VLOOKUP('Données projet'!$B$10,Paramètres!$A$1:$I$89,3,0)*0.475*44/12</f>
        <v>0.79281614361147568</v>
      </c>
      <c r="AW145" s="21">
        <f>EXP(-LN(2)/2)*AW144+(1-EXP(-LN(2)/2))/(LN(2)/2)*AQ145*AT145*VLOOKUP('Données projet'!$B$10,Paramètres!$A$1:$I$89,3,0)*0.475*44/12</f>
        <v>3.8538626191915054E-16</v>
      </c>
      <c r="AX145" s="21">
        <f t="shared" si="114"/>
        <v>1.1272143389035501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-4.5474735088646412E-13</v>
      </c>
      <c r="BE145" s="13">
        <f>BD145*VLOOKUP('Données projet'!$B$11,Paramètres!$A$1:$I$89,3,0)*VLOOKUP('Données projet'!$B$11,Paramètres!$A$1:$I$89,5,0)</f>
        <v>-2.7193891583010558E-13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246.59447135626942</v>
      </c>
      <c r="BJ145" s="59">
        <f t="shared" si="146"/>
        <v>262.00382544285367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0.57578965322856734</v>
      </c>
      <c r="BR145" s="21">
        <f>EXP(-LN(2)/2)*BR144+(1-EXP(-LN(2)/2))/(LN(2)/2)*BL145*BO145*VLOOKUP('Données projet'!$B$11,Paramètres!$A$1:$I$89,3,0)*0.475*44/12</f>
        <v>3.2931102114412652E-16</v>
      </c>
      <c r="BS145" s="22">
        <f t="shared" si="117"/>
        <v>0.57578965322856768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1.1368683772161603E-13</v>
      </c>
      <c r="BZ145" s="13">
        <f>BY145*VLOOKUP('Données projet'!$B$12,Paramètres!$A$1:$I$89,3,0)*VLOOKUP('Données projet'!$B$12,Paramètres!$A$1:$I$89,5,0)</f>
        <v>1.0286385077051818E-13</v>
      </c>
      <c r="CA145" s="13">
        <f t="shared" si="147"/>
        <v>1.5402366592183556E-12</v>
      </c>
      <c r="CB145" s="20">
        <f t="shared" si="118"/>
        <v>2.8617333882306215E-12</v>
      </c>
      <c r="CC145" s="59">
        <f t="shared" si="119"/>
        <v>293.33333333333616</v>
      </c>
      <c r="CD145" s="59">
        <f ca="1">AVERAGE(OFFSET($CC$3,0,0,'Données projet'!$E$12+1,1))-AVERAGE(OFFSET($H$3,0,0,'Données projet'!$E$12+1,1))</f>
        <v>169.62156467157178</v>
      </c>
      <c r="CE145" s="59">
        <f t="shared" si="148"/>
        <v>85.631326020763254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4.6111381379887463E-14</v>
      </c>
      <c r="CV145" s="13">
        <f t="shared" si="149"/>
        <v>7.5804141040779151E-13</v>
      </c>
      <c r="CW145" s="20">
        <f t="shared" si="121"/>
        <v>1.4005661123635408E-12</v>
      </c>
      <c r="CX145" s="59">
        <f t="shared" si="122"/>
        <v>293.33333333333474</v>
      </c>
      <c r="CY145" s="59">
        <f ca="1">AVERAGE(OFFSET($CX$3,0,0,'Données projet'!$E$13+1,1))-AVERAGE(OFFSET($H$3,0,0,'Données projet'!$E$13+1,1))</f>
        <v>234.59657655504111</v>
      </c>
      <c r="CZ145" s="59">
        <f t="shared" si="150"/>
        <v>285.10598666479211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0.38118009587064455</v>
      </c>
      <c r="DH145" s="21">
        <f>EXP(-LN(2)/2)*DH144+(1-EXP(-LN(2)/2))/(LN(2)/2)*DB145*DE145*VLOOKUP('Données projet'!$B$13,Paramètres!$A$1:$I$89,3,0)*0.475*44/12</f>
        <v>1.5227498903629009E-16</v>
      </c>
      <c r="DI145" s="22">
        <f t="shared" si="123"/>
        <v>0.38118009587064472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1.1368683772161603E-13</v>
      </c>
      <c r="DP145" s="17">
        <f>DO145*VLOOKUP('Données projet'!$B$14,Paramètres!$A$1:$I$89,3,0)*VLOOKUP('Données projet'!$B$14,Paramètres!$A$1:$I$89,5,0)</f>
        <v>1.0995790944434703E-13</v>
      </c>
      <c r="DQ145" s="13">
        <f t="shared" si="151"/>
        <v>1.6337280948049956E-12</v>
      </c>
      <c r="DR145" s="20">
        <f t="shared" si="124"/>
        <v>3.036919790734272E-12</v>
      </c>
      <c r="DS145" s="59">
        <f t="shared" si="125"/>
        <v>293.33333333333633</v>
      </c>
      <c r="DT145" s="59">
        <f ca="1">AVERAGE(OFFSET($DS$3,0,0,'Données projet'!$E$14+1,1))-AVERAGE(OFFSET($H$3,0,0,'Données projet'!$E$14+1,1))</f>
        <v>186.90852124957956</v>
      </c>
      <c r="DU145" s="59">
        <f t="shared" si="152"/>
        <v>93.013797128776446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1.1368683772161603E-13</v>
      </c>
      <c r="EK145" s="17">
        <f>EJ145*VLOOKUP('Données projet'!$B$15,Paramètres!$A$1:$I$89,3,0)*VLOOKUP('Données projet'!$B$15,Paramètres!$A$1:$I$89,5,0)</f>
        <v>1.223725121235475E-13</v>
      </c>
      <c r="EL145" s="13">
        <f t="shared" si="153"/>
        <v>1.7956824466038182E-12</v>
      </c>
      <c r="EM145" s="20">
        <f t="shared" si="127"/>
        <v>3.3406123864501612E-12</v>
      </c>
      <c r="EN145" s="59">
        <f t="shared" si="128"/>
        <v>293.33333333333667</v>
      </c>
      <c r="EO145" s="59">
        <f ca="1">AVERAGE(OFFSET($EN$3,0,0,'Données projet'!$E$15+1,1))-AVERAGE(OFFSET($H$3,0,0,'Données projet'!$E$15+1,1))</f>
        <v>217.10418688911096</v>
      </c>
      <c r="EP145" s="59">
        <f t="shared" si="154"/>
        <v>105.90631421515786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145.19188637714888</v>
      </c>
      <c r="T146" s="59">
        <f t="shared" si="142"/>
        <v>169.74069292032493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0.23601897376784234</v>
      </c>
      <c r="AA146" s="21">
        <f>EXP(-LN(2)/25)*AA145+(1-EXP(-LN(2)/25))/(LN(2)/25)*Calculateur!V146*Calculateur!X146*VLOOKUP('Données projet'!$B$9,Paramètres!$A$1:$I$89,3,0)*0.475*44/12</f>
        <v>0.3772602568516939</v>
      </c>
      <c r="AB146" s="21">
        <f>EXP(-LN(2)/2)*AB145+(1-EXP(-LN(2)/2))/(LN(2)/2)*V146*Y146*VLOOKUP('Données projet'!$B$9,Paramètres!$A$1:$I$89,3,0)*0.475*44/12</f>
        <v>3.969902839036601E-17</v>
      </c>
      <c r="AC146" s="22">
        <f t="shared" si="111"/>
        <v>0.61327923061953626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-2.8421709430404007E-14</v>
      </c>
      <c r="AJ146" s="13">
        <f>AI146*VLOOKUP('Données projet'!$B$10,Paramètres!$A$1:$I$89,3,0)*VLOOKUP('Données projet'!$B$10,Paramètres!$A$1:$I$89,5,0)</f>
        <v>-2.4829205358400945E-14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254.24072778190163</v>
      </c>
      <c r="AO146" s="59">
        <f t="shared" si="144"/>
        <v>356.78706780980383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0.32784085064515572</v>
      </c>
      <c r="AV146" s="21">
        <f>EXP(-LN(2)/25)*AV145+(1-EXP(-LN(2)/25))/(LN(2)/25)*Calculateur!AQ146*Calculateur!AS146*VLOOKUP('Données projet'!$B$10,Paramètres!$A$1:$I$89,3,0)*0.475*44/12</f>
        <v>0.77113654447203084</v>
      </c>
      <c r="AW146" s="21">
        <f>EXP(-LN(2)/2)*AW145+(1-EXP(-LN(2)/2))/(LN(2)/2)*AQ146*AT146*VLOOKUP('Données projet'!$B$10,Paramètres!$A$1:$I$89,3,0)*0.475*44/12</f>
        <v>2.7250923917916627E-16</v>
      </c>
      <c r="AX146" s="21">
        <f t="shared" si="114"/>
        <v>1.0989773951171868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-4.5474735088646412E-13</v>
      </c>
      <c r="BE146" s="13">
        <f>BD146*VLOOKUP('Données projet'!$B$11,Paramètres!$A$1:$I$89,3,0)*VLOOKUP('Données projet'!$B$11,Paramètres!$A$1:$I$89,5,0)</f>
        <v>-2.7193891583010558E-13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246.59447135626942</v>
      </c>
      <c r="BJ146" s="59">
        <f t="shared" si="146"/>
        <v>262.00382544285367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0.56004465488157029</v>
      </c>
      <c r="BR146" s="21">
        <f>EXP(-LN(2)/2)*BR145+(1-EXP(-LN(2)/2))/(LN(2)/2)*BL146*BO146*VLOOKUP('Données projet'!$B$11,Paramètres!$A$1:$I$89,3,0)*0.475*44/12</f>
        <v>2.3285805617047839E-16</v>
      </c>
      <c r="BS146" s="22">
        <f t="shared" si="117"/>
        <v>0.56004465488157051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1.1368683772161603E-13</v>
      </c>
      <c r="BZ146" s="13">
        <f>BY146*VLOOKUP('Données projet'!$B$12,Paramètres!$A$1:$I$89,3,0)*VLOOKUP('Données projet'!$B$12,Paramètres!$A$1:$I$89,5,0)</f>
        <v>1.0286385077051818E-13</v>
      </c>
      <c r="CA146" s="13">
        <f t="shared" si="147"/>
        <v>1.5402366592183556E-12</v>
      </c>
      <c r="CB146" s="20">
        <f t="shared" si="118"/>
        <v>2.8617333882306215E-12</v>
      </c>
      <c r="CC146" s="59">
        <f t="shared" si="119"/>
        <v>293.33333333333616</v>
      </c>
      <c r="CD146" s="59">
        <f ca="1">AVERAGE(OFFSET($CC$3,0,0,'Données projet'!$E$12+1,1))-AVERAGE(OFFSET($H$3,0,0,'Données projet'!$E$12+1,1))</f>
        <v>169.62156467157178</v>
      </c>
      <c r="CE146" s="59">
        <f t="shared" si="148"/>
        <v>85.631326020763254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4.6111381379887463E-14</v>
      </c>
      <c r="CV146" s="13">
        <f t="shared" si="149"/>
        <v>7.5804141040779151E-13</v>
      </c>
      <c r="CW146" s="20">
        <f t="shared" si="121"/>
        <v>1.4005661123635408E-12</v>
      </c>
      <c r="CX146" s="59">
        <f t="shared" si="122"/>
        <v>293.33333333333474</v>
      </c>
      <c r="CY146" s="59">
        <f ca="1">AVERAGE(OFFSET($CX$3,0,0,'Données projet'!$E$13+1,1))-AVERAGE(OFFSET($H$3,0,0,'Données projet'!$E$13+1,1))</f>
        <v>234.59657655504111</v>
      </c>
      <c r="CZ146" s="59">
        <f t="shared" si="150"/>
        <v>285.10598666479211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0.37075670610367173</v>
      </c>
      <c r="DH146" s="21">
        <f>EXP(-LN(2)/2)*DH145+(1-EXP(-LN(2)/2))/(LN(2)/2)*DB146*DE146*VLOOKUP('Données projet'!$B$13,Paramètres!$A$1:$I$89,3,0)*0.475*44/12</f>
        <v>1.076746773526679E-16</v>
      </c>
      <c r="DI146" s="22">
        <f t="shared" si="123"/>
        <v>0.37075670610367184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1.1368683772161603E-13</v>
      </c>
      <c r="DP146" s="17">
        <f>DO146*VLOOKUP('Données projet'!$B$14,Paramètres!$A$1:$I$89,3,0)*VLOOKUP('Données projet'!$B$14,Paramètres!$A$1:$I$89,5,0)</f>
        <v>1.0995790944434703E-13</v>
      </c>
      <c r="DQ146" s="13">
        <f t="shared" si="151"/>
        <v>1.6337280948049956E-12</v>
      </c>
      <c r="DR146" s="20">
        <f t="shared" si="124"/>
        <v>3.036919790734272E-12</v>
      </c>
      <c r="DS146" s="59">
        <f t="shared" si="125"/>
        <v>293.33333333333633</v>
      </c>
      <c r="DT146" s="59">
        <f ca="1">AVERAGE(OFFSET($DS$3,0,0,'Données projet'!$E$14+1,1))-AVERAGE(OFFSET($H$3,0,0,'Données projet'!$E$14+1,1))</f>
        <v>186.90852124957956</v>
      </c>
      <c r="DU146" s="59">
        <f t="shared" si="152"/>
        <v>93.013797128776446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1.1368683772161603E-13</v>
      </c>
      <c r="EK146" s="17">
        <f>EJ146*VLOOKUP('Données projet'!$B$15,Paramètres!$A$1:$I$89,3,0)*VLOOKUP('Données projet'!$B$15,Paramètres!$A$1:$I$89,5,0)</f>
        <v>1.223725121235475E-13</v>
      </c>
      <c r="EL146" s="13">
        <f t="shared" si="153"/>
        <v>1.7956824466038182E-12</v>
      </c>
      <c r="EM146" s="20">
        <f t="shared" si="127"/>
        <v>3.3406123864501612E-12</v>
      </c>
      <c r="EN146" s="59">
        <f t="shared" si="128"/>
        <v>293.33333333333667</v>
      </c>
      <c r="EO146" s="59">
        <f ca="1">AVERAGE(OFFSET($EN$3,0,0,'Données projet'!$E$15+1,1))-AVERAGE(OFFSET($H$3,0,0,'Données projet'!$E$15+1,1))</f>
        <v>217.10418688911096</v>
      </c>
      <c r="EP146" s="59">
        <f t="shared" si="154"/>
        <v>105.90631421515786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145.19188637714888</v>
      </c>
      <c r="T147" s="59">
        <f t="shared" si="142"/>
        <v>169.74069292032493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0.23139078564961435</v>
      </c>
      <c r="AA147" s="21">
        <f>EXP(-LN(2)/25)*AA146+(1-EXP(-LN(2)/25))/(LN(2)/25)*Calculateur!V147*Calculateur!X147*VLOOKUP('Données projet'!$B$9,Paramètres!$A$1:$I$89,3,0)*0.475*44/12</f>
        <v>0.36694405528882967</v>
      </c>
      <c r="AB147" s="21">
        <f>EXP(-LN(2)/2)*AB146+(1-EXP(-LN(2)/2))/(LN(2)/2)*V147*Y147*VLOOKUP('Données projet'!$B$9,Paramètres!$A$1:$I$89,3,0)*0.475*44/12</f>
        <v>2.8071452181345076E-17</v>
      </c>
      <c r="AC147" s="22">
        <f t="shared" si="111"/>
        <v>0.59833484093844402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-2.8421709430404007E-14</v>
      </c>
      <c r="AJ147" s="13">
        <f>AI147*VLOOKUP('Données projet'!$B$10,Paramètres!$A$1:$I$89,3,0)*VLOOKUP('Données projet'!$B$10,Paramètres!$A$1:$I$89,5,0)</f>
        <v>-2.4829205358400945E-14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254.24072778190163</v>
      </c>
      <c r="AO147" s="59">
        <f t="shared" si="144"/>
        <v>356.78706780980383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0.32141209152717837</v>
      </c>
      <c r="AV147" s="21">
        <f>EXP(-LN(2)/25)*AV146+(1-EXP(-LN(2)/25))/(LN(2)/25)*Calculateur!AQ147*Calculateur!AS147*VLOOKUP('Données projet'!$B$10,Paramètres!$A$1:$I$89,3,0)*0.475*44/12</f>
        <v>0.75004977511113469</v>
      </c>
      <c r="AW147" s="21">
        <f>EXP(-LN(2)/2)*AW146+(1-EXP(-LN(2)/2))/(LN(2)/2)*AQ147*AT147*VLOOKUP('Données projet'!$B$10,Paramètres!$A$1:$I$89,3,0)*0.475*44/12</f>
        <v>1.9269313095957527E-16</v>
      </c>
      <c r="AX147" s="21">
        <f t="shared" si="114"/>
        <v>1.0714618666383133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-4.5474735088646412E-13</v>
      </c>
      <c r="BE147" s="13">
        <f>BD147*VLOOKUP('Données projet'!$B$11,Paramètres!$A$1:$I$89,3,0)*VLOOKUP('Données projet'!$B$11,Paramètres!$A$1:$I$89,5,0)</f>
        <v>-2.7193891583010558E-13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246.59447135626942</v>
      </c>
      <c r="BJ147" s="59">
        <f t="shared" si="146"/>
        <v>262.00382544285367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0.5447302043423653</v>
      </c>
      <c r="BR147" s="21">
        <f>EXP(-LN(2)/2)*BR146+(1-EXP(-LN(2)/2))/(LN(2)/2)*BL147*BO147*VLOOKUP('Données projet'!$B$11,Paramètres!$A$1:$I$89,3,0)*0.475*44/12</f>
        <v>1.6465551057206326E-16</v>
      </c>
      <c r="BS147" s="22">
        <f t="shared" si="117"/>
        <v>0.54473020434236541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1.1368683772161603E-13</v>
      </c>
      <c r="BZ147" s="13">
        <f>BY147*VLOOKUP('Données projet'!$B$12,Paramètres!$A$1:$I$89,3,0)*VLOOKUP('Données projet'!$B$12,Paramètres!$A$1:$I$89,5,0)</f>
        <v>1.0286385077051818E-13</v>
      </c>
      <c r="CA147" s="13">
        <f t="shared" si="147"/>
        <v>1.5402366592183556E-12</v>
      </c>
      <c r="CB147" s="20">
        <f t="shared" si="118"/>
        <v>2.8617333882306215E-12</v>
      </c>
      <c r="CC147" s="59">
        <f t="shared" si="119"/>
        <v>293.33333333333616</v>
      </c>
      <c r="CD147" s="59">
        <f ca="1">AVERAGE(OFFSET($CC$3,0,0,'Données projet'!$E$12+1,1))-AVERAGE(OFFSET($H$3,0,0,'Données projet'!$E$12+1,1))</f>
        <v>169.62156467157178</v>
      </c>
      <c r="CE147" s="59">
        <f t="shared" si="148"/>
        <v>85.631326020763254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4.6111381379887463E-14</v>
      </c>
      <c r="CV147" s="13">
        <f t="shared" si="149"/>
        <v>7.5804141040779151E-13</v>
      </c>
      <c r="CW147" s="20">
        <f t="shared" si="121"/>
        <v>1.4005661123635408E-12</v>
      </c>
      <c r="CX147" s="59">
        <f t="shared" si="122"/>
        <v>293.33333333333474</v>
      </c>
      <c r="CY147" s="59">
        <f ca="1">AVERAGE(OFFSET($CX$3,0,0,'Données projet'!$E$13+1,1))-AVERAGE(OFFSET($H$3,0,0,'Données projet'!$E$13+1,1))</f>
        <v>234.59657655504111</v>
      </c>
      <c r="CZ147" s="59">
        <f t="shared" si="150"/>
        <v>285.10598666479211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0.36061834447801905</v>
      </c>
      <c r="DH147" s="21">
        <f>EXP(-LN(2)/2)*DH146+(1-EXP(-LN(2)/2))/(LN(2)/2)*DB147*DE147*VLOOKUP('Données projet'!$B$13,Paramètres!$A$1:$I$89,3,0)*0.475*44/12</f>
        <v>7.6137494518145046E-17</v>
      </c>
      <c r="DI147" s="22">
        <f t="shared" si="123"/>
        <v>0.3606183444780191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1.1368683772161603E-13</v>
      </c>
      <c r="DP147" s="17">
        <f>DO147*VLOOKUP('Données projet'!$B$14,Paramètres!$A$1:$I$89,3,0)*VLOOKUP('Données projet'!$B$14,Paramètres!$A$1:$I$89,5,0)</f>
        <v>1.0995790944434703E-13</v>
      </c>
      <c r="DQ147" s="13">
        <f t="shared" si="151"/>
        <v>1.6337280948049956E-12</v>
      </c>
      <c r="DR147" s="20">
        <f t="shared" si="124"/>
        <v>3.036919790734272E-12</v>
      </c>
      <c r="DS147" s="59">
        <f t="shared" si="125"/>
        <v>293.33333333333633</v>
      </c>
      <c r="DT147" s="59">
        <f ca="1">AVERAGE(OFFSET($DS$3,0,0,'Données projet'!$E$14+1,1))-AVERAGE(OFFSET($H$3,0,0,'Données projet'!$E$14+1,1))</f>
        <v>186.90852124957956</v>
      </c>
      <c r="DU147" s="59">
        <f t="shared" si="152"/>
        <v>93.013797128776446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1.1368683772161603E-13</v>
      </c>
      <c r="EK147" s="17">
        <f>EJ147*VLOOKUP('Données projet'!$B$15,Paramètres!$A$1:$I$89,3,0)*VLOOKUP('Données projet'!$B$15,Paramètres!$A$1:$I$89,5,0)</f>
        <v>1.223725121235475E-13</v>
      </c>
      <c r="EL147" s="13">
        <f t="shared" si="153"/>
        <v>1.7956824466038182E-12</v>
      </c>
      <c r="EM147" s="20">
        <f t="shared" si="127"/>
        <v>3.3406123864501612E-12</v>
      </c>
      <c r="EN147" s="59">
        <f t="shared" si="128"/>
        <v>293.33333333333667</v>
      </c>
      <c r="EO147" s="59">
        <f ca="1">AVERAGE(OFFSET($EN$3,0,0,'Données projet'!$E$15+1,1))-AVERAGE(OFFSET($H$3,0,0,'Données projet'!$E$15+1,1))</f>
        <v>217.10418688911096</v>
      </c>
      <c r="EP147" s="59">
        <f t="shared" si="154"/>
        <v>105.90631421515786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145.19188637714888</v>
      </c>
      <c r="T148" s="59">
        <f t="shared" si="142"/>
        <v>169.74069292032493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0.22685335347746879</v>
      </c>
      <c r="AA148" s="21">
        <f>EXP(-LN(2)/25)*AA147+(1-EXP(-LN(2)/25))/(LN(2)/25)*Calculateur!V148*Calculateur!X148*VLOOKUP('Données projet'!$B$9,Paramètres!$A$1:$I$89,3,0)*0.475*44/12</f>
        <v>0.35690995080020743</v>
      </c>
      <c r="AB148" s="21">
        <f>EXP(-LN(2)/2)*AB147+(1-EXP(-LN(2)/2))/(LN(2)/2)*V148*Y148*VLOOKUP('Données projet'!$B$9,Paramètres!$A$1:$I$89,3,0)*0.475*44/12</f>
        <v>1.9849514195183005E-17</v>
      </c>
      <c r="AC148" s="22">
        <f t="shared" si="111"/>
        <v>0.5837633042776762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-2.8421709430404007E-14</v>
      </c>
      <c r="AJ148" s="13">
        <f>AI148*VLOOKUP('Données projet'!$B$10,Paramètres!$A$1:$I$89,3,0)*VLOOKUP('Données projet'!$B$10,Paramètres!$A$1:$I$89,5,0)</f>
        <v>-2.4829205358400945E-14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254.24072778190163</v>
      </c>
      <c r="AO148" s="59">
        <f t="shared" si="144"/>
        <v>356.78706780980383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0.31510939645434871</v>
      </c>
      <c r="AV148" s="21">
        <f>EXP(-LN(2)/25)*AV147+(1-EXP(-LN(2)/25))/(LN(2)/25)*Calculateur!AQ148*Calculateur!AS148*VLOOKUP('Données projet'!$B$10,Paramètres!$A$1:$I$89,3,0)*0.475*44/12</f>
        <v>0.72953962456731725</v>
      </c>
      <c r="AW148" s="21">
        <f>EXP(-LN(2)/2)*AW147+(1-EXP(-LN(2)/2))/(LN(2)/2)*AQ148*AT148*VLOOKUP('Données projet'!$B$10,Paramètres!$A$1:$I$89,3,0)*0.475*44/12</f>
        <v>1.3625461958958313E-16</v>
      </c>
      <c r="AX148" s="21">
        <f t="shared" si="114"/>
        <v>1.0446490210216661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-4.5474735088646412E-13</v>
      </c>
      <c r="BE148" s="13">
        <f>BD148*VLOOKUP('Données projet'!$B$11,Paramètres!$A$1:$I$89,3,0)*VLOOKUP('Données projet'!$B$11,Paramètres!$A$1:$I$89,5,0)</f>
        <v>-2.7193891583010558E-13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246.59447135626942</v>
      </c>
      <c r="BJ148" s="59">
        <f t="shared" si="146"/>
        <v>262.00382544285367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0.52983452825850685</v>
      </c>
      <c r="BR148" s="21">
        <f>EXP(-LN(2)/2)*BR147+(1-EXP(-LN(2)/2))/(LN(2)/2)*BL148*BO148*VLOOKUP('Données projet'!$B$11,Paramètres!$A$1:$I$89,3,0)*0.475*44/12</f>
        <v>1.1642902808523919E-16</v>
      </c>
      <c r="BS148" s="22">
        <f t="shared" si="117"/>
        <v>0.52983452825850696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1.1368683772161603E-13</v>
      </c>
      <c r="BZ148" s="13">
        <f>BY148*VLOOKUP('Données projet'!$B$12,Paramètres!$A$1:$I$89,3,0)*VLOOKUP('Données projet'!$B$12,Paramètres!$A$1:$I$89,5,0)</f>
        <v>1.0286385077051818E-13</v>
      </c>
      <c r="CA148" s="13">
        <f t="shared" si="147"/>
        <v>1.5402366592183556E-12</v>
      </c>
      <c r="CB148" s="20">
        <f t="shared" si="118"/>
        <v>2.8617333882306215E-12</v>
      </c>
      <c r="CC148" s="59">
        <f t="shared" si="119"/>
        <v>293.33333333333616</v>
      </c>
      <c r="CD148" s="59">
        <f ca="1">AVERAGE(OFFSET($CC$3,0,0,'Données projet'!$E$12+1,1))-AVERAGE(OFFSET($H$3,0,0,'Données projet'!$E$12+1,1))</f>
        <v>169.62156467157178</v>
      </c>
      <c r="CE148" s="59">
        <f t="shared" si="148"/>
        <v>85.631326020763254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4.6111381379887463E-14</v>
      </c>
      <c r="CV148" s="13">
        <f t="shared" si="149"/>
        <v>7.5804141040779151E-13</v>
      </c>
      <c r="CW148" s="20">
        <f t="shared" si="121"/>
        <v>1.4005661123635408E-12</v>
      </c>
      <c r="CX148" s="59">
        <f t="shared" si="122"/>
        <v>293.33333333333474</v>
      </c>
      <c r="CY148" s="59">
        <f ca="1">AVERAGE(OFFSET($CX$3,0,0,'Données projet'!$E$13+1,1))-AVERAGE(OFFSET($H$3,0,0,'Données projet'!$E$13+1,1))</f>
        <v>234.59657655504111</v>
      </c>
      <c r="CZ148" s="59">
        <f t="shared" si="150"/>
        <v>285.10598666479211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0.35075721688417311</v>
      </c>
      <c r="DH148" s="21">
        <f>EXP(-LN(2)/2)*DH147+(1-EXP(-LN(2)/2))/(LN(2)/2)*DB148*DE148*VLOOKUP('Données projet'!$B$13,Paramètres!$A$1:$I$89,3,0)*0.475*44/12</f>
        <v>5.3837338676333952E-17</v>
      </c>
      <c r="DI148" s="22">
        <f t="shared" si="123"/>
        <v>0.35075721688417316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1.1368683772161603E-13</v>
      </c>
      <c r="DP148" s="17">
        <f>DO148*VLOOKUP('Données projet'!$B$14,Paramètres!$A$1:$I$89,3,0)*VLOOKUP('Données projet'!$B$14,Paramètres!$A$1:$I$89,5,0)</f>
        <v>1.0995790944434703E-13</v>
      </c>
      <c r="DQ148" s="13">
        <f t="shared" si="151"/>
        <v>1.6337280948049956E-12</v>
      </c>
      <c r="DR148" s="20">
        <f t="shared" si="124"/>
        <v>3.036919790734272E-12</v>
      </c>
      <c r="DS148" s="59">
        <f t="shared" si="125"/>
        <v>293.33333333333633</v>
      </c>
      <c r="DT148" s="59">
        <f ca="1">AVERAGE(OFFSET($DS$3,0,0,'Données projet'!$E$14+1,1))-AVERAGE(OFFSET($H$3,0,0,'Données projet'!$E$14+1,1))</f>
        <v>186.90852124957956</v>
      </c>
      <c r="DU148" s="59">
        <f t="shared" si="152"/>
        <v>93.013797128776446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1.1368683772161603E-13</v>
      </c>
      <c r="EK148" s="17">
        <f>EJ148*VLOOKUP('Données projet'!$B$15,Paramètres!$A$1:$I$89,3,0)*VLOOKUP('Données projet'!$B$15,Paramètres!$A$1:$I$89,5,0)</f>
        <v>1.223725121235475E-13</v>
      </c>
      <c r="EL148" s="13">
        <f t="shared" si="153"/>
        <v>1.7956824466038182E-12</v>
      </c>
      <c r="EM148" s="20">
        <f t="shared" si="127"/>
        <v>3.3406123864501612E-12</v>
      </c>
      <c r="EN148" s="59">
        <f t="shared" si="128"/>
        <v>293.33333333333667</v>
      </c>
      <c r="EO148" s="59">
        <f ca="1">AVERAGE(OFFSET($EN$3,0,0,'Données projet'!$E$15+1,1))-AVERAGE(OFFSET($H$3,0,0,'Données projet'!$E$15+1,1))</f>
        <v>217.10418688911096</v>
      </c>
      <c r="EP148" s="59">
        <f t="shared" si="154"/>
        <v>105.90631421515786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145.19188637714888</v>
      </c>
      <c r="T149" s="59">
        <f t="shared" si="142"/>
        <v>169.74069292032493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0.22240489758265866</v>
      </c>
      <c r="AA149" s="21">
        <f>EXP(-LN(2)/25)*AA148+(1-EXP(-LN(2)/25))/(LN(2)/25)*Calculateur!V149*Calculateur!X149*VLOOKUP('Données projet'!$B$9,Paramètres!$A$1:$I$89,3,0)*0.475*44/12</f>
        <v>0.3471502294264972</v>
      </c>
      <c r="AB149" s="21">
        <f>EXP(-LN(2)/2)*AB148+(1-EXP(-LN(2)/2))/(LN(2)/2)*V149*Y149*VLOOKUP('Données projet'!$B$9,Paramètres!$A$1:$I$89,3,0)*0.475*44/12</f>
        <v>1.4035726090672538E-17</v>
      </c>
      <c r="AC149" s="22">
        <f t="shared" si="111"/>
        <v>0.56955512700915589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-2.8421709430404007E-14</v>
      </c>
      <c r="AJ149" s="13">
        <f>AI149*VLOOKUP('Données projet'!$B$10,Paramètres!$A$1:$I$89,3,0)*VLOOKUP('Données projet'!$B$10,Paramètres!$A$1:$I$89,5,0)</f>
        <v>-2.4829205358400945E-14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254.24072778190163</v>
      </c>
      <c r="AO149" s="59">
        <f t="shared" si="144"/>
        <v>356.78706780980383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0.30893029338763284</v>
      </c>
      <c r="AV149" s="21">
        <f>EXP(-LN(2)/25)*AV148+(1-EXP(-LN(2)/25))/(LN(2)/25)*Calculateur!AQ149*Calculateur!AS149*VLOOKUP('Données projet'!$B$10,Paramètres!$A$1:$I$89,3,0)*0.475*44/12</f>
        <v>0.70959032516870246</v>
      </c>
      <c r="AW149" s="21">
        <f>EXP(-LN(2)/2)*AW148+(1-EXP(-LN(2)/2))/(LN(2)/2)*AQ149*AT149*VLOOKUP('Données projet'!$B$10,Paramètres!$A$1:$I$89,3,0)*0.475*44/12</f>
        <v>9.6346565479787636E-17</v>
      </c>
      <c r="AX149" s="21">
        <f t="shared" si="114"/>
        <v>1.0185206185563354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-4.5474735088646412E-13</v>
      </c>
      <c r="BE149" s="13">
        <f>BD149*VLOOKUP('Données projet'!$B$11,Paramètres!$A$1:$I$89,3,0)*VLOOKUP('Données projet'!$B$11,Paramètres!$A$1:$I$89,5,0)</f>
        <v>-2.7193891583010558E-13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246.59447135626942</v>
      </c>
      <c r="BJ149" s="59">
        <f t="shared" si="146"/>
        <v>262.00382544285367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0.51534617522049109</v>
      </c>
      <c r="BR149" s="21">
        <f>EXP(-LN(2)/2)*BR148+(1-EXP(-LN(2)/2))/(LN(2)/2)*BL149*BO149*VLOOKUP('Données projet'!$B$11,Paramètres!$A$1:$I$89,3,0)*0.475*44/12</f>
        <v>8.232775528603163E-17</v>
      </c>
      <c r="BS149" s="22">
        <f t="shared" si="117"/>
        <v>0.5153461752204912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1.1368683772161603E-13</v>
      </c>
      <c r="BZ149" s="13">
        <f>BY149*VLOOKUP('Données projet'!$B$12,Paramètres!$A$1:$I$89,3,0)*VLOOKUP('Données projet'!$B$12,Paramètres!$A$1:$I$89,5,0)</f>
        <v>1.0286385077051818E-13</v>
      </c>
      <c r="CA149" s="13">
        <f t="shared" si="147"/>
        <v>1.5402366592183556E-12</v>
      </c>
      <c r="CB149" s="20">
        <f t="shared" si="118"/>
        <v>2.8617333882306215E-12</v>
      </c>
      <c r="CC149" s="59">
        <f t="shared" si="119"/>
        <v>293.33333333333616</v>
      </c>
      <c r="CD149" s="59">
        <f ca="1">AVERAGE(OFFSET($CC$3,0,0,'Données projet'!$E$12+1,1))-AVERAGE(OFFSET($H$3,0,0,'Données projet'!$E$12+1,1))</f>
        <v>169.62156467157178</v>
      </c>
      <c r="CE149" s="59">
        <f t="shared" si="148"/>
        <v>85.631326020763254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4.6111381379887463E-14</v>
      </c>
      <c r="CV149" s="13">
        <f t="shared" si="149"/>
        <v>7.5804141040779151E-13</v>
      </c>
      <c r="CW149" s="20">
        <f t="shared" si="121"/>
        <v>1.4005661123635408E-12</v>
      </c>
      <c r="CX149" s="59">
        <f t="shared" si="122"/>
        <v>293.33333333333474</v>
      </c>
      <c r="CY149" s="59">
        <f ca="1">AVERAGE(OFFSET($CX$3,0,0,'Données projet'!$E$13+1,1))-AVERAGE(OFFSET($H$3,0,0,'Données projet'!$E$13+1,1))</f>
        <v>234.59657655504111</v>
      </c>
      <c r="CZ149" s="59">
        <f t="shared" si="150"/>
        <v>285.10598666479211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0.34116574234295505</v>
      </c>
      <c r="DH149" s="21">
        <f>EXP(-LN(2)/2)*DH148+(1-EXP(-LN(2)/2))/(LN(2)/2)*DB149*DE149*VLOOKUP('Données projet'!$B$13,Paramètres!$A$1:$I$89,3,0)*0.475*44/12</f>
        <v>3.8068747259072523E-17</v>
      </c>
      <c r="DI149" s="22">
        <f t="shared" si="123"/>
        <v>0.3411657423429551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1.1368683772161603E-13</v>
      </c>
      <c r="DP149" s="17">
        <f>DO149*VLOOKUP('Données projet'!$B$14,Paramètres!$A$1:$I$89,3,0)*VLOOKUP('Données projet'!$B$14,Paramètres!$A$1:$I$89,5,0)</f>
        <v>1.0995790944434703E-13</v>
      </c>
      <c r="DQ149" s="13">
        <f t="shared" si="151"/>
        <v>1.6337280948049956E-12</v>
      </c>
      <c r="DR149" s="20">
        <f t="shared" si="124"/>
        <v>3.036919790734272E-12</v>
      </c>
      <c r="DS149" s="59">
        <f t="shared" si="125"/>
        <v>293.33333333333633</v>
      </c>
      <c r="DT149" s="59">
        <f ca="1">AVERAGE(OFFSET($DS$3,0,0,'Données projet'!$E$14+1,1))-AVERAGE(OFFSET($H$3,0,0,'Données projet'!$E$14+1,1))</f>
        <v>186.90852124957956</v>
      </c>
      <c r="DU149" s="59">
        <f t="shared" si="152"/>
        <v>93.013797128776446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1.1368683772161603E-13</v>
      </c>
      <c r="EK149" s="17">
        <f>EJ149*VLOOKUP('Données projet'!$B$15,Paramètres!$A$1:$I$89,3,0)*VLOOKUP('Données projet'!$B$15,Paramètres!$A$1:$I$89,5,0)</f>
        <v>1.223725121235475E-13</v>
      </c>
      <c r="EL149" s="13">
        <f t="shared" si="153"/>
        <v>1.7956824466038182E-12</v>
      </c>
      <c r="EM149" s="20">
        <f t="shared" si="127"/>
        <v>3.3406123864501612E-12</v>
      </c>
      <c r="EN149" s="59">
        <f t="shared" si="128"/>
        <v>293.33333333333667</v>
      </c>
      <c r="EO149" s="59">
        <f ca="1">AVERAGE(OFFSET($EN$3,0,0,'Données projet'!$E$15+1,1))-AVERAGE(OFFSET($H$3,0,0,'Données projet'!$E$15+1,1))</f>
        <v>217.10418688911096</v>
      </c>
      <c r="EP149" s="59">
        <f t="shared" si="154"/>
        <v>105.90631421515786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145.19188637714888</v>
      </c>
      <c r="T150" s="59">
        <f t="shared" si="142"/>
        <v>169.74069292032493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0.21804367319465556</v>
      </c>
      <c r="AA150" s="21">
        <f>EXP(-LN(2)/25)*AA149+(1-EXP(-LN(2)/25))/(LN(2)/25)*Calculateur!V150*Calculateur!X150*VLOOKUP('Données projet'!$B$9,Paramètres!$A$1:$I$89,3,0)*0.475*44/12</f>
        <v>0.33765738814699248</v>
      </c>
      <c r="AB150" s="21">
        <f>EXP(-LN(2)/2)*AB149+(1-EXP(-LN(2)/2))/(LN(2)/2)*V150*Y150*VLOOKUP('Données projet'!$B$9,Paramètres!$A$1:$I$89,3,0)*0.475*44/12</f>
        <v>9.9247570975915025E-18</v>
      </c>
      <c r="AC150" s="22">
        <f t="shared" si="111"/>
        <v>0.55570106134164798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-2.8421709430404007E-14</v>
      </c>
      <c r="AJ150" s="13">
        <f>AI150*VLOOKUP('Données projet'!$B$10,Paramètres!$A$1:$I$89,3,0)*VLOOKUP('Données projet'!$B$10,Paramètres!$A$1:$I$89,5,0)</f>
        <v>-2.4829205358400945E-14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254.24072778190163</v>
      </c>
      <c r="AO150" s="59">
        <f t="shared" si="144"/>
        <v>356.78706780980383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0.30287235876317453</v>
      </c>
      <c r="AV150" s="21">
        <f>EXP(-LN(2)/25)*AV149+(1-EXP(-LN(2)/25))/(LN(2)/25)*Calculateur!AQ150*Calculateur!AS150*VLOOKUP('Données projet'!$B$10,Paramètres!$A$1:$I$89,3,0)*0.475*44/12</f>
        <v>0.69018654041123084</v>
      </c>
      <c r="AW150" s="21">
        <f>EXP(-LN(2)/2)*AW149+(1-EXP(-LN(2)/2))/(LN(2)/2)*AQ150*AT150*VLOOKUP('Données projet'!$B$10,Paramètres!$A$1:$I$89,3,0)*0.475*44/12</f>
        <v>6.8127309794791567E-17</v>
      </c>
      <c r="AX150" s="21">
        <f t="shared" si="114"/>
        <v>0.99305889917440548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-4.5474735088646412E-13</v>
      </c>
      <c r="BE150" s="13">
        <f>BD150*VLOOKUP('Données projet'!$B$11,Paramètres!$A$1:$I$89,3,0)*VLOOKUP('Données projet'!$B$11,Paramètres!$A$1:$I$89,5,0)</f>
        <v>-2.7193891583010558E-13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246.59447135626942</v>
      </c>
      <c r="BJ150" s="59">
        <f t="shared" si="146"/>
        <v>262.00382544285367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0.50125400695820921</v>
      </c>
      <c r="BR150" s="21">
        <f>EXP(-LN(2)/2)*BR149+(1-EXP(-LN(2)/2))/(LN(2)/2)*BL150*BO150*VLOOKUP('Données projet'!$B$11,Paramètres!$A$1:$I$89,3,0)*0.475*44/12</f>
        <v>5.8214514042619597E-17</v>
      </c>
      <c r="BS150" s="22">
        <f t="shared" si="117"/>
        <v>0.50125400695820932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1.1368683772161603E-13</v>
      </c>
      <c r="BZ150" s="13">
        <f>BY150*VLOOKUP('Données projet'!$B$12,Paramètres!$A$1:$I$89,3,0)*VLOOKUP('Données projet'!$B$12,Paramètres!$A$1:$I$89,5,0)</f>
        <v>1.0286385077051818E-13</v>
      </c>
      <c r="CA150" s="13">
        <f t="shared" si="147"/>
        <v>1.5402366592183556E-12</v>
      </c>
      <c r="CB150" s="20">
        <f t="shared" si="118"/>
        <v>2.8617333882306215E-12</v>
      </c>
      <c r="CC150" s="59">
        <f t="shared" si="119"/>
        <v>293.33333333333616</v>
      </c>
      <c r="CD150" s="59">
        <f ca="1">AVERAGE(OFFSET($CC$3,0,0,'Données projet'!$E$12+1,1))-AVERAGE(OFFSET($H$3,0,0,'Données projet'!$E$12+1,1))</f>
        <v>169.62156467157178</v>
      </c>
      <c r="CE150" s="59">
        <f t="shared" si="148"/>
        <v>85.631326020763254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4.6111381379887463E-14</v>
      </c>
      <c r="CV150" s="13">
        <f t="shared" si="149"/>
        <v>7.5804141040779151E-13</v>
      </c>
      <c r="CW150" s="20">
        <f t="shared" si="121"/>
        <v>1.4005661123635408E-12</v>
      </c>
      <c r="CX150" s="59">
        <f t="shared" si="122"/>
        <v>293.33333333333474</v>
      </c>
      <c r="CY150" s="59">
        <f ca="1">AVERAGE(OFFSET($CX$3,0,0,'Données projet'!$E$13+1,1))-AVERAGE(OFFSET($H$3,0,0,'Données projet'!$E$13+1,1))</f>
        <v>234.59657655504111</v>
      </c>
      <c r="CZ150" s="59">
        <f t="shared" si="150"/>
        <v>285.10598666479211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0.33183654717746031</v>
      </c>
      <c r="DH150" s="21">
        <f>EXP(-LN(2)/2)*DH149+(1-EXP(-LN(2)/2))/(LN(2)/2)*DB150*DE150*VLOOKUP('Données projet'!$B$13,Paramètres!$A$1:$I$89,3,0)*0.475*44/12</f>
        <v>2.6918669338166976E-17</v>
      </c>
      <c r="DI150" s="22">
        <f t="shared" si="123"/>
        <v>0.33183654717746031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1.1368683772161603E-13</v>
      </c>
      <c r="DP150" s="17">
        <f>DO150*VLOOKUP('Données projet'!$B$14,Paramètres!$A$1:$I$89,3,0)*VLOOKUP('Données projet'!$B$14,Paramètres!$A$1:$I$89,5,0)</f>
        <v>1.0995790944434703E-13</v>
      </c>
      <c r="DQ150" s="13">
        <f t="shared" si="151"/>
        <v>1.6337280948049956E-12</v>
      </c>
      <c r="DR150" s="20">
        <f t="shared" si="124"/>
        <v>3.036919790734272E-12</v>
      </c>
      <c r="DS150" s="59">
        <f t="shared" si="125"/>
        <v>293.33333333333633</v>
      </c>
      <c r="DT150" s="59">
        <f ca="1">AVERAGE(OFFSET($DS$3,0,0,'Données projet'!$E$14+1,1))-AVERAGE(OFFSET($H$3,0,0,'Données projet'!$E$14+1,1))</f>
        <v>186.90852124957956</v>
      </c>
      <c r="DU150" s="59">
        <f t="shared" si="152"/>
        <v>93.013797128776446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1.1368683772161603E-13</v>
      </c>
      <c r="EK150" s="17">
        <f>EJ150*VLOOKUP('Données projet'!$B$15,Paramètres!$A$1:$I$89,3,0)*VLOOKUP('Données projet'!$B$15,Paramètres!$A$1:$I$89,5,0)</f>
        <v>1.223725121235475E-13</v>
      </c>
      <c r="EL150" s="13">
        <f t="shared" si="153"/>
        <v>1.7956824466038182E-12</v>
      </c>
      <c r="EM150" s="20">
        <f t="shared" si="127"/>
        <v>3.3406123864501612E-12</v>
      </c>
      <c r="EN150" s="59">
        <f t="shared" si="128"/>
        <v>293.33333333333667</v>
      </c>
      <c r="EO150" s="59">
        <f ca="1">AVERAGE(OFFSET($EN$3,0,0,'Données projet'!$E$15+1,1))-AVERAGE(OFFSET($H$3,0,0,'Données projet'!$E$15+1,1))</f>
        <v>217.10418688911096</v>
      </c>
      <c r="EP150" s="59">
        <f t="shared" si="154"/>
        <v>105.90631421515786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145.19188637714888</v>
      </c>
      <c r="T151" s="59">
        <f t="shared" si="142"/>
        <v>169.74069292032493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0.213767969756817</v>
      </c>
      <c r="AA151" s="21">
        <f>EXP(-LN(2)/25)*AA150+(1-EXP(-LN(2)/25))/(LN(2)/25)*Calculateur!V151*Calculateur!X151*VLOOKUP('Données projet'!$B$9,Paramètres!$A$1:$I$89,3,0)*0.475*44/12</f>
        <v>0.32842412911148267</v>
      </c>
      <c r="AB151" s="21">
        <f>EXP(-LN(2)/2)*AB150+(1-EXP(-LN(2)/2))/(LN(2)/2)*V151*Y151*VLOOKUP('Données projet'!$B$9,Paramètres!$A$1:$I$89,3,0)*0.475*44/12</f>
        <v>7.017863045336269E-18</v>
      </c>
      <c r="AC151" s="22">
        <f t="shared" si="111"/>
        <v>0.54219209886829967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-2.8421709430404007E-14</v>
      </c>
      <c r="AJ151" s="13">
        <f>AI151*VLOOKUP('Données projet'!$B$10,Paramètres!$A$1:$I$89,3,0)*VLOOKUP('Données projet'!$B$10,Paramètres!$A$1:$I$89,5,0)</f>
        <v>-2.4829205358400945E-14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254.24072778190163</v>
      </c>
      <c r="AO151" s="59">
        <f t="shared" si="144"/>
        <v>356.78706780980383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0.29693321654172655</v>
      </c>
      <c r="AV151" s="21">
        <f>EXP(-LN(2)/25)*AV150+(1-EXP(-LN(2)/25))/(LN(2)/25)*Calculateur!AQ151*Calculateur!AS151*VLOOKUP('Données projet'!$B$10,Paramètres!$A$1:$I$89,3,0)*0.475*44/12</f>
        <v>0.67131335316835306</v>
      </c>
      <c r="AW151" s="21">
        <f>EXP(-LN(2)/2)*AW150+(1-EXP(-LN(2)/2))/(LN(2)/2)*AQ151*AT151*VLOOKUP('Données projet'!$B$10,Paramètres!$A$1:$I$89,3,0)*0.475*44/12</f>
        <v>4.8173282739893818E-17</v>
      </c>
      <c r="AX151" s="21">
        <f t="shared" si="114"/>
        <v>0.96824656971007961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-4.5474735088646412E-13</v>
      </c>
      <c r="BE151" s="13">
        <f>BD151*VLOOKUP('Données projet'!$B$11,Paramètres!$A$1:$I$89,3,0)*VLOOKUP('Données projet'!$B$11,Paramètres!$A$1:$I$89,5,0)</f>
        <v>-2.7193891583010558E-13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246.59447135626942</v>
      </c>
      <c r="BJ151" s="59">
        <f t="shared" si="146"/>
        <v>262.00382544285367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0.48754718977813438</v>
      </c>
      <c r="BR151" s="21">
        <f>EXP(-LN(2)/2)*BR150+(1-EXP(-LN(2)/2))/(LN(2)/2)*BL151*BO151*VLOOKUP('Données projet'!$B$11,Paramètres!$A$1:$I$89,3,0)*0.475*44/12</f>
        <v>4.1163877643015815E-17</v>
      </c>
      <c r="BS151" s="22">
        <f t="shared" si="117"/>
        <v>0.48754718977813444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1.1368683772161603E-13</v>
      </c>
      <c r="BZ151" s="13">
        <f>BY151*VLOOKUP('Données projet'!$B$12,Paramètres!$A$1:$I$89,3,0)*VLOOKUP('Données projet'!$B$12,Paramètres!$A$1:$I$89,5,0)</f>
        <v>1.0286385077051818E-13</v>
      </c>
      <c r="CA151" s="13">
        <f t="shared" si="147"/>
        <v>1.5402366592183556E-12</v>
      </c>
      <c r="CB151" s="20">
        <f t="shared" si="118"/>
        <v>2.8617333882306215E-12</v>
      </c>
      <c r="CC151" s="59">
        <f t="shared" si="119"/>
        <v>293.33333333333616</v>
      </c>
      <c r="CD151" s="59">
        <f ca="1">AVERAGE(OFFSET($CC$3,0,0,'Données projet'!$E$12+1,1))-AVERAGE(OFFSET($H$3,0,0,'Données projet'!$E$12+1,1))</f>
        <v>169.62156467157178</v>
      </c>
      <c r="CE151" s="59">
        <f t="shared" si="148"/>
        <v>85.631326020763254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4.6111381379887463E-14</v>
      </c>
      <c r="CV151" s="13">
        <f t="shared" si="149"/>
        <v>7.5804141040779151E-13</v>
      </c>
      <c r="CW151" s="20">
        <f t="shared" si="121"/>
        <v>1.4005661123635408E-12</v>
      </c>
      <c r="CX151" s="59">
        <f t="shared" si="122"/>
        <v>293.33333333333474</v>
      </c>
      <c r="CY151" s="59">
        <f ca="1">AVERAGE(OFFSET($CX$3,0,0,'Données projet'!$E$13+1,1))-AVERAGE(OFFSET($H$3,0,0,'Données projet'!$E$13+1,1))</f>
        <v>234.59657655504111</v>
      </c>
      <c r="CZ151" s="59">
        <f t="shared" si="150"/>
        <v>285.10598666479211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0.32276245934436704</v>
      </c>
      <c r="DH151" s="21">
        <f>EXP(-LN(2)/2)*DH150+(1-EXP(-LN(2)/2))/(LN(2)/2)*DB151*DE151*VLOOKUP('Données projet'!$B$13,Paramètres!$A$1:$I$89,3,0)*0.475*44/12</f>
        <v>1.9034373629536262E-17</v>
      </c>
      <c r="DI151" s="22">
        <f t="shared" si="123"/>
        <v>0.32276245934436704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1.1368683772161603E-13</v>
      </c>
      <c r="DP151" s="17">
        <f>DO151*VLOOKUP('Données projet'!$B$14,Paramètres!$A$1:$I$89,3,0)*VLOOKUP('Données projet'!$B$14,Paramètres!$A$1:$I$89,5,0)</f>
        <v>1.0995790944434703E-13</v>
      </c>
      <c r="DQ151" s="13">
        <f t="shared" si="151"/>
        <v>1.6337280948049956E-12</v>
      </c>
      <c r="DR151" s="20">
        <f t="shared" si="124"/>
        <v>3.036919790734272E-12</v>
      </c>
      <c r="DS151" s="59">
        <f t="shared" si="125"/>
        <v>293.33333333333633</v>
      </c>
      <c r="DT151" s="59">
        <f ca="1">AVERAGE(OFFSET($DS$3,0,0,'Données projet'!$E$14+1,1))-AVERAGE(OFFSET($H$3,0,0,'Données projet'!$E$14+1,1))</f>
        <v>186.90852124957956</v>
      </c>
      <c r="DU151" s="59">
        <f t="shared" si="152"/>
        <v>93.013797128776446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1.1368683772161603E-13</v>
      </c>
      <c r="EK151" s="17">
        <f>EJ151*VLOOKUP('Données projet'!$B$15,Paramètres!$A$1:$I$89,3,0)*VLOOKUP('Données projet'!$B$15,Paramètres!$A$1:$I$89,5,0)</f>
        <v>1.223725121235475E-13</v>
      </c>
      <c r="EL151" s="13">
        <f t="shared" si="153"/>
        <v>1.7956824466038182E-12</v>
      </c>
      <c r="EM151" s="20">
        <f t="shared" si="127"/>
        <v>3.3406123864501612E-12</v>
      </c>
      <c r="EN151" s="59">
        <f t="shared" si="128"/>
        <v>293.33333333333667</v>
      </c>
      <c r="EO151" s="59">
        <f ca="1">AVERAGE(OFFSET($EN$3,0,0,'Données projet'!$E$15+1,1))-AVERAGE(OFFSET($H$3,0,0,'Données projet'!$E$15+1,1))</f>
        <v>217.10418688911096</v>
      </c>
      <c r="EP151" s="59">
        <f t="shared" si="154"/>
        <v>105.90631421515786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145.19188637714888</v>
      </c>
      <c r="T152" s="59">
        <f t="shared" si="142"/>
        <v>169.74069292032493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0.20957611025547287</v>
      </c>
      <c r="AA152" s="21">
        <f>EXP(-LN(2)/25)*AA151+(1-EXP(-LN(2)/25))/(LN(2)/25)*Calculateur!V152*Calculateur!X152*VLOOKUP('Données projet'!$B$9,Paramètres!$A$1:$I$89,3,0)*0.475*44/12</f>
        <v>0.31944335402985485</v>
      </c>
      <c r="AB152" s="21">
        <f>EXP(-LN(2)/2)*AB151+(1-EXP(-LN(2)/2))/(LN(2)/2)*V152*Y152*VLOOKUP('Données projet'!$B$9,Paramètres!$A$1:$I$89,3,0)*0.475*44/12</f>
        <v>4.9623785487957512E-18</v>
      </c>
      <c r="AC152" s="22">
        <f t="shared" si="111"/>
        <v>0.52901946428532776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-2.8421709430404007E-14</v>
      </c>
      <c r="AJ152" s="13">
        <f>AI152*VLOOKUP('Données projet'!$B$10,Paramètres!$A$1:$I$89,3,0)*VLOOKUP('Données projet'!$B$10,Paramètres!$A$1:$I$89,5,0)</f>
        <v>-2.4829205358400945E-14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254.24072778190163</v>
      </c>
      <c r="AO152" s="59">
        <f t="shared" si="144"/>
        <v>356.78706780980383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0.29111053727672215</v>
      </c>
      <c r="AV152" s="21">
        <f>EXP(-LN(2)/25)*AV151+(1-EXP(-LN(2)/25))/(LN(2)/25)*Calculateur!AQ152*Calculateur!AS152*VLOOKUP('Données projet'!$B$10,Paramètres!$A$1:$I$89,3,0)*0.475*44/12</f>
        <v>0.65295625422312953</v>
      </c>
      <c r="AW152" s="21">
        <f>EXP(-LN(2)/2)*AW151+(1-EXP(-LN(2)/2))/(LN(2)/2)*AQ152*AT152*VLOOKUP('Données projet'!$B$10,Paramètres!$A$1:$I$89,3,0)*0.475*44/12</f>
        <v>3.4063654897395784E-17</v>
      </c>
      <c r="AX152" s="21">
        <f t="shared" si="114"/>
        <v>0.94406679149985173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-4.5474735088646412E-13</v>
      </c>
      <c r="BE152" s="13">
        <f>BD152*VLOOKUP('Données projet'!$B$11,Paramètres!$A$1:$I$89,3,0)*VLOOKUP('Données projet'!$B$11,Paramètres!$A$1:$I$89,5,0)</f>
        <v>-2.7193891583010558E-13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246.59447135626942</v>
      </c>
      <c r="BJ152" s="59">
        <f t="shared" si="146"/>
        <v>262.00382544285367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0.47421518623465891</v>
      </c>
      <c r="BR152" s="21">
        <f>EXP(-LN(2)/2)*BR151+(1-EXP(-LN(2)/2))/(LN(2)/2)*BL152*BO152*VLOOKUP('Données projet'!$B$11,Paramètres!$A$1:$I$89,3,0)*0.475*44/12</f>
        <v>2.9107257021309799E-17</v>
      </c>
      <c r="BS152" s="22">
        <f t="shared" si="117"/>
        <v>0.47421518623465897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1.1368683772161603E-13</v>
      </c>
      <c r="BZ152" s="13">
        <f>BY152*VLOOKUP('Données projet'!$B$12,Paramètres!$A$1:$I$89,3,0)*VLOOKUP('Données projet'!$B$12,Paramètres!$A$1:$I$89,5,0)</f>
        <v>1.0286385077051818E-13</v>
      </c>
      <c r="CA152" s="13">
        <f t="shared" si="147"/>
        <v>1.5402366592183556E-12</v>
      </c>
      <c r="CB152" s="20">
        <f t="shared" si="118"/>
        <v>2.8617333882306215E-12</v>
      </c>
      <c r="CC152" s="59">
        <f t="shared" si="119"/>
        <v>293.33333333333616</v>
      </c>
      <c r="CD152" s="59">
        <f ca="1">AVERAGE(OFFSET($CC$3,0,0,'Données projet'!$E$12+1,1))-AVERAGE(OFFSET($H$3,0,0,'Données projet'!$E$12+1,1))</f>
        <v>169.62156467157178</v>
      </c>
      <c r="CE152" s="59">
        <f t="shared" si="148"/>
        <v>85.631326020763254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4.6111381379887463E-14</v>
      </c>
      <c r="CV152" s="13">
        <f t="shared" si="149"/>
        <v>7.5804141040779151E-13</v>
      </c>
      <c r="CW152" s="20">
        <f t="shared" si="121"/>
        <v>1.4005661123635408E-12</v>
      </c>
      <c r="CX152" s="59">
        <f t="shared" si="122"/>
        <v>293.33333333333474</v>
      </c>
      <c r="CY152" s="59">
        <f ca="1">AVERAGE(OFFSET($CX$3,0,0,'Données projet'!$E$13+1,1))-AVERAGE(OFFSET($H$3,0,0,'Données projet'!$E$13+1,1))</f>
        <v>234.59657655504111</v>
      </c>
      <c r="CZ152" s="59">
        <f t="shared" si="150"/>
        <v>285.10598666479211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0.31393650292025527</v>
      </c>
      <c r="DH152" s="21">
        <f>EXP(-LN(2)/2)*DH151+(1-EXP(-LN(2)/2))/(LN(2)/2)*DB152*DE152*VLOOKUP('Données projet'!$B$13,Paramètres!$A$1:$I$89,3,0)*0.475*44/12</f>
        <v>1.3459334669083488E-17</v>
      </c>
      <c r="DI152" s="22">
        <f t="shared" si="123"/>
        <v>0.31393650292025527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1.1368683772161603E-13</v>
      </c>
      <c r="DP152" s="17">
        <f>DO152*VLOOKUP('Données projet'!$B$14,Paramètres!$A$1:$I$89,3,0)*VLOOKUP('Données projet'!$B$14,Paramètres!$A$1:$I$89,5,0)</f>
        <v>1.0995790944434703E-13</v>
      </c>
      <c r="DQ152" s="13">
        <f t="shared" si="151"/>
        <v>1.6337280948049956E-12</v>
      </c>
      <c r="DR152" s="20">
        <f t="shared" si="124"/>
        <v>3.036919790734272E-12</v>
      </c>
      <c r="DS152" s="59">
        <f t="shared" si="125"/>
        <v>293.33333333333633</v>
      </c>
      <c r="DT152" s="59">
        <f ca="1">AVERAGE(OFFSET($DS$3,0,0,'Données projet'!$E$14+1,1))-AVERAGE(OFFSET($H$3,0,0,'Données projet'!$E$14+1,1))</f>
        <v>186.90852124957956</v>
      </c>
      <c r="DU152" s="59">
        <f t="shared" si="152"/>
        <v>93.013797128776446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1.1368683772161603E-13</v>
      </c>
      <c r="EK152" s="17">
        <f>EJ152*VLOOKUP('Données projet'!$B$15,Paramètres!$A$1:$I$89,3,0)*VLOOKUP('Données projet'!$B$15,Paramètres!$A$1:$I$89,5,0)</f>
        <v>1.223725121235475E-13</v>
      </c>
      <c r="EL152" s="13">
        <f t="shared" si="153"/>
        <v>1.7956824466038182E-12</v>
      </c>
      <c r="EM152" s="20">
        <f t="shared" si="127"/>
        <v>3.3406123864501612E-12</v>
      </c>
      <c r="EN152" s="59">
        <f t="shared" si="128"/>
        <v>293.33333333333667</v>
      </c>
      <c r="EO152" s="59">
        <f ca="1">AVERAGE(OFFSET($EN$3,0,0,'Données projet'!$E$15+1,1))-AVERAGE(OFFSET($H$3,0,0,'Données projet'!$E$15+1,1))</f>
        <v>217.10418688911096</v>
      </c>
      <c r="EP152" s="59">
        <f t="shared" si="154"/>
        <v>105.90631421515786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145.19188637714888</v>
      </c>
      <c r="T153" s="59">
        <f t="shared" si="142"/>
        <v>169.74069292032493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0.20546645056216825</v>
      </c>
      <c r="AA153" s="21">
        <f>EXP(-LN(2)/25)*AA152+(1-EXP(-LN(2)/25))/(LN(2)/25)*Calculateur!V153*Calculateur!X153*VLOOKUP('Données projet'!$B$9,Paramètres!$A$1:$I$89,3,0)*0.475*44/12</f>
        <v>0.31070815871511259</v>
      </c>
      <c r="AB153" s="21">
        <f>EXP(-LN(2)/2)*AB152+(1-EXP(-LN(2)/2))/(LN(2)/2)*V153*Y153*VLOOKUP('Données projet'!$B$9,Paramètres!$A$1:$I$89,3,0)*0.475*44/12</f>
        <v>3.5089315226681345E-18</v>
      </c>
      <c r="AC153" s="22">
        <f t="shared" si="111"/>
        <v>0.51617460927728087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-2.8421709430404007E-14</v>
      </c>
      <c r="AJ153" s="13">
        <f>AI153*VLOOKUP('Données projet'!$B$10,Paramètres!$A$1:$I$89,3,0)*VLOOKUP('Données projet'!$B$10,Paramètres!$A$1:$I$89,5,0)</f>
        <v>-2.4829205358400945E-14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254.24072778190163</v>
      </c>
      <c r="AO153" s="59">
        <f t="shared" si="144"/>
        <v>356.78706780980383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0.2854020372006208</v>
      </c>
      <c r="AV153" s="21">
        <f>EXP(-LN(2)/25)*AV152+(1-EXP(-LN(2)/25))/(LN(2)/25)*Calculateur!AQ153*Calculateur!AS153*VLOOKUP('Données projet'!$B$10,Paramètres!$A$1:$I$89,3,0)*0.475*44/12</f>
        <v>0.63510113111392097</v>
      </c>
      <c r="AW153" s="21">
        <f>EXP(-LN(2)/2)*AW152+(1-EXP(-LN(2)/2))/(LN(2)/2)*AQ153*AT153*VLOOKUP('Données projet'!$B$10,Paramètres!$A$1:$I$89,3,0)*0.475*44/12</f>
        <v>2.4086641369946909E-17</v>
      </c>
      <c r="AX153" s="21">
        <f t="shared" si="114"/>
        <v>0.92050316831454171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-4.5474735088646412E-13</v>
      </c>
      <c r="BE153" s="13">
        <f>BD153*VLOOKUP('Données projet'!$B$11,Paramètres!$A$1:$I$89,3,0)*VLOOKUP('Données projet'!$B$11,Paramètres!$A$1:$I$89,5,0)</f>
        <v>-2.7193891583010558E-13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246.59447135626942</v>
      </c>
      <c r="BJ153" s="59">
        <f t="shared" si="146"/>
        <v>262.00382544285367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0.46124774702917937</v>
      </c>
      <c r="BR153" s="21">
        <f>EXP(-LN(2)/2)*BR152+(1-EXP(-LN(2)/2))/(LN(2)/2)*BL153*BO153*VLOOKUP('Données projet'!$B$11,Paramètres!$A$1:$I$89,3,0)*0.475*44/12</f>
        <v>2.0581938821507907E-17</v>
      </c>
      <c r="BS153" s="22">
        <f t="shared" si="117"/>
        <v>0.46124774702917937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1.1368683772161603E-13</v>
      </c>
      <c r="BZ153" s="13">
        <f>BY153*VLOOKUP('Données projet'!$B$12,Paramètres!$A$1:$I$89,3,0)*VLOOKUP('Données projet'!$B$12,Paramètres!$A$1:$I$89,5,0)</f>
        <v>1.0286385077051818E-13</v>
      </c>
      <c r="CA153" s="13">
        <f t="shared" si="147"/>
        <v>1.5402366592183556E-12</v>
      </c>
      <c r="CB153" s="20">
        <f t="shared" si="118"/>
        <v>2.8617333882306215E-12</v>
      </c>
      <c r="CC153" s="59">
        <f t="shared" si="119"/>
        <v>293.33333333333616</v>
      </c>
      <c r="CD153" s="59">
        <f ca="1">AVERAGE(OFFSET($CC$3,0,0,'Données projet'!$E$12+1,1))-AVERAGE(OFFSET($H$3,0,0,'Données projet'!$E$12+1,1))</f>
        <v>169.62156467157178</v>
      </c>
      <c r="CE153" s="59">
        <f t="shared" si="148"/>
        <v>85.631326020763254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4.6111381379887463E-14</v>
      </c>
      <c r="CV153" s="13">
        <f t="shared" si="149"/>
        <v>7.5804141040779151E-13</v>
      </c>
      <c r="CW153" s="20">
        <f t="shared" si="121"/>
        <v>1.4005661123635408E-12</v>
      </c>
      <c r="CX153" s="59">
        <f t="shared" si="122"/>
        <v>293.33333333333474</v>
      </c>
      <c r="CY153" s="59">
        <f ca="1">AVERAGE(OFFSET($CX$3,0,0,'Données projet'!$E$13+1,1))-AVERAGE(OFFSET($H$3,0,0,'Données projet'!$E$13+1,1))</f>
        <v>234.59657655504111</v>
      </c>
      <c r="CZ153" s="59">
        <f t="shared" si="150"/>
        <v>285.10598666479211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0.30535189273869773</v>
      </c>
      <c r="DH153" s="21">
        <f>EXP(-LN(2)/2)*DH152+(1-EXP(-LN(2)/2))/(LN(2)/2)*DB153*DE153*VLOOKUP('Données projet'!$B$13,Paramètres!$A$1:$I$89,3,0)*0.475*44/12</f>
        <v>9.5171868147681308E-18</v>
      </c>
      <c r="DI153" s="22">
        <f t="shared" si="123"/>
        <v>0.30535189273869773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1.1368683772161603E-13</v>
      </c>
      <c r="DP153" s="17">
        <f>DO153*VLOOKUP('Données projet'!$B$14,Paramètres!$A$1:$I$89,3,0)*VLOOKUP('Données projet'!$B$14,Paramètres!$A$1:$I$89,5,0)</f>
        <v>1.0995790944434703E-13</v>
      </c>
      <c r="DQ153" s="13">
        <f t="shared" si="151"/>
        <v>1.6337280948049956E-12</v>
      </c>
      <c r="DR153" s="20">
        <f t="shared" si="124"/>
        <v>3.036919790734272E-12</v>
      </c>
      <c r="DS153" s="59">
        <f t="shared" si="125"/>
        <v>293.33333333333633</v>
      </c>
      <c r="DT153" s="59">
        <f ca="1">AVERAGE(OFFSET($DS$3,0,0,'Données projet'!$E$14+1,1))-AVERAGE(OFFSET($H$3,0,0,'Données projet'!$E$14+1,1))</f>
        <v>186.90852124957956</v>
      </c>
      <c r="DU153" s="59">
        <f t="shared" si="152"/>
        <v>93.013797128776446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1.1368683772161603E-13</v>
      </c>
      <c r="EK153" s="17">
        <f>EJ153*VLOOKUP('Données projet'!$B$15,Paramètres!$A$1:$I$89,3,0)*VLOOKUP('Données projet'!$B$15,Paramètres!$A$1:$I$89,5,0)</f>
        <v>1.223725121235475E-13</v>
      </c>
      <c r="EL153" s="13">
        <f t="shared" si="153"/>
        <v>1.7956824466038182E-12</v>
      </c>
      <c r="EM153" s="20">
        <f t="shared" si="127"/>
        <v>3.3406123864501612E-12</v>
      </c>
      <c r="EN153" s="59">
        <f t="shared" si="128"/>
        <v>293.33333333333667</v>
      </c>
      <c r="EO153" s="59">
        <f ca="1">AVERAGE(OFFSET($EN$3,0,0,'Données projet'!$E$15+1,1))-AVERAGE(OFFSET($H$3,0,0,'Données projet'!$E$15+1,1))</f>
        <v>217.10418688911096</v>
      </c>
      <c r="EP153" s="59">
        <f t="shared" si="154"/>
        <v>105.90631421515786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145.19188637714888</v>
      </c>
      <c r="T154" s="59">
        <f t="shared" si="142"/>
        <v>169.74069292032493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0.20143737878880444</v>
      </c>
      <c r="AA154" s="21">
        <f>EXP(-LN(2)/25)*AA153+(1-EXP(-LN(2)/25))/(LN(2)/25)*Calculateur!V154*Calculateur!X154*VLOOKUP('Données projet'!$B$9,Paramètres!$A$1:$I$89,3,0)*0.475*44/12</f>
        <v>0.30221182777561589</v>
      </c>
      <c r="AB154" s="21">
        <f>EXP(-LN(2)/2)*AB153+(1-EXP(-LN(2)/2))/(LN(2)/2)*V154*Y154*VLOOKUP('Données projet'!$B$9,Paramètres!$A$1:$I$89,3,0)*0.475*44/12</f>
        <v>2.4811892743978756E-18</v>
      </c>
      <c r="AC154" s="22">
        <f t="shared" ref="AC154:AC203" si="163">SUM(Z154:AB154)</f>
        <v>0.50364920656442036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-2.8421709430404007E-14</v>
      </c>
      <c r="AJ154" s="13">
        <f>AI154*VLOOKUP('Données projet'!$B$10,Paramètres!$A$1:$I$89,3,0)*VLOOKUP('Données projet'!$B$10,Paramètres!$A$1:$I$89,5,0)</f>
        <v>-2.4829205358400945E-14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254.24072778190163</v>
      </c>
      <c r="AO154" s="59">
        <f t="shared" si="144"/>
        <v>356.78706780980383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0.27980547732917055</v>
      </c>
      <c r="AV154" s="21">
        <f>EXP(-LN(2)/25)*AV153+(1-EXP(-LN(2)/25))/(LN(2)/25)*Calculateur!AQ154*Calculateur!AS154*VLOOKUP('Données projet'!$B$10,Paramètres!$A$1:$I$89,3,0)*0.475*44/12</f>
        <v>0.6177342572850939</v>
      </c>
      <c r="AW154" s="21">
        <f>EXP(-LN(2)/2)*AW153+(1-EXP(-LN(2)/2))/(LN(2)/2)*AQ154*AT154*VLOOKUP('Données projet'!$B$10,Paramètres!$A$1:$I$89,3,0)*0.475*44/12</f>
        <v>1.7031827448697892E-17</v>
      </c>
      <c r="AX154" s="21">
        <f t="shared" ref="AX154:AX203" si="166">SUM(AU154:AW154)</f>
        <v>0.8975397346142644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-4.5474735088646412E-13</v>
      </c>
      <c r="BE154" s="13">
        <f>BD154*VLOOKUP('Données projet'!$B$11,Paramètres!$A$1:$I$89,3,0)*VLOOKUP('Données projet'!$B$11,Paramètres!$A$1:$I$89,5,0)</f>
        <v>-2.7193891583010558E-13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246.59447135626942</v>
      </c>
      <c r="BJ154" s="59">
        <f t="shared" si="146"/>
        <v>262.00382544285367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0.44863490313070165</v>
      </c>
      <c r="BR154" s="21">
        <f>EXP(-LN(2)/2)*BR153+(1-EXP(-LN(2)/2))/(LN(2)/2)*BL154*BO154*VLOOKUP('Données projet'!$B$11,Paramètres!$A$1:$I$89,3,0)*0.475*44/12</f>
        <v>1.4553628510654899E-17</v>
      </c>
      <c r="BS154" s="22">
        <f t="shared" ref="BS154:BS203" si="169">SUM(BP154:BR154)</f>
        <v>0.44863490313070165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1.0286385077051818E-13</v>
      </c>
      <c r="CA154" s="13">
        <f t="shared" ref="CA154:CA203" si="170">EXP(-1.0587+0.8836*LN(BZ154)+0.284)</f>
        <v>1.5402366592183556E-12</v>
      </c>
      <c r="CB154" s="20">
        <f t="shared" ref="CB154:CB203" si="171">(BZ154+CA154)*0.475*44/12</f>
        <v>2.8617333882306215E-12</v>
      </c>
      <c r="CC154" s="59">
        <f t="shared" si="119"/>
        <v>293.33333333333616</v>
      </c>
      <c r="CD154" s="59">
        <f ca="1">AVERAGE(OFFSET($CC$3,0,0,'Données projet'!$E$12+1,1))-AVERAGE(OFFSET($H$3,0,0,'Données projet'!$E$12+1,1))</f>
        <v>169.62156467157178</v>
      </c>
      <c r="CE154" s="59">
        <f t="shared" si="148"/>
        <v>85.631326020763254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4.6111381379887463E-14</v>
      </c>
      <c r="CV154" s="13">
        <f t="shared" ref="CV154:CV203" si="173">EXP(-1.0587+0.8836*LN(CU154)+0.284)</f>
        <v>7.5804141040779151E-13</v>
      </c>
      <c r="CW154" s="20">
        <f t="shared" ref="CW154:CW203" si="174">(CU154+CV154)*0.475*44/12</f>
        <v>1.4005661123635408E-12</v>
      </c>
      <c r="CX154" s="59">
        <f t="shared" si="122"/>
        <v>293.33333333333474</v>
      </c>
      <c r="CY154" s="59">
        <f ca="1">AVERAGE(OFFSET($CX$3,0,0,'Données projet'!$E$13+1,1))-AVERAGE(OFFSET($H$3,0,0,'Données projet'!$E$13+1,1))</f>
        <v>234.59657655504111</v>
      </c>
      <c r="CZ154" s="59">
        <f t="shared" si="150"/>
        <v>285.10598666479211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0.29700202917399987</v>
      </c>
      <c r="DH154" s="21">
        <f>EXP(-LN(2)/2)*DH153+(1-EXP(-LN(2)/2))/(LN(2)/2)*DB154*DE154*VLOOKUP('Données projet'!$B$13,Paramètres!$A$1:$I$89,3,0)*0.475*44/12</f>
        <v>6.7296673345417439E-18</v>
      </c>
      <c r="DI154" s="22">
        <f t="shared" ref="DI154:DI203" si="175">SUM(DF154:DH154)</f>
        <v>0.29700202917399987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1.1368683772161603E-13</v>
      </c>
      <c r="DP154" s="17">
        <f>DO154*VLOOKUP('Données projet'!$B$14,Paramètres!$A$1:$I$89,3,0)*VLOOKUP('Données projet'!$B$14,Paramètres!$A$1:$I$89,5,0)</f>
        <v>1.0995790944434703E-13</v>
      </c>
      <c r="DQ154" s="13">
        <f t="shared" ref="DQ154:DQ203" si="176">EXP(-1.0587+0.8836*LN(DP154)+0.284)</f>
        <v>1.6337280948049956E-12</v>
      </c>
      <c r="DR154" s="20">
        <f t="shared" ref="DR154:DR203" si="177">(DP154+DQ154)*0.475*44/12</f>
        <v>3.036919790734272E-12</v>
      </c>
      <c r="DS154" s="59">
        <f t="shared" si="125"/>
        <v>293.33333333333633</v>
      </c>
      <c r="DT154" s="59">
        <f ca="1">AVERAGE(OFFSET($DS$3,0,0,'Données projet'!$E$14+1,1))-AVERAGE(OFFSET($H$3,0,0,'Données projet'!$E$14+1,1))</f>
        <v>186.90852124957956</v>
      </c>
      <c r="DU154" s="59">
        <f t="shared" si="152"/>
        <v>93.013797128776446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1.1368683772161603E-13</v>
      </c>
      <c r="EK154" s="17">
        <f>EJ154*VLOOKUP('Données projet'!$B$15,Paramètres!$A$1:$I$89,3,0)*VLOOKUP('Données projet'!$B$15,Paramètres!$A$1:$I$89,5,0)</f>
        <v>1.223725121235475E-13</v>
      </c>
      <c r="EL154" s="13">
        <f t="shared" ref="EL154:EL203" si="179">EXP(-1.0587+0.8836*LN(EK154)+0.284)</f>
        <v>1.7956824466038182E-12</v>
      </c>
      <c r="EM154" s="20">
        <f t="shared" ref="EM154:EM203" si="180">(EK154+EL154)*0.475*44/12</f>
        <v>3.3406123864501612E-12</v>
      </c>
      <c r="EN154" s="59">
        <f t="shared" si="128"/>
        <v>293.33333333333667</v>
      </c>
      <c r="EO154" s="59">
        <f ca="1">AVERAGE(OFFSET($EN$3,0,0,'Données projet'!$E$15+1,1))-AVERAGE(OFFSET($H$3,0,0,'Données projet'!$E$15+1,1))</f>
        <v>217.10418688911096</v>
      </c>
      <c r="EP154" s="59">
        <f t="shared" si="154"/>
        <v>105.90631421515786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145.19188637714888</v>
      </c>
      <c r="T155" s="59">
        <f t="shared" si="142"/>
        <v>169.74069292032493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0.19748731465542516</v>
      </c>
      <c r="AA155" s="21">
        <f>EXP(-LN(2)/25)*AA154+(1-EXP(-LN(2)/25))/(LN(2)/25)*Calculateur!V155*Calculateur!X155*VLOOKUP('Données projet'!$B$9,Paramètres!$A$1:$I$89,3,0)*0.475*44/12</f>
        <v>0.29394782945246239</v>
      </c>
      <c r="AB155" s="21">
        <f>EXP(-LN(2)/2)*AB154+(1-EXP(-LN(2)/2))/(LN(2)/2)*V155*Y155*VLOOKUP('Données projet'!$B$9,Paramètres!$A$1:$I$89,3,0)*0.475*44/12</f>
        <v>1.7544657613340672E-18</v>
      </c>
      <c r="AC155" s="22">
        <f t="shared" si="163"/>
        <v>0.49143514410788758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-2.8421709430404007E-14</v>
      </c>
      <c r="AJ155" s="13">
        <f>AI155*VLOOKUP('Données projet'!$B$10,Paramètres!$A$1:$I$89,3,0)*VLOOKUP('Données projet'!$B$10,Paramètres!$A$1:$I$89,5,0)</f>
        <v>-2.4829205358400945E-14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254.24072778190163</v>
      </c>
      <c r="AO155" s="59">
        <f t="shared" si="144"/>
        <v>356.78706780980383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0.27431866258323495</v>
      </c>
      <c r="AV155" s="21">
        <f>EXP(-LN(2)/25)*AV154+(1-EXP(-LN(2)/25))/(LN(2)/25)*Calculateur!AQ155*Calculateur!AS155*VLOOKUP('Données projet'!$B$10,Paramètres!$A$1:$I$89,3,0)*0.475*44/12</f>
        <v>0.60084228153440022</v>
      </c>
      <c r="AW155" s="21">
        <f>EXP(-LN(2)/2)*AW154+(1-EXP(-LN(2)/2))/(LN(2)/2)*AQ155*AT155*VLOOKUP('Données projet'!$B$10,Paramètres!$A$1:$I$89,3,0)*0.475*44/12</f>
        <v>1.2043320684973454E-17</v>
      </c>
      <c r="AX155" s="21">
        <f t="shared" si="166"/>
        <v>0.87516094411763512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-4.5474735088646412E-13</v>
      </c>
      <c r="BE155" s="13">
        <f>BD155*VLOOKUP('Données projet'!$B$11,Paramètres!$A$1:$I$89,3,0)*VLOOKUP('Données projet'!$B$11,Paramètres!$A$1:$I$89,5,0)</f>
        <v>-2.7193891583010558E-13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246.59447135626942</v>
      </c>
      <c r="BJ155" s="59">
        <f t="shared" si="146"/>
        <v>262.00382544285367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0.4363669581119084</v>
      </c>
      <c r="BR155" s="21">
        <f>EXP(-LN(2)/2)*BR154+(1-EXP(-LN(2)/2))/(LN(2)/2)*BL155*BO155*VLOOKUP('Données projet'!$B$11,Paramètres!$A$1:$I$89,3,0)*0.475*44/12</f>
        <v>1.0290969410753954E-17</v>
      </c>
      <c r="BS155" s="22">
        <f t="shared" si="169"/>
        <v>0.4363669581119084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1.0286385077051818E-13</v>
      </c>
      <c r="CA155" s="13">
        <f t="shared" si="170"/>
        <v>1.5402366592183556E-12</v>
      </c>
      <c r="CB155" s="20">
        <f t="shared" si="171"/>
        <v>2.8617333882306215E-12</v>
      </c>
      <c r="CC155" s="59">
        <f t="shared" si="119"/>
        <v>293.33333333333616</v>
      </c>
      <c r="CD155" s="59">
        <f ca="1">AVERAGE(OFFSET($CC$3,0,0,'Données projet'!$E$12+1,1))-AVERAGE(OFFSET($H$3,0,0,'Données projet'!$E$12+1,1))</f>
        <v>169.62156467157178</v>
      </c>
      <c r="CE155" s="59">
        <f t="shared" si="148"/>
        <v>85.631326020763254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4.6111381379887463E-14</v>
      </c>
      <c r="CV155" s="13">
        <f t="shared" si="173"/>
        <v>7.5804141040779151E-13</v>
      </c>
      <c r="CW155" s="20">
        <f t="shared" si="174"/>
        <v>1.4005661123635408E-12</v>
      </c>
      <c r="CX155" s="59">
        <f t="shared" si="122"/>
        <v>293.33333333333474</v>
      </c>
      <c r="CY155" s="59">
        <f ca="1">AVERAGE(OFFSET($CX$3,0,0,'Données projet'!$E$13+1,1))-AVERAGE(OFFSET($H$3,0,0,'Données projet'!$E$13+1,1))</f>
        <v>234.59657655504111</v>
      </c>
      <c r="CZ155" s="59">
        <f t="shared" si="150"/>
        <v>285.10598666479211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0.28888049306757896</v>
      </c>
      <c r="DH155" s="21">
        <f>EXP(-LN(2)/2)*DH154+(1-EXP(-LN(2)/2))/(LN(2)/2)*DB155*DE155*VLOOKUP('Données projet'!$B$13,Paramètres!$A$1:$I$89,3,0)*0.475*44/12</f>
        <v>4.7585934073840654E-18</v>
      </c>
      <c r="DI155" s="22">
        <f t="shared" si="175"/>
        <v>0.28888049306757896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1.1368683772161603E-13</v>
      </c>
      <c r="DP155" s="17">
        <f>DO155*VLOOKUP('Données projet'!$B$14,Paramètres!$A$1:$I$89,3,0)*VLOOKUP('Données projet'!$B$14,Paramètres!$A$1:$I$89,5,0)</f>
        <v>1.0995790944434703E-13</v>
      </c>
      <c r="DQ155" s="13">
        <f t="shared" si="176"/>
        <v>1.6337280948049956E-12</v>
      </c>
      <c r="DR155" s="20">
        <f t="shared" si="177"/>
        <v>3.036919790734272E-12</v>
      </c>
      <c r="DS155" s="59">
        <f t="shared" si="125"/>
        <v>293.33333333333633</v>
      </c>
      <c r="DT155" s="59">
        <f ca="1">AVERAGE(OFFSET($DS$3,0,0,'Données projet'!$E$14+1,1))-AVERAGE(OFFSET($H$3,0,0,'Données projet'!$E$14+1,1))</f>
        <v>186.90852124957956</v>
      </c>
      <c r="DU155" s="59">
        <f t="shared" si="152"/>
        <v>93.013797128776446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1.1368683772161603E-13</v>
      </c>
      <c r="EK155" s="17">
        <f>EJ155*VLOOKUP('Données projet'!$B$15,Paramètres!$A$1:$I$89,3,0)*VLOOKUP('Données projet'!$B$15,Paramètres!$A$1:$I$89,5,0)</f>
        <v>1.223725121235475E-13</v>
      </c>
      <c r="EL155" s="13">
        <f t="shared" si="179"/>
        <v>1.7956824466038182E-12</v>
      </c>
      <c r="EM155" s="20">
        <f t="shared" si="180"/>
        <v>3.3406123864501612E-12</v>
      </c>
      <c r="EN155" s="59">
        <f t="shared" si="128"/>
        <v>293.33333333333667</v>
      </c>
      <c r="EO155" s="59">
        <f ca="1">AVERAGE(OFFSET($EN$3,0,0,'Données projet'!$E$15+1,1))-AVERAGE(OFFSET($H$3,0,0,'Données projet'!$E$15+1,1))</f>
        <v>217.10418688911096</v>
      </c>
      <c r="EP155" s="59">
        <f t="shared" si="154"/>
        <v>105.90631421515786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145.19188637714888</v>
      </c>
      <c r="T156" s="59">
        <f t="shared" si="142"/>
        <v>169.74069292032493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0.19361470887040022</v>
      </c>
      <c r="AA156" s="21">
        <f>EXP(-LN(2)/25)*AA155+(1-EXP(-LN(2)/25))/(LN(2)/25)*Calculateur!V156*Calculateur!X156*VLOOKUP('Données projet'!$B$9,Paramètres!$A$1:$I$89,3,0)*0.475*44/12</f>
        <v>0.28590981059804027</v>
      </c>
      <c r="AB156" s="21">
        <f>EXP(-LN(2)/2)*AB155+(1-EXP(-LN(2)/2))/(LN(2)/2)*V156*Y156*VLOOKUP('Données projet'!$B$9,Paramètres!$A$1:$I$89,3,0)*0.475*44/12</f>
        <v>1.2405946371989378E-18</v>
      </c>
      <c r="AC156" s="22">
        <f t="shared" si="163"/>
        <v>0.47952451946844049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-2.8421709430404007E-14</v>
      </c>
      <c r="AJ156" s="13">
        <f>AI156*VLOOKUP('Données projet'!$B$10,Paramètres!$A$1:$I$89,3,0)*VLOOKUP('Données projet'!$B$10,Paramètres!$A$1:$I$89,5,0)</f>
        <v>-2.4829205358400945E-14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254.24072778190163</v>
      </c>
      <c r="AO156" s="59">
        <f t="shared" si="144"/>
        <v>356.78706780980383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0.26893944092784061</v>
      </c>
      <c r="AV156" s="21">
        <f>EXP(-LN(2)/25)*AV155+(1-EXP(-LN(2)/25))/(LN(2)/25)*Calculateur!AQ156*Calculateur!AS156*VLOOKUP('Données projet'!$B$10,Paramètres!$A$1:$I$89,3,0)*0.475*44/12</f>
        <v>0.58441221774891972</v>
      </c>
      <c r="AW156" s="21">
        <f>EXP(-LN(2)/2)*AW155+(1-EXP(-LN(2)/2))/(LN(2)/2)*AQ156*AT156*VLOOKUP('Données projet'!$B$10,Paramètres!$A$1:$I$89,3,0)*0.475*44/12</f>
        <v>8.5159137243489459E-18</v>
      </c>
      <c r="AX156" s="21">
        <f t="shared" si="166"/>
        <v>0.85335165867676033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-4.5474735088646412E-13</v>
      </c>
      <c r="BE156" s="13">
        <f>BD156*VLOOKUP('Données projet'!$B$11,Paramètres!$A$1:$I$89,3,0)*VLOOKUP('Données projet'!$B$11,Paramètres!$A$1:$I$89,5,0)</f>
        <v>-2.7193891583010558E-13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246.59447135626942</v>
      </c>
      <c r="BJ156" s="59">
        <f t="shared" si="146"/>
        <v>262.00382544285367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0.42443448069479728</v>
      </c>
      <c r="BR156" s="21">
        <f>EXP(-LN(2)/2)*BR155+(1-EXP(-LN(2)/2))/(LN(2)/2)*BL156*BO156*VLOOKUP('Données projet'!$B$11,Paramètres!$A$1:$I$89,3,0)*0.475*44/12</f>
        <v>7.2768142553274497E-18</v>
      </c>
      <c r="BS156" s="22">
        <f t="shared" si="169"/>
        <v>0.42443448069479728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1.0286385077051818E-13</v>
      </c>
      <c r="CA156" s="13">
        <f t="shared" si="170"/>
        <v>1.5402366592183556E-12</v>
      </c>
      <c r="CB156" s="20">
        <f t="shared" si="171"/>
        <v>2.8617333882306215E-12</v>
      </c>
      <c r="CC156" s="59">
        <f t="shared" si="119"/>
        <v>293.33333333333616</v>
      </c>
      <c r="CD156" s="59">
        <f ca="1">AVERAGE(OFFSET($CC$3,0,0,'Données projet'!$E$12+1,1))-AVERAGE(OFFSET($H$3,0,0,'Données projet'!$E$12+1,1))</f>
        <v>169.62156467157178</v>
      </c>
      <c r="CE156" s="59">
        <f t="shared" si="148"/>
        <v>85.631326020763254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4.6111381379887463E-14</v>
      </c>
      <c r="CV156" s="13">
        <f t="shared" si="173"/>
        <v>7.5804141040779151E-13</v>
      </c>
      <c r="CW156" s="20">
        <f t="shared" si="174"/>
        <v>1.4005661123635408E-12</v>
      </c>
      <c r="CX156" s="59">
        <f t="shared" si="122"/>
        <v>293.33333333333474</v>
      </c>
      <c r="CY156" s="59">
        <f ca="1">AVERAGE(OFFSET($CX$3,0,0,'Données projet'!$E$13+1,1))-AVERAGE(OFFSET($H$3,0,0,'Données projet'!$E$13+1,1))</f>
        <v>234.59657655504111</v>
      </c>
      <c r="CZ156" s="59">
        <f t="shared" si="150"/>
        <v>285.10598666479211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0.28098104079308112</v>
      </c>
      <c r="DH156" s="21">
        <f>EXP(-LN(2)/2)*DH155+(1-EXP(-LN(2)/2))/(LN(2)/2)*DB156*DE156*VLOOKUP('Données projet'!$B$13,Paramètres!$A$1:$I$89,3,0)*0.475*44/12</f>
        <v>3.364833667270872E-18</v>
      </c>
      <c r="DI156" s="22">
        <f t="shared" si="175"/>
        <v>0.28098104079308112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1.1368683772161603E-13</v>
      </c>
      <c r="DP156" s="17">
        <f>DO156*VLOOKUP('Données projet'!$B$14,Paramètres!$A$1:$I$89,3,0)*VLOOKUP('Données projet'!$B$14,Paramètres!$A$1:$I$89,5,0)</f>
        <v>1.0995790944434703E-13</v>
      </c>
      <c r="DQ156" s="13">
        <f t="shared" si="176"/>
        <v>1.6337280948049956E-12</v>
      </c>
      <c r="DR156" s="20">
        <f t="shared" si="177"/>
        <v>3.036919790734272E-12</v>
      </c>
      <c r="DS156" s="59">
        <f t="shared" si="125"/>
        <v>293.33333333333633</v>
      </c>
      <c r="DT156" s="59">
        <f ca="1">AVERAGE(OFFSET($DS$3,0,0,'Données projet'!$E$14+1,1))-AVERAGE(OFFSET($H$3,0,0,'Données projet'!$E$14+1,1))</f>
        <v>186.90852124957956</v>
      </c>
      <c r="DU156" s="59">
        <f t="shared" si="152"/>
        <v>93.013797128776446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1.1368683772161603E-13</v>
      </c>
      <c r="EK156" s="17">
        <f>EJ156*VLOOKUP('Données projet'!$B$15,Paramètres!$A$1:$I$89,3,0)*VLOOKUP('Données projet'!$B$15,Paramètres!$A$1:$I$89,5,0)</f>
        <v>1.223725121235475E-13</v>
      </c>
      <c r="EL156" s="13">
        <f t="shared" si="179"/>
        <v>1.7956824466038182E-12</v>
      </c>
      <c r="EM156" s="20">
        <f t="shared" si="180"/>
        <v>3.3406123864501612E-12</v>
      </c>
      <c r="EN156" s="59">
        <f t="shared" si="128"/>
        <v>293.33333333333667</v>
      </c>
      <c r="EO156" s="59">
        <f ca="1">AVERAGE(OFFSET($EN$3,0,0,'Données projet'!$E$15+1,1))-AVERAGE(OFFSET($H$3,0,0,'Données projet'!$E$15+1,1))</f>
        <v>217.10418688911096</v>
      </c>
      <c r="EP156" s="59">
        <f t="shared" si="154"/>
        <v>105.90631421515786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145.19188637714888</v>
      </c>
      <c r="T157" s="59">
        <f t="shared" si="142"/>
        <v>169.74069292032493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0.18981804252276333</v>
      </c>
      <c r="AA157" s="21">
        <f>EXP(-LN(2)/25)*AA156+(1-EXP(-LN(2)/25))/(LN(2)/25)*Calculateur!V157*Calculateur!X157*VLOOKUP('Données projet'!$B$9,Paramètres!$A$1:$I$89,3,0)*0.475*44/12</f>
        <v>0.27809159179189336</v>
      </c>
      <c r="AB157" s="21">
        <f>EXP(-LN(2)/2)*AB156+(1-EXP(-LN(2)/2))/(LN(2)/2)*V157*Y157*VLOOKUP('Données projet'!$B$9,Paramètres!$A$1:$I$89,3,0)*0.475*44/12</f>
        <v>8.7723288066703362E-19</v>
      </c>
      <c r="AC157" s="22">
        <f t="shared" si="163"/>
        <v>0.46790963431465671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-2.8421709430404007E-14</v>
      </c>
      <c r="AJ157" s="13">
        <f>AI157*VLOOKUP('Données projet'!$B$10,Paramètres!$A$1:$I$89,3,0)*VLOOKUP('Données projet'!$B$10,Paramètres!$A$1:$I$89,5,0)</f>
        <v>-2.4829205358400945E-14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254.24072778190163</v>
      </c>
      <c r="AO157" s="59">
        <f t="shared" si="144"/>
        <v>356.78706780980383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0.26366570252810734</v>
      </c>
      <c r="AV157" s="21">
        <f>EXP(-LN(2)/25)*AV156+(1-EXP(-LN(2)/25))/(LN(2)/25)*Calculateur!AQ157*Calculateur!AS157*VLOOKUP('Données projet'!$B$10,Paramètres!$A$1:$I$89,3,0)*0.475*44/12</f>
        <v>0.5684314349216727</v>
      </c>
      <c r="AW157" s="21">
        <f>EXP(-LN(2)/2)*AW156+(1-EXP(-LN(2)/2))/(LN(2)/2)*AQ157*AT157*VLOOKUP('Données projet'!$B$10,Paramètres!$A$1:$I$89,3,0)*0.475*44/12</f>
        <v>6.0216603424867272E-18</v>
      </c>
      <c r="AX157" s="21">
        <f t="shared" si="166"/>
        <v>0.83209713744978009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-4.5474735088646412E-13</v>
      </c>
      <c r="BE157" s="13">
        <f>BD157*VLOOKUP('Données projet'!$B$11,Paramètres!$A$1:$I$89,3,0)*VLOOKUP('Données projet'!$B$11,Paramètres!$A$1:$I$89,5,0)</f>
        <v>-2.7193891583010558E-13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246.59447135626942</v>
      </c>
      <c r="BJ157" s="59">
        <f t="shared" si="146"/>
        <v>262.00382544285367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0.41282829750015876</v>
      </c>
      <c r="BR157" s="21">
        <f>EXP(-LN(2)/2)*BR156+(1-EXP(-LN(2)/2))/(LN(2)/2)*BL157*BO157*VLOOKUP('Données projet'!$B$11,Paramètres!$A$1:$I$89,3,0)*0.475*44/12</f>
        <v>5.1454847053769769E-18</v>
      </c>
      <c r="BS157" s="22">
        <f t="shared" si="169"/>
        <v>0.41282829750015876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1.0286385077051818E-13</v>
      </c>
      <c r="CA157" s="13">
        <f t="shared" si="170"/>
        <v>1.5402366592183556E-12</v>
      </c>
      <c r="CB157" s="20">
        <f t="shared" si="171"/>
        <v>2.8617333882306215E-12</v>
      </c>
      <c r="CC157" s="59">
        <f t="shared" si="119"/>
        <v>293.33333333333616</v>
      </c>
      <c r="CD157" s="59">
        <f ca="1">AVERAGE(OFFSET($CC$3,0,0,'Données projet'!$E$12+1,1))-AVERAGE(OFFSET($H$3,0,0,'Données projet'!$E$12+1,1))</f>
        <v>169.62156467157178</v>
      </c>
      <c r="CE157" s="59">
        <f t="shared" si="148"/>
        <v>85.631326020763254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4.6111381379887463E-14</v>
      </c>
      <c r="CV157" s="13">
        <f t="shared" si="173"/>
        <v>7.5804141040779151E-13</v>
      </c>
      <c r="CW157" s="20">
        <f t="shared" si="174"/>
        <v>1.4005661123635408E-12</v>
      </c>
      <c r="CX157" s="59">
        <f t="shared" si="122"/>
        <v>293.33333333333474</v>
      </c>
      <c r="CY157" s="59">
        <f ca="1">AVERAGE(OFFSET($CX$3,0,0,'Données projet'!$E$13+1,1))-AVERAGE(OFFSET($H$3,0,0,'Données projet'!$E$13+1,1))</f>
        <v>234.59657655504111</v>
      </c>
      <c r="CZ157" s="59">
        <f t="shared" si="150"/>
        <v>285.10598666479211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0.27329759945644355</v>
      </c>
      <c r="DH157" s="21">
        <f>EXP(-LN(2)/2)*DH156+(1-EXP(-LN(2)/2))/(LN(2)/2)*DB157*DE157*VLOOKUP('Données projet'!$B$13,Paramètres!$A$1:$I$89,3,0)*0.475*44/12</f>
        <v>2.3792967036920327E-18</v>
      </c>
      <c r="DI157" s="22">
        <f t="shared" si="175"/>
        <v>0.27329759945644355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1.1368683772161603E-13</v>
      </c>
      <c r="DP157" s="17">
        <f>DO157*VLOOKUP('Données projet'!$B$14,Paramètres!$A$1:$I$89,3,0)*VLOOKUP('Données projet'!$B$14,Paramètres!$A$1:$I$89,5,0)</f>
        <v>1.0995790944434703E-13</v>
      </c>
      <c r="DQ157" s="13">
        <f t="shared" si="176"/>
        <v>1.6337280948049956E-12</v>
      </c>
      <c r="DR157" s="20">
        <f t="shared" si="177"/>
        <v>3.036919790734272E-12</v>
      </c>
      <c r="DS157" s="59">
        <f t="shared" si="125"/>
        <v>293.33333333333633</v>
      </c>
      <c r="DT157" s="59">
        <f ca="1">AVERAGE(OFFSET($DS$3,0,0,'Données projet'!$E$14+1,1))-AVERAGE(OFFSET($H$3,0,0,'Données projet'!$E$14+1,1))</f>
        <v>186.90852124957956</v>
      </c>
      <c r="DU157" s="59">
        <f t="shared" si="152"/>
        <v>93.013797128776446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1.1368683772161603E-13</v>
      </c>
      <c r="EK157" s="17">
        <f>EJ157*VLOOKUP('Données projet'!$B$15,Paramètres!$A$1:$I$89,3,0)*VLOOKUP('Données projet'!$B$15,Paramètres!$A$1:$I$89,5,0)</f>
        <v>1.223725121235475E-13</v>
      </c>
      <c r="EL157" s="13">
        <f t="shared" si="179"/>
        <v>1.7956824466038182E-12</v>
      </c>
      <c r="EM157" s="20">
        <f t="shared" si="180"/>
        <v>3.3406123864501612E-12</v>
      </c>
      <c r="EN157" s="59">
        <f t="shared" si="128"/>
        <v>293.33333333333667</v>
      </c>
      <c r="EO157" s="59">
        <f ca="1">AVERAGE(OFFSET($EN$3,0,0,'Données projet'!$E$15+1,1))-AVERAGE(OFFSET($H$3,0,0,'Données projet'!$E$15+1,1))</f>
        <v>217.10418688911096</v>
      </c>
      <c r="EP157" s="59">
        <f t="shared" si="154"/>
        <v>105.90631421515786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145.19188637714888</v>
      </c>
      <c r="T158" s="59">
        <f t="shared" si="142"/>
        <v>169.74069292032493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0.18609582648646578</v>
      </c>
      <c r="AA158" s="21">
        <f>EXP(-LN(2)/25)*AA157+(1-EXP(-LN(2)/25))/(LN(2)/25)*Calculateur!V158*Calculateur!X158*VLOOKUP('Données projet'!$B$9,Paramètres!$A$1:$I$89,3,0)*0.475*44/12</f>
        <v>0.27048716259014283</v>
      </c>
      <c r="AB158" s="21">
        <f>EXP(-LN(2)/2)*AB157+(1-EXP(-LN(2)/2))/(LN(2)/2)*V158*Y158*VLOOKUP('Données projet'!$B$9,Paramètres!$A$1:$I$89,3,0)*0.475*44/12</f>
        <v>6.2029731859946891E-19</v>
      </c>
      <c r="AC158" s="22">
        <f t="shared" si="163"/>
        <v>0.4565829890766086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-2.8421709430404007E-14</v>
      </c>
      <c r="AJ158" s="13">
        <f>AI158*VLOOKUP('Données projet'!$B$10,Paramètres!$A$1:$I$89,3,0)*VLOOKUP('Données projet'!$B$10,Paramètres!$A$1:$I$89,5,0)</f>
        <v>-2.4829205358400945E-14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254.24072778190163</v>
      </c>
      <c r="AO158" s="59">
        <f t="shared" si="144"/>
        <v>356.78706780980383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0.25849537892173002</v>
      </c>
      <c r="AV158" s="21">
        <f>EXP(-LN(2)/25)*AV157+(1-EXP(-LN(2)/25))/(LN(2)/25)*Calculateur!AQ158*Calculateur!AS158*VLOOKUP('Données projet'!$B$10,Paramètres!$A$1:$I$89,3,0)*0.475*44/12</f>
        <v>0.55288764744122953</v>
      </c>
      <c r="AW158" s="21">
        <f>EXP(-LN(2)/2)*AW157+(1-EXP(-LN(2)/2))/(LN(2)/2)*AQ158*AT158*VLOOKUP('Données projet'!$B$10,Paramètres!$A$1:$I$89,3,0)*0.475*44/12</f>
        <v>4.257956862174473E-18</v>
      </c>
      <c r="AX158" s="21">
        <f t="shared" si="166"/>
        <v>0.81138302636295956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-4.5474735088646412E-13</v>
      </c>
      <c r="BE158" s="13">
        <f>BD158*VLOOKUP('Données projet'!$B$11,Paramètres!$A$1:$I$89,3,0)*VLOOKUP('Données projet'!$B$11,Paramètres!$A$1:$I$89,5,0)</f>
        <v>-2.7193891583010558E-13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246.59447135626942</v>
      </c>
      <c r="BJ158" s="59">
        <f t="shared" si="146"/>
        <v>262.00382544285367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0.4015394859953203</v>
      </c>
      <c r="BR158" s="21">
        <f>EXP(-LN(2)/2)*BR157+(1-EXP(-LN(2)/2))/(LN(2)/2)*BL158*BO158*VLOOKUP('Données projet'!$B$11,Paramètres!$A$1:$I$89,3,0)*0.475*44/12</f>
        <v>3.6384071276637248E-18</v>
      </c>
      <c r="BS158" s="22">
        <f t="shared" si="169"/>
        <v>0.4015394859953203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1.0286385077051818E-13</v>
      </c>
      <c r="CA158" s="13">
        <f t="shared" si="170"/>
        <v>1.5402366592183556E-12</v>
      </c>
      <c r="CB158" s="20">
        <f t="shared" si="171"/>
        <v>2.8617333882306215E-12</v>
      </c>
      <c r="CC158" s="59">
        <f t="shared" si="119"/>
        <v>293.33333333333616</v>
      </c>
      <c r="CD158" s="59">
        <f ca="1">AVERAGE(OFFSET($CC$3,0,0,'Données projet'!$E$12+1,1))-AVERAGE(OFFSET($H$3,0,0,'Données projet'!$E$12+1,1))</f>
        <v>169.62156467157178</v>
      </c>
      <c r="CE158" s="59">
        <f t="shared" si="148"/>
        <v>85.631326020763254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4.6111381379887463E-14</v>
      </c>
      <c r="CV158" s="13">
        <f t="shared" si="173"/>
        <v>7.5804141040779151E-13</v>
      </c>
      <c r="CW158" s="20">
        <f t="shared" si="174"/>
        <v>1.4005661123635408E-12</v>
      </c>
      <c r="CX158" s="59">
        <f t="shared" si="122"/>
        <v>293.33333333333474</v>
      </c>
      <c r="CY158" s="59">
        <f ca="1">AVERAGE(OFFSET($CX$3,0,0,'Données projet'!$E$13+1,1))-AVERAGE(OFFSET($H$3,0,0,'Données projet'!$E$13+1,1))</f>
        <v>234.59657655504111</v>
      </c>
      <c r="CZ158" s="59">
        <f t="shared" si="150"/>
        <v>285.10598666479211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0.26582426222721095</v>
      </c>
      <c r="DH158" s="21">
        <f>EXP(-LN(2)/2)*DH157+(1-EXP(-LN(2)/2))/(LN(2)/2)*DB158*DE158*VLOOKUP('Données projet'!$B$13,Paramètres!$A$1:$I$89,3,0)*0.475*44/12</f>
        <v>1.682416833635436E-18</v>
      </c>
      <c r="DI158" s="22">
        <f t="shared" si="175"/>
        <v>0.26582426222721095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1.1368683772161603E-13</v>
      </c>
      <c r="DP158" s="17">
        <f>DO158*VLOOKUP('Données projet'!$B$14,Paramètres!$A$1:$I$89,3,0)*VLOOKUP('Données projet'!$B$14,Paramètres!$A$1:$I$89,5,0)</f>
        <v>1.0995790944434703E-13</v>
      </c>
      <c r="DQ158" s="13">
        <f t="shared" si="176"/>
        <v>1.6337280948049956E-12</v>
      </c>
      <c r="DR158" s="20">
        <f t="shared" si="177"/>
        <v>3.036919790734272E-12</v>
      </c>
      <c r="DS158" s="59">
        <f t="shared" si="125"/>
        <v>293.33333333333633</v>
      </c>
      <c r="DT158" s="59">
        <f ca="1">AVERAGE(OFFSET($DS$3,0,0,'Données projet'!$E$14+1,1))-AVERAGE(OFFSET($H$3,0,0,'Données projet'!$E$14+1,1))</f>
        <v>186.90852124957956</v>
      </c>
      <c r="DU158" s="59">
        <f t="shared" si="152"/>
        <v>93.013797128776446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1.1368683772161603E-13</v>
      </c>
      <c r="EK158" s="17">
        <f>EJ158*VLOOKUP('Données projet'!$B$15,Paramètres!$A$1:$I$89,3,0)*VLOOKUP('Données projet'!$B$15,Paramètres!$A$1:$I$89,5,0)</f>
        <v>1.223725121235475E-13</v>
      </c>
      <c r="EL158" s="13">
        <f t="shared" si="179"/>
        <v>1.7956824466038182E-12</v>
      </c>
      <c r="EM158" s="20">
        <f t="shared" si="180"/>
        <v>3.3406123864501612E-12</v>
      </c>
      <c r="EN158" s="59">
        <f t="shared" si="128"/>
        <v>293.33333333333667</v>
      </c>
      <c r="EO158" s="59">
        <f ca="1">AVERAGE(OFFSET($EN$3,0,0,'Données projet'!$E$15+1,1))-AVERAGE(OFFSET($H$3,0,0,'Données projet'!$E$15+1,1))</f>
        <v>217.10418688911096</v>
      </c>
      <c r="EP158" s="59">
        <f t="shared" si="154"/>
        <v>105.90631421515786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145.19188637714888</v>
      </c>
      <c r="T159" s="59">
        <f t="shared" si="142"/>
        <v>169.74069292032493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0.18244660083631242</v>
      </c>
      <c r="AA159" s="21">
        <f>EXP(-LN(2)/25)*AA158+(1-EXP(-LN(2)/25))/(LN(2)/25)*Calculateur!V159*Calculateur!X159*VLOOKUP('Données projet'!$B$9,Paramètres!$A$1:$I$89,3,0)*0.475*44/12</f>
        <v>0.26309067690481369</v>
      </c>
      <c r="AB159" s="21">
        <f>EXP(-LN(2)/2)*AB158+(1-EXP(-LN(2)/2))/(LN(2)/2)*V159*Y159*VLOOKUP('Données projet'!$B$9,Paramètres!$A$1:$I$89,3,0)*0.475*44/12</f>
        <v>4.3861644033351681E-19</v>
      </c>
      <c r="AC159" s="22">
        <f t="shared" si="163"/>
        <v>0.44553727774112611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-2.8421709430404007E-14</v>
      </c>
      <c r="AJ159" s="13">
        <f>AI159*VLOOKUP('Données projet'!$B$10,Paramètres!$A$1:$I$89,3,0)*VLOOKUP('Données projet'!$B$10,Paramètres!$A$1:$I$89,5,0)</f>
        <v>-2.4829205358400945E-14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254.24072778190163</v>
      </c>
      <c r="AO159" s="59">
        <f t="shared" si="144"/>
        <v>356.78706780980383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0.25342644220768773</v>
      </c>
      <c r="AV159" s="21">
        <f>EXP(-LN(2)/25)*AV158+(1-EXP(-LN(2)/25))/(LN(2)/25)*Calculateur!AQ159*Calculateur!AS159*VLOOKUP('Données projet'!$B$10,Paramètres!$A$1:$I$89,3,0)*0.475*44/12</f>
        <v>0.53776890564685143</v>
      </c>
      <c r="AW159" s="21">
        <f>EXP(-LN(2)/2)*AW158+(1-EXP(-LN(2)/2))/(LN(2)/2)*AQ159*AT159*VLOOKUP('Données projet'!$B$10,Paramètres!$A$1:$I$89,3,0)*0.475*44/12</f>
        <v>3.0108301712433636E-18</v>
      </c>
      <c r="AX159" s="21">
        <f t="shared" si="166"/>
        <v>0.79119534785453915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-4.5474735088646412E-13</v>
      </c>
      <c r="BE159" s="13">
        <f>BD159*VLOOKUP('Données projet'!$B$11,Paramètres!$A$1:$I$89,3,0)*VLOOKUP('Données projet'!$B$11,Paramètres!$A$1:$I$89,5,0)</f>
        <v>-2.7193891583010558E-13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246.59447135626942</v>
      </c>
      <c r="BJ159" s="59">
        <f t="shared" si="146"/>
        <v>262.00382544285367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0.39055936763473442</v>
      </c>
      <c r="BR159" s="21">
        <f>EXP(-LN(2)/2)*BR158+(1-EXP(-LN(2)/2))/(LN(2)/2)*BL159*BO159*VLOOKUP('Données projet'!$B$11,Paramètres!$A$1:$I$89,3,0)*0.475*44/12</f>
        <v>2.5727423526884884E-18</v>
      </c>
      <c r="BS159" s="22">
        <f t="shared" si="169"/>
        <v>0.39055936763473442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1.0286385077051818E-13</v>
      </c>
      <c r="CA159" s="13">
        <f t="shared" si="170"/>
        <v>1.5402366592183556E-12</v>
      </c>
      <c r="CB159" s="20">
        <f t="shared" si="171"/>
        <v>2.8617333882306215E-12</v>
      </c>
      <c r="CC159" s="59">
        <f t="shared" si="119"/>
        <v>293.33333333333616</v>
      </c>
      <c r="CD159" s="59">
        <f ca="1">AVERAGE(OFFSET($CC$3,0,0,'Données projet'!$E$12+1,1))-AVERAGE(OFFSET($H$3,0,0,'Données projet'!$E$12+1,1))</f>
        <v>169.62156467157178</v>
      </c>
      <c r="CE159" s="59">
        <f t="shared" si="148"/>
        <v>85.631326020763254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4.6111381379887463E-14</v>
      </c>
      <c r="CV159" s="13">
        <f t="shared" si="173"/>
        <v>7.5804141040779151E-13</v>
      </c>
      <c r="CW159" s="20">
        <f t="shared" si="174"/>
        <v>1.4005661123635408E-12</v>
      </c>
      <c r="CX159" s="59">
        <f t="shared" si="122"/>
        <v>293.33333333333474</v>
      </c>
      <c r="CY159" s="59">
        <f ca="1">AVERAGE(OFFSET($CX$3,0,0,'Données projet'!$E$13+1,1))-AVERAGE(OFFSET($H$3,0,0,'Données projet'!$E$13+1,1))</f>
        <v>234.59657655504111</v>
      </c>
      <c r="CZ159" s="59">
        <f t="shared" si="150"/>
        <v>285.10598666479211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0.25855528379751747</v>
      </c>
      <c r="DH159" s="21">
        <f>EXP(-LN(2)/2)*DH158+(1-EXP(-LN(2)/2))/(LN(2)/2)*DB159*DE159*VLOOKUP('Données projet'!$B$13,Paramètres!$A$1:$I$89,3,0)*0.475*44/12</f>
        <v>1.1896483518460163E-18</v>
      </c>
      <c r="DI159" s="22">
        <f t="shared" si="175"/>
        <v>0.25855528379751747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1.1368683772161603E-13</v>
      </c>
      <c r="DP159" s="17">
        <f>DO159*VLOOKUP('Données projet'!$B$14,Paramètres!$A$1:$I$89,3,0)*VLOOKUP('Données projet'!$B$14,Paramètres!$A$1:$I$89,5,0)</f>
        <v>1.0995790944434703E-13</v>
      </c>
      <c r="DQ159" s="13">
        <f t="shared" si="176"/>
        <v>1.6337280948049956E-12</v>
      </c>
      <c r="DR159" s="20">
        <f t="shared" si="177"/>
        <v>3.036919790734272E-12</v>
      </c>
      <c r="DS159" s="59">
        <f t="shared" si="125"/>
        <v>293.33333333333633</v>
      </c>
      <c r="DT159" s="59">
        <f ca="1">AVERAGE(OFFSET($DS$3,0,0,'Données projet'!$E$14+1,1))-AVERAGE(OFFSET($H$3,0,0,'Données projet'!$E$14+1,1))</f>
        <v>186.90852124957956</v>
      </c>
      <c r="DU159" s="59">
        <f t="shared" si="152"/>
        <v>93.013797128776446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1.1368683772161603E-13</v>
      </c>
      <c r="EK159" s="17">
        <f>EJ159*VLOOKUP('Données projet'!$B$15,Paramètres!$A$1:$I$89,3,0)*VLOOKUP('Données projet'!$B$15,Paramètres!$A$1:$I$89,5,0)</f>
        <v>1.223725121235475E-13</v>
      </c>
      <c r="EL159" s="13">
        <f t="shared" si="179"/>
        <v>1.7956824466038182E-12</v>
      </c>
      <c r="EM159" s="20">
        <f t="shared" si="180"/>
        <v>3.3406123864501612E-12</v>
      </c>
      <c r="EN159" s="59">
        <f t="shared" si="128"/>
        <v>293.33333333333667</v>
      </c>
      <c r="EO159" s="59">
        <f ca="1">AVERAGE(OFFSET($EN$3,0,0,'Données projet'!$E$15+1,1))-AVERAGE(OFFSET($H$3,0,0,'Données projet'!$E$15+1,1))</f>
        <v>217.10418688911096</v>
      </c>
      <c r="EP159" s="59">
        <f t="shared" si="154"/>
        <v>105.90631421515786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145.19188637714888</v>
      </c>
      <c r="T160" s="59">
        <f t="shared" si="142"/>
        <v>169.74069292032493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0.17886893427535072</v>
      </c>
      <c r="AA160" s="21">
        <f>EXP(-LN(2)/25)*AA159+(1-EXP(-LN(2)/25))/(LN(2)/25)*Calculateur!V160*Calculateur!X160*VLOOKUP('Données projet'!$B$9,Paramètres!$A$1:$I$89,3,0)*0.475*44/12</f>
        <v>0.25589644850951415</v>
      </c>
      <c r="AB160" s="21">
        <f>EXP(-LN(2)/2)*AB159+(1-EXP(-LN(2)/2))/(LN(2)/2)*V160*Y160*VLOOKUP('Données projet'!$B$9,Paramètres!$A$1:$I$89,3,0)*0.475*44/12</f>
        <v>3.1014865929973445E-19</v>
      </c>
      <c r="AC160" s="22">
        <f t="shared" si="163"/>
        <v>0.43476538278486487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-2.8421709430404007E-14</v>
      </c>
      <c r="AJ160" s="13">
        <f>AI160*VLOOKUP('Données projet'!$B$10,Paramètres!$A$1:$I$89,3,0)*VLOOKUP('Données projet'!$B$10,Paramètres!$A$1:$I$89,5,0)</f>
        <v>-2.4829205358400945E-14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254.24072778190163</v>
      </c>
      <c r="AO160" s="59">
        <f t="shared" si="144"/>
        <v>356.78706780980383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0.24845690425086173</v>
      </c>
      <c r="AV160" s="21">
        <f>EXP(-LN(2)/25)*AV159+(1-EXP(-LN(2)/25))/(LN(2)/25)*Calculateur!AQ160*Calculateur!AS160*VLOOKUP('Données projet'!$B$10,Paramètres!$A$1:$I$89,3,0)*0.475*44/12</f>
        <v>0.52306358664190056</v>
      </c>
      <c r="AW160" s="21">
        <f>EXP(-LN(2)/2)*AW159+(1-EXP(-LN(2)/2))/(LN(2)/2)*AQ160*AT160*VLOOKUP('Données projet'!$B$10,Paramètres!$A$1:$I$89,3,0)*0.475*44/12</f>
        <v>2.1289784310872365E-18</v>
      </c>
      <c r="AX160" s="21">
        <f t="shared" si="166"/>
        <v>0.77152049089276231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-4.5474735088646412E-13</v>
      </c>
      <c r="BE160" s="13">
        <f>BD160*VLOOKUP('Données projet'!$B$11,Paramètres!$A$1:$I$89,3,0)*VLOOKUP('Données projet'!$B$11,Paramètres!$A$1:$I$89,5,0)</f>
        <v>-2.7193891583010558E-13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246.59447135626942</v>
      </c>
      <c r="BJ160" s="59">
        <f t="shared" si="146"/>
        <v>262.00382544285367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0.37987950118813812</v>
      </c>
      <c r="BR160" s="21">
        <f>EXP(-LN(2)/2)*BR159+(1-EXP(-LN(2)/2))/(LN(2)/2)*BL160*BO160*VLOOKUP('Données projet'!$B$11,Paramètres!$A$1:$I$89,3,0)*0.475*44/12</f>
        <v>1.8192035638318624E-18</v>
      </c>
      <c r="BS160" s="22">
        <f t="shared" si="169"/>
        <v>0.37987950118813812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1.0286385077051818E-13</v>
      </c>
      <c r="CA160" s="13">
        <f t="shared" si="170"/>
        <v>1.5402366592183556E-12</v>
      </c>
      <c r="CB160" s="20">
        <f t="shared" si="171"/>
        <v>2.8617333882306215E-12</v>
      </c>
      <c r="CC160" s="59">
        <f t="shared" si="119"/>
        <v>293.33333333333616</v>
      </c>
      <c r="CD160" s="59">
        <f ca="1">AVERAGE(OFFSET($CC$3,0,0,'Données projet'!$E$12+1,1))-AVERAGE(OFFSET($H$3,0,0,'Données projet'!$E$12+1,1))</f>
        <v>169.62156467157178</v>
      </c>
      <c r="CE160" s="59">
        <f t="shared" si="148"/>
        <v>85.631326020763254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4.6111381379887463E-14</v>
      </c>
      <c r="CV160" s="13">
        <f t="shared" si="173"/>
        <v>7.5804141040779151E-13</v>
      </c>
      <c r="CW160" s="20">
        <f t="shared" si="174"/>
        <v>1.4005661123635408E-12</v>
      </c>
      <c r="CX160" s="59">
        <f t="shared" si="122"/>
        <v>293.33333333333474</v>
      </c>
      <c r="CY160" s="59">
        <f ca="1">AVERAGE(OFFSET($CX$3,0,0,'Données projet'!$E$13+1,1))-AVERAGE(OFFSET($H$3,0,0,'Données projet'!$E$13+1,1))</f>
        <v>234.59657655504111</v>
      </c>
      <c r="CZ160" s="59">
        <f t="shared" si="150"/>
        <v>285.10598666479211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0.25148507596524289</v>
      </c>
      <c r="DH160" s="21">
        <f>EXP(-LN(2)/2)*DH159+(1-EXP(-LN(2)/2))/(LN(2)/2)*DB160*DE160*VLOOKUP('Données projet'!$B$13,Paramètres!$A$1:$I$89,3,0)*0.475*44/12</f>
        <v>8.4120841681771799E-19</v>
      </c>
      <c r="DI160" s="22">
        <f t="shared" si="175"/>
        <v>0.25148507596524289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1.1368683772161603E-13</v>
      </c>
      <c r="DP160" s="17">
        <f>DO160*VLOOKUP('Données projet'!$B$14,Paramètres!$A$1:$I$89,3,0)*VLOOKUP('Données projet'!$B$14,Paramètres!$A$1:$I$89,5,0)</f>
        <v>1.0995790944434703E-13</v>
      </c>
      <c r="DQ160" s="13">
        <f t="shared" si="176"/>
        <v>1.6337280948049956E-12</v>
      </c>
      <c r="DR160" s="20">
        <f t="shared" si="177"/>
        <v>3.036919790734272E-12</v>
      </c>
      <c r="DS160" s="59">
        <f t="shared" si="125"/>
        <v>293.33333333333633</v>
      </c>
      <c r="DT160" s="59">
        <f ca="1">AVERAGE(OFFSET($DS$3,0,0,'Données projet'!$E$14+1,1))-AVERAGE(OFFSET($H$3,0,0,'Données projet'!$E$14+1,1))</f>
        <v>186.90852124957956</v>
      </c>
      <c r="DU160" s="59">
        <f t="shared" si="152"/>
        <v>93.013797128776446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1.1368683772161603E-13</v>
      </c>
      <c r="EK160" s="17">
        <f>EJ160*VLOOKUP('Données projet'!$B$15,Paramètres!$A$1:$I$89,3,0)*VLOOKUP('Données projet'!$B$15,Paramètres!$A$1:$I$89,5,0)</f>
        <v>1.223725121235475E-13</v>
      </c>
      <c r="EL160" s="13">
        <f t="shared" si="179"/>
        <v>1.7956824466038182E-12</v>
      </c>
      <c r="EM160" s="20">
        <f t="shared" si="180"/>
        <v>3.3406123864501612E-12</v>
      </c>
      <c r="EN160" s="59">
        <f t="shared" si="128"/>
        <v>293.33333333333667</v>
      </c>
      <c r="EO160" s="59">
        <f ca="1">AVERAGE(OFFSET($EN$3,0,0,'Données projet'!$E$15+1,1))-AVERAGE(OFFSET($H$3,0,0,'Données projet'!$E$15+1,1))</f>
        <v>217.10418688911096</v>
      </c>
      <c r="EP160" s="59">
        <f t="shared" si="154"/>
        <v>105.90631421515786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145.19188637714888</v>
      </c>
      <c r="T161" s="59">
        <f t="shared" si="142"/>
        <v>169.74069292032493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0.17536142357348836</v>
      </c>
      <c r="AA161" s="21">
        <f>EXP(-LN(2)/25)*AA160+(1-EXP(-LN(2)/25))/(LN(2)/25)*Calculateur!V161*Calculateur!X161*VLOOKUP('Données projet'!$B$9,Paramètres!$A$1:$I$89,3,0)*0.475*44/12</f>
        <v>0.24889894666801213</v>
      </c>
      <c r="AB161" s="21">
        <f>EXP(-LN(2)/2)*AB160+(1-EXP(-LN(2)/2))/(LN(2)/2)*V161*Y161*VLOOKUP('Données projet'!$B$9,Paramètres!$A$1:$I$89,3,0)*0.475*44/12</f>
        <v>2.1930822016675841E-19</v>
      </c>
      <c r="AC161" s="22">
        <f t="shared" si="163"/>
        <v>0.42426037024150048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-2.8421709430404007E-14</v>
      </c>
      <c r="AJ161" s="13">
        <f>AI161*VLOOKUP('Données projet'!$B$10,Paramètres!$A$1:$I$89,3,0)*VLOOKUP('Données projet'!$B$10,Paramètres!$A$1:$I$89,5,0)</f>
        <v>-2.4829205358400945E-14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254.24072778190163</v>
      </c>
      <c r="AO161" s="59">
        <f t="shared" si="144"/>
        <v>356.78706780980383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0.24358481590225023</v>
      </c>
      <c r="AV161" s="21">
        <f>EXP(-LN(2)/25)*AV160+(1-EXP(-LN(2)/25))/(LN(2)/25)*Calculateur!AQ161*Calculateur!AS161*VLOOKUP('Données projet'!$B$10,Paramètres!$A$1:$I$89,3,0)*0.475*44/12</f>
        <v>0.50876038535845924</v>
      </c>
      <c r="AW161" s="21">
        <f>EXP(-LN(2)/2)*AW160+(1-EXP(-LN(2)/2))/(LN(2)/2)*AQ161*AT161*VLOOKUP('Données projet'!$B$10,Paramètres!$A$1:$I$89,3,0)*0.475*44/12</f>
        <v>1.5054150856216818E-18</v>
      </c>
      <c r="AX161" s="21">
        <f t="shared" si="166"/>
        <v>0.75234520126070947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-4.5474735088646412E-13</v>
      </c>
      <c r="BE161" s="13">
        <f>BD161*VLOOKUP('Données projet'!$B$11,Paramètres!$A$1:$I$89,3,0)*VLOOKUP('Données projet'!$B$11,Paramètres!$A$1:$I$89,5,0)</f>
        <v>-2.7193891583010558E-13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246.59447135626942</v>
      </c>
      <c r="BJ161" s="59">
        <f t="shared" si="146"/>
        <v>262.00382544285367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0.36949167625115376</v>
      </c>
      <c r="BR161" s="21">
        <f>EXP(-LN(2)/2)*BR160+(1-EXP(-LN(2)/2))/(LN(2)/2)*BL161*BO161*VLOOKUP('Données projet'!$B$11,Paramètres!$A$1:$I$89,3,0)*0.475*44/12</f>
        <v>1.2863711763442442E-18</v>
      </c>
      <c r="BS161" s="22">
        <f t="shared" si="169"/>
        <v>0.36949167625115376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1.0286385077051818E-13</v>
      </c>
      <c r="CA161" s="13">
        <f t="shared" si="170"/>
        <v>1.5402366592183556E-12</v>
      </c>
      <c r="CB161" s="20">
        <f t="shared" si="171"/>
        <v>2.8617333882306215E-12</v>
      </c>
      <c r="CC161" s="59">
        <f t="shared" si="119"/>
        <v>293.33333333333616</v>
      </c>
      <c r="CD161" s="59">
        <f ca="1">AVERAGE(OFFSET($CC$3,0,0,'Données projet'!$E$12+1,1))-AVERAGE(OFFSET($H$3,0,0,'Données projet'!$E$12+1,1))</f>
        <v>169.62156467157178</v>
      </c>
      <c r="CE161" s="59">
        <f t="shared" si="148"/>
        <v>85.631326020763254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4.6111381379887463E-14</v>
      </c>
      <c r="CV161" s="13">
        <f t="shared" si="173"/>
        <v>7.5804141040779151E-13</v>
      </c>
      <c r="CW161" s="20">
        <f t="shared" si="174"/>
        <v>1.4005661123635408E-12</v>
      </c>
      <c r="CX161" s="59">
        <f t="shared" si="122"/>
        <v>293.33333333333474</v>
      </c>
      <c r="CY161" s="59">
        <f ca="1">AVERAGE(OFFSET($CX$3,0,0,'Données projet'!$E$13+1,1))-AVERAGE(OFFSET($H$3,0,0,'Données projet'!$E$13+1,1))</f>
        <v>234.59657655504111</v>
      </c>
      <c r="CZ161" s="59">
        <f t="shared" si="150"/>
        <v>285.10598666479211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0.24460820333794794</v>
      </c>
      <c r="DH161" s="21">
        <f>EXP(-LN(2)/2)*DH160+(1-EXP(-LN(2)/2))/(LN(2)/2)*DB161*DE161*VLOOKUP('Données projet'!$B$13,Paramètres!$A$1:$I$89,3,0)*0.475*44/12</f>
        <v>5.9482417592300817E-19</v>
      </c>
      <c r="DI161" s="22">
        <f t="shared" si="175"/>
        <v>0.24460820333794794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1.1368683772161603E-13</v>
      </c>
      <c r="DP161" s="17">
        <f>DO161*VLOOKUP('Données projet'!$B$14,Paramètres!$A$1:$I$89,3,0)*VLOOKUP('Données projet'!$B$14,Paramètres!$A$1:$I$89,5,0)</f>
        <v>1.0995790944434703E-13</v>
      </c>
      <c r="DQ161" s="13">
        <f t="shared" si="176"/>
        <v>1.6337280948049956E-12</v>
      </c>
      <c r="DR161" s="20">
        <f t="shared" si="177"/>
        <v>3.036919790734272E-12</v>
      </c>
      <c r="DS161" s="59">
        <f t="shared" si="125"/>
        <v>293.33333333333633</v>
      </c>
      <c r="DT161" s="59">
        <f ca="1">AVERAGE(OFFSET($DS$3,0,0,'Données projet'!$E$14+1,1))-AVERAGE(OFFSET($H$3,0,0,'Données projet'!$E$14+1,1))</f>
        <v>186.90852124957956</v>
      </c>
      <c r="DU161" s="59">
        <f t="shared" si="152"/>
        <v>93.013797128776446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1.1368683772161603E-13</v>
      </c>
      <c r="EK161" s="17">
        <f>EJ161*VLOOKUP('Données projet'!$B$15,Paramètres!$A$1:$I$89,3,0)*VLOOKUP('Données projet'!$B$15,Paramètres!$A$1:$I$89,5,0)</f>
        <v>1.223725121235475E-13</v>
      </c>
      <c r="EL161" s="13">
        <f t="shared" si="179"/>
        <v>1.7956824466038182E-12</v>
      </c>
      <c r="EM161" s="20">
        <f t="shared" si="180"/>
        <v>3.3406123864501612E-12</v>
      </c>
      <c r="EN161" s="59">
        <f t="shared" si="128"/>
        <v>293.33333333333667</v>
      </c>
      <c r="EO161" s="59">
        <f ca="1">AVERAGE(OFFSET($EN$3,0,0,'Données projet'!$E$15+1,1))-AVERAGE(OFFSET($H$3,0,0,'Données projet'!$E$15+1,1))</f>
        <v>217.10418688911096</v>
      </c>
      <c r="EP161" s="59">
        <f t="shared" si="154"/>
        <v>105.90631421515786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145.19188637714888</v>
      </c>
      <c r="T162" s="59">
        <f t="shared" si="142"/>
        <v>169.74069292032493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0.17192269301711921</v>
      </c>
      <c r="AA162" s="21">
        <f>EXP(-LN(2)/25)*AA161+(1-EXP(-LN(2)/25))/(LN(2)/25)*Calculateur!V162*Calculateur!X162*VLOOKUP('Données projet'!$B$9,Paramètres!$A$1:$I$89,3,0)*0.475*44/12</f>
        <v>0.24209279188234858</v>
      </c>
      <c r="AB162" s="21">
        <f>EXP(-LN(2)/2)*AB161+(1-EXP(-LN(2)/2))/(LN(2)/2)*V162*Y162*VLOOKUP('Données projet'!$B$9,Paramètres!$A$1:$I$89,3,0)*0.475*44/12</f>
        <v>1.5507432964986723E-19</v>
      </c>
      <c r="AC162" s="22">
        <f t="shared" si="163"/>
        <v>0.41401548489946782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-2.8421709430404007E-14</v>
      </c>
      <c r="AJ162" s="13">
        <f>AI162*VLOOKUP('Données projet'!$B$10,Paramètres!$A$1:$I$89,3,0)*VLOOKUP('Données projet'!$B$10,Paramètres!$A$1:$I$89,5,0)</f>
        <v>-2.4829205358400945E-14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254.24072778190163</v>
      </c>
      <c r="AO162" s="59">
        <f t="shared" si="144"/>
        <v>356.78706780980383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0.23880826623447454</v>
      </c>
      <c r="AV162" s="21">
        <f>EXP(-LN(2)/25)*AV161+(1-EXP(-LN(2)/25))/(LN(2)/25)*Calculateur!AQ162*Calculateur!AS162*VLOOKUP('Données projet'!$B$10,Paramètres!$A$1:$I$89,3,0)*0.475*44/12</f>
        <v>0.49484830586628631</v>
      </c>
      <c r="AW162" s="21">
        <f>EXP(-LN(2)/2)*AW161+(1-EXP(-LN(2)/2))/(LN(2)/2)*AQ162*AT162*VLOOKUP('Données projet'!$B$10,Paramètres!$A$1:$I$89,3,0)*0.475*44/12</f>
        <v>1.0644892155436182E-18</v>
      </c>
      <c r="AX162" s="21">
        <f t="shared" si="166"/>
        <v>0.73365657210076085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-4.5474735088646412E-13</v>
      </c>
      <c r="BE162" s="13">
        <f>BD162*VLOOKUP('Données projet'!$B$11,Paramètres!$A$1:$I$89,3,0)*VLOOKUP('Données projet'!$B$11,Paramètres!$A$1:$I$89,5,0)</f>
        <v>-2.7193891583010558E-13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246.59447135626942</v>
      </c>
      <c r="BJ162" s="59">
        <f t="shared" si="146"/>
        <v>262.00382544285367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0.35938790693334316</v>
      </c>
      <c r="BR162" s="21">
        <f>EXP(-LN(2)/2)*BR161+(1-EXP(-LN(2)/2))/(LN(2)/2)*BL162*BO162*VLOOKUP('Données projet'!$B$11,Paramètres!$A$1:$I$89,3,0)*0.475*44/12</f>
        <v>9.0960178191593121E-19</v>
      </c>
      <c r="BS162" s="22">
        <f t="shared" si="169"/>
        <v>0.35938790693334316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1.0286385077051818E-13</v>
      </c>
      <c r="CA162" s="13">
        <f t="shared" si="170"/>
        <v>1.5402366592183556E-12</v>
      </c>
      <c r="CB162" s="20">
        <f t="shared" si="171"/>
        <v>2.8617333882306215E-12</v>
      </c>
      <c r="CC162" s="59">
        <f t="shared" si="119"/>
        <v>293.33333333333616</v>
      </c>
      <c r="CD162" s="59">
        <f ca="1">AVERAGE(OFFSET($CC$3,0,0,'Données projet'!$E$12+1,1))-AVERAGE(OFFSET($H$3,0,0,'Données projet'!$E$12+1,1))</f>
        <v>169.62156467157178</v>
      </c>
      <c r="CE162" s="59">
        <f t="shared" si="148"/>
        <v>85.631326020763254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4.6111381379887463E-14</v>
      </c>
      <c r="CV162" s="13">
        <f t="shared" si="173"/>
        <v>7.5804141040779151E-13</v>
      </c>
      <c r="CW162" s="20">
        <f t="shared" si="174"/>
        <v>1.4005661123635408E-12</v>
      </c>
      <c r="CX162" s="59">
        <f t="shared" si="122"/>
        <v>293.33333333333474</v>
      </c>
      <c r="CY162" s="59">
        <f ca="1">AVERAGE(OFFSET($CX$3,0,0,'Données projet'!$E$13+1,1))-AVERAGE(OFFSET($H$3,0,0,'Données projet'!$E$13+1,1))</f>
        <v>234.59657655504111</v>
      </c>
      <c r="CZ162" s="59">
        <f t="shared" si="150"/>
        <v>285.10598666479211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0.2379193791542854</v>
      </c>
      <c r="DH162" s="21">
        <f>EXP(-LN(2)/2)*DH161+(1-EXP(-LN(2)/2))/(LN(2)/2)*DB162*DE162*VLOOKUP('Données projet'!$B$13,Paramètres!$A$1:$I$89,3,0)*0.475*44/12</f>
        <v>4.20604208408859E-19</v>
      </c>
      <c r="DI162" s="22">
        <f t="shared" si="175"/>
        <v>0.2379193791542854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1.1368683772161603E-13</v>
      </c>
      <c r="DP162" s="17">
        <f>DO162*VLOOKUP('Données projet'!$B$14,Paramètres!$A$1:$I$89,3,0)*VLOOKUP('Données projet'!$B$14,Paramètres!$A$1:$I$89,5,0)</f>
        <v>1.0995790944434703E-13</v>
      </c>
      <c r="DQ162" s="13">
        <f t="shared" si="176"/>
        <v>1.6337280948049956E-12</v>
      </c>
      <c r="DR162" s="20">
        <f t="shared" si="177"/>
        <v>3.036919790734272E-12</v>
      </c>
      <c r="DS162" s="59">
        <f t="shared" si="125"/>
        <v>293.33333333333633</v>
      </c>
      <c r="DT162" s="59">
        <f ca="1">AVERAGE(OFFSET($DS$3,0,0,'Données projet'!$E$14+1,1))-AVERAGE(OFFSET($H$3,0,0,'Données projet'!$E$14+1,1))</f>
        <v>186.90852124957956</v>
      </c>
      <c r="DU162" s="59">
        <f t="shared" si="152"/>
        <v>93.013797128776446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1.1368683772161603E-13</v>
      </c>
      <c r="EK162" s="17">
        <f>EJ162*VLOOKUP('Données projet'!$B$15,Paramètres!$A$1:$I$89,3,0)*VLOOKUP('Données projet'!$B$15,Paramètres!$A$1:$I$89,5,0)</f>
        <v>1.223725121235475E-13</v>
      </c>
      <c r="EL162" s="13">
        <f t="shared" si="179"/>
        <v>1.7956824466038182E-12</v>
      </c>
      <c r="EM162" s="20">
        <f t="shared" si="180"/>
        <v>3.3406123864501612E-12</v>
      </c>
      <c r="EN162" s="59">
        <f t="shared" si="128"/>
        <v>293.33333333333667</v>
      </c>
      <c r="EO162" s="59">
        <f ca="1">AVERAGE(OFFSET($EN$3,0,0,'Données projet'!$E$15+1,1))-AVERAGE(OFFSET($H$3,0,0,'Données projet'!$E$15+1,1))</f>
        <v>217.10418688911096</v>
      </c>
      <c r="EP162" s="59">
        <f t="shared" si="154"/>
        <v>105.90631421515786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145.19188637714888</v>
      </c>
      <c r="T163" s="59">
        <f t="shared" si="142"/>
        <v>169.74069292032493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0.16855139386954193</v>
      </c>
      <c r="AA163" s="21">
        <f>EXP(-LN(2)/25)*AA162+(1-EXP(-LN(2)/25))/(LN(2)/25)*Calculateur!V163*Calculateur!X163*VLOOKUP('Données projet'!$B$9,Paramètres!$A$1:$I$89,3,0)*0.475*44/12</f>
        <v>0.23547275175721916</v>
      </c>
      <c r="AB163" s="21">
        <f>EXP(-LN(2)/2)*AB162+(1-EXP(-LN(2)/2))/(LN(2)/2)*V163*Y163*VLOOKUP('Données projet'!$B$9,Paramètres!$A$1:$I$89,3,0)*0.475*44/12</f>
        <v>1.096541100833792E-19</v>
      </c>
      <c r="AC163" s="22">
        <f t="shared" si="163"/>
        <v>0.40402414562676109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-2.8421709430404007E-14</v>
      </c>
      <c r="AJ163" s="13">
        <f>AI163*VLOOKUP('Données projet'!$B$10,Paramètres!$A$1:$I$89,3,0)*VLOOKUP('Données projet'!$B$10,Paramètres!$A$1:$I$89,5,0)</f>
        <v>-2.4829205358400945E-14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254.24072778190163</v>
      </c>
      <c r="AO163" s="59">
        <f t="shared" si="144"/>
        <v>356.78706780980383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0.23412538179227629</v>
      </c>
      <c r="AV163" s="21">
        <f>EXP(-LN(2)/25)*AV162+(1-EXP(-LN(2)/25))/(LN(2)/25)*Calculateur!AQ163*Calculateur!AS163*VLOOKUP('Données projet'!$B$10,Paramètres!$A$1:$I$89,3,0)*0.475*44/12</f>
        <v>0.48131665291943132</v>
      </c>
      <c r="AW163" s="21">
        <f>EXP(-LN(2)/2)*AW162+(1-EXP(-LN(2)/2))/(LN(2)/2)*AQ163*AT163*VLOOKUP('Données projet'!$B$10,Paramètres!$A$1:$I$89,3,0)*0.475*44/12</f>
        <v>7.527075428108409E-19</v>
      </c>
      <c r="AX163" s="21">
        <f t="shared" si="166"/>
        <v>0.71544203471170764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-4.5474735088646412E-13</v>
      </c>
      <c r="BE163" s="13">
        <f>BD163*VLOOKUP('Données projet'!$B$11,Paramètres!$A$1:$I$89,3,0)*VLOOKUP('Données projet'!$B$11,Paramètres!$A$1:$I$89,5,0)</f>
        <v>-2.7193891583010558E-13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246.59447135626942</v>
      </c>
      <c r="BJ163" s="59">
        <f t="shared" si="146"/>
        <v>262.00382544285367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0.34956042571886226</v>
      </c>
      <c r="BR163" s="21">
        <f>EXP(-LN(2)/2)*BR162+(1-EXP(-LN(2)/2))/(LN(2)/2)*BL163*BO163*VLOOKUP('Données projet'!$B$11,Paramètres!$A$1:$I$89,3,0)*0.475*44/12</f>
        <v>6.4318558817212211E-19</v>
      </c>
      <c r="BS163" s="22">
        <f t="shared" si="169"/>
        <v>0.34956042571886226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1.0286385077051818E-13</v>
      </c>
      <c r="CA163" s="13">
        <f t="shared" si="170"/>
        <v>1.5402366592183556E-12</v>
      </c>
      <c r="CB163" s="20">
        <f t="shared" si="171"/>
        <v>2.8617333882306215E-12</v>
      </c>
      <c r="CC163" s="59">
        <f t="shared" si="119"/>
        <v>293.33333333333616</v>
      </c>
      <c r="CD163" s="59">
        <f ca="1">AVERAGE(OFFSET($CC$3,0,0,'Données projet'!$E$12+1,1))-AVERAGE(OFFSET($H$3,0,0,'Données projet'!$E$12+1,1))</f>
        <v>169.62156467157178</v>
      </c>
      <c r="CE163" s="59">
        <f t="shared" si="148"/>
        <v>85.631326020763254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4.6111381379887463E-14</v>
      </c>
      <c r="CV163" s="13">
        <f t="shared" si="173"/>
        <v>7.5804141040779151E-13</v>
      </c>
      <c r="CW163" s="20">
        <f t="shared" si="174"/>
        <v>1.4005661123635408E-12</v>
      </c>
      <c r="CX163" s="59">
        <f t="shared" si="122"/>
        <v>293.33333333333474</v>
      </c>
      <c r="CY163" s="59">
        <f ca="1">AVERAGE(OFFSET($CX$3,0,0,'Données projet'!$E$13+1,1))-AVERAGE(OFFSET($H$3,0,0,'Données projet'!$E$13+1,1))</f>
        <v>234.59657655504111</v>
      </c>
      <c r="CZ163" s="59">
        <f t="shared" si="150"/>
        <v>285.10598666479211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0.2314134612196751</v>
      </c>
      <c r="DH163" s="21">
        <f>EXP(-LN(2)/2)*DH162+(1-EXP(-LN(2)/2))/(LN(2)/2)*DB163*DE163*VLOOKUP('Données projet'!$B$13,Paramètres!$A$1:$I$89,3,0)*0.475*44/12</f>
        <v>2.9741208796150409E-19</v>
      </c>
      <c r="DI163" s="22">
        <f t="shared" si="175"/>
        <v>0.2314134612196751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1.1368683772161603E-13</v>
      </c>
      <c r="DP163" s="17">
        <f>DO163*VLOOKUP('Données projet'!$B$14,Paramètres!$A$1:$I$89,3,0)*VLOOKUP('Données projet'!$B$14,Paramètres!$A$1:$I$89,5,0)</f>
        <v>1.0995790944434703E-13</v>
      </c>
      <c r="DQ163" s="13">
        <f t="shared" si="176"/>
        <v>1.6337280948049956E-12</v>
      </c>
      <c r="DR163" s="20">
        <f t="shared" si="177"/>
        <v>3.036919790734272E-12</v>
      </c>
      <c r="DS163" s="59">
        <f t="shared" si="125"/>
        <v>293.33333333333633</v>
      </c>
      <c r="DT163" s="59">
        <f ca="1">AVERAGE(OFFSET($DS$3,0,0,'Données projet'!$E$14+1,1))-AVERAGE(OFFSET($H$3,0,0,'Données projet'!$E$14+1,1))</f>
        <v>186.90852124957956</v>
      </c>
      <c r="DU163" s="59">
        <f t="shared" si="152"/>
        <v>93.013797128776446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1.1368683772161603E-13</v>
      </c>
      <c r="EK163" s="17">
        <f>EJ163*VLOOKUP('Données projet'!$B$15,Paramètres!$A$1:$I$89,3,0)*VLOOKUP('Données projet'!$B$15,Paramètres!$A$1:$I$89,5,0)</f>
        <v>1.223725121235475E-13</v>
      </c>
      <c r="EL163" s="13">
        <f t="shared" si="179"/>
        <v>1.7956824466038182E-12</v>
      </c>
      <c r="EM163" s="20">
        <f t="shared" si="180"/>
        <v>3.3406123864501612E-12</v>
      </c>
      <c r="EN163" s="59">
        <f t="shared" si="128"/>
        <v>293.33333333333667</v>
      </c>
      <c r="EO163" s="59">
        <f ca="1">AVERAGE(OFFSET($EN$3,0,0,'Données projet'!$E$15+1,1))-AVERAGE(OFFSET($H$3,0,0,'Données projet'!$E$15+1,1))</f>
        <v>217.10418688911096</v>
      </c>
      <c r="EP163" s="59">
        <f t="shared" si="154"/>
        <v>105.90631421515786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145.19188637714888</v>
      </c>
      <c r="T164" s="59">
        <f t="shared" si="142"/>
        <v>169.74069292032493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0.1652462038419592</v>
      </c>
      <c r="AA164" s="21">
        <f>EXP(-LN(2)/25)*AA163+(1-EXP(-LN(2)/25))/(LN(2)/25)*Calculateur!V164*Calculateur!X164*VLOOKUP('Données projet'!$B$9,Paramètres!$A$1:$I$89,3,0)*0.475*44/12</f>
        <v>0.22903373697744417</v>
      </c>
      <c r="AB164" s="21">
        <f>EXP(-LN(2)/2)*AB163+(1-EXP(-LN(2)/2))/(LN(2)/2)*V164*Y164*VLOOKUP('Données projet'!$B$9,Paramètres!$A$1:$I$89,3,0)*0.475*44/12</f>
        <v>7.7537164824933613E-20</v>
      </c>
      <c r="AC164" s="22">
        <f t="shared" si="163"/>
        <v>0.39427994081940337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-2.8421709430404007E-14</v>
      </c>
      <c r="AJ164" s="13">
        <f>AI164*VLOOKUP('Données projet'!$B$10,Paramètres!$A$1:$I$89,3,0)*VLOOKUP('Données projet'!$B$10,Paramètres!$A$1:$I$89,5,0)</f>
        <v>-2.4829205358400945E-14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254.24072778190163</v>
      </c>
      <c r="AO164" s="59">
        <f t="shared" si="144"/>
        <v>356.78706780980383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0.22953432585771208</v>
      </c>
      <c r="AV164" s="21">
        <f>EXP(-LN(2)/25)*AV163+(1-EXP(-LN(2)/25))/(LN(2)/25)*Calculateur!AQ164*Calculateur!AS164*VLOOKUP('Données projet'!$B$10,Paramètres!$A$1:$I$89,3,0)*0.475*44/12</f>
        <v>0.46815502373400675</v>
      </c>
      <c r="AW164" s="21">
        <f>EXP(-LN(2)/2)*AW163+(1-EXP(-LN(2)/2))/(LN(2)/2)*AQ164*AT164*VLOOKUP('Données projet'!$B$10,Paramètres!$A$1:$I$89,3,0)*0.475*44/12</f>
        <v>5.3224460777180912E-19</v>
      </c>
      <c r="AX164" s="21">
        <f t="shared" si="166"/>
        <v>0.6976893495917188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-4.5474735088646412E-13</v>
      </c>
      <c r="BE164" s="13">
        <f>BD164*VLOOKUP('Données projet'!$B$11,Paramètres!$A$1:$I$89,3,0)*VLOOKUP('Données projet'!$B$11,Paramètres!$A$1:$I$89,5,0)</f>
        <v>-2.7193891583010558E-13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246.59447135626942</v>
      </c>
      <c r="BJ164" s="59">
        <f t="shared" si="146"/>
        <v>262.00382544285367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0.3400016774949961</v>
      </c>
      <c r="BR164" s="21">
        <f>EXP(-LN(2)/2)*BR163+(1-EXP(-LN(2)/2))/(LN(2)/2)*BL164*BO164*VLOOKUP('Données projet'!$B$11,Paramètres!$A$1:$I$89,3,0)*0.475*44/12</f>
        <v>4.548008909579656E-19</v>
      </c>
      <c r="BS164" s="22">
        <f t="shared" si="169"/>
        <v>0.3400016774949961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1.0286385077051818E-13</v>
      </c>
      <c r="CA164" s="13">
        <f t="shared" si="170"/>
        <v>1.5402366592183556E-12</v>
      </c>
      <c r="CB164" s="20">
        <f t="shared" si="171"/>
        <v>2.8617333882306215E-12</v>
      </c>
      <c r="CC164" s="59">
        <f t="shared" si="119"/>
        <v>293.33333333333616</v>
      </c>
      <c r="CD164" s="59">
        <f ca="1">AVERAGE(OFFSET($CC$3,0,0,'Données projet'!$E$12+1,1))-AVERAGE(OFFSET($H$3,0,0,'Données projet'!$E$12+1,1))</f>
        <v>169.62156467157178</v>
      </c>
      <c r="CE164" s="59">
        <f t="shared" si="148"/>
        <v>85.631326020763254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4.6111381379887463E-14</v>
      </c>
      <c r="CV164" s="13">
        <f t="shared" si="173"/>
        <v>7.5804141040779151E-13</v>
      </c>
      <c r="CW164" s="20">
        <f t="shared" si="174"/>
        <v>1.4005661123635408E-12</v>
      </c>
      <c r="CX164" s="59">
        <f t="shared" si="122"/>
        <v>293.33333333333474</v>
      </c>
      <c r="CY164" s="59">
        <f ca="1">AVERAGE(OFFSET($CX$3,0,0,'Données projet'!$E$13+1,1))-AVERAGE(OFFSET($H$3,0,0,'Données projet'!$E$13+1,1))</f>
        <v>234.59657655504111</v>
      </c>
      <c r="CZ164" s="59">
        <f t="shared" si="150"/>
        <v>285.10598666479211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0.22508544795311805</v>
      </c>
      <c r="DH164" s="21">
        <f>EXP(-LN(2)/2)*DH163+(1-EXP(-LN(2)/2))/(LN(2)/2)*DB164*DE164*VLOOKUP('Données projet'!$B$13,Paramètres!$A$1:$I$89,3,0)*0.475*44/12</f>
        <v>2.103021042044295E-19</v>
      </c>
      <c r="DI164" s="22">
        <f t="shared" si="175"/>
        <v>0.22508544795311805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1.1368683772161603E-13</v>
      </c>
      <c r="DP164" s="17">
        <f>DO164*VLOOKUP('Données projet'!$B$14,Paramètres!$A$1:$I$89,3,0)*VLOOKUP('Données projet'!$B$14,Paramètres!$A$1:$I$89,5,0)</f>
        <v>1.0995790944434703E-13</v>
      </c>
      <c r="DQ164" s="13">
        <f t="shared" si="176"/>
        <v>1.6337280948049956E-12</v>
      </c>
      <c r="DR164" s="20">
        <f t="shared" si="177"/>
        <v>3.036919790734272E-12</v>
      </c>
      <c r="DS164" s="59">
        <f t="shared" si="125"/>
        <v>293.33333333333633</v>
      </c>
      <c r="DT164" s="59">
        <f ca="1">AVERAGE(OFFSET($DS$3,0,0,'Données projet'!$E$14+1,1))-AVERAGE(OFFSET($H$3,0,0,'Données projet'!$E$14+1,1))</f>
        <v>186.90852124957956</v>
      </c>
      <c r="DU164" s="59">
        <f t="shared" si="152"/>
        <v>93.013797128776446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1.1368683772161603E-13</v>
      </c>
      <c r="EK164" s="17">
        <f>EJ164*VLOOKUP('Données projet'!$B$15,Paramètres!$A$1:$I$89,3,0)*VLOOKUP('Données projet'!$B$15,Paramètres!$A$1:$I$89,5,0)</f>
        <v>1.223725121235475E-13</v>
      </c>
      <c r="EL164" s="13">
        <f t="shared" si="179"/>
        <v>1.7956824466038182E-12</v>
      </c>
      <c r="EM164" s="20">
        <f t="shared" si="180"/>
        <v>3.3406123864501612E-12</v>
      </c>
      <c r="EN164" s="59">
        <f t="shared" si="128"/>
        <v>293.33333333333667</v>
      </c>
      <c r="EO164" s="59">
        <f ca="1">AVERAGE(OFFSET($EN$3,0,0,'Données projet'!$E$15+1,1))-AVERAGE(OFFSET($H$3,0,0,'Données projet'!$E$15+1,1))</f>
        <v>217.10418688911096</v>
      </c>
      <c r="EP164" s="59">
        <f t="shared" si="154"/>
        <v>105.90631421515786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145.19188637714888</v>
      </c>
      <c r="T165" s="59">
        <f t="shared" si="142"/>
        <v>169.74069292032493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0.16200582657485052</v>
      </c>
      <c r="AA165" s="21">
        <f>EXP(-LN(2)/25)*AA164+(1-EXP(-LN(2)/25))/(LN(2)/25)*Calculateur!V165*Calculateur!X165*VLOOKUP('Données projet'!$B$9,Paramètres!$A$1:$I$89,3,0)*0.475*44/12</f>
        <v>0.2227707973954352</v>
      </c>
      <c r="AB165" s="21">
        <f>EXP(-LN(2)/2)*AB164+(1-EXP(-LN(2)/2))/(LN(2)/2)*V165*Y165*VLOOKUP('Données projet'!$B$9,Paramètres!$A$1:$I$89,3,0)*0.475*44/12</f>
        <v>5.4827055041689601E-20</v>
      </c>
      <c r="AC165" s="22">
        <f t="shared" si="163"/>
        <v>0.38477662397028572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-2.8421709430404007E-14</v>
      </c>
      <c r="AJ165" s="13">
        <f>AI165*VLOOKUP('Données projet'!$B$10,Paramètres!$A$1:$I$89,3,0)*VLOOKUP('Données projet'!$B$10,Paramètres!$A$1:$I$89,5,0)</f>
        <v>-2.4829205358400945E-14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254.24072778190163</v>
      </c>
      <c r="AO165" s="59">
        <f t="shared" si="144"/>
        <v>356.78706780980383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0.22503329772975705</v>
      </c>
      <c r="AV165" s="21">
        <f>EXP(-LN(2)/25)*AV164+(1-EXP(-LN(2)/25))/(LN(2)/25)*Calculateur!AQ165*Calculateur!AS165*VLOOKUP('Données projet'!$B$10,Paramètres!$A$1:$I$89,3,0)*0.475*44/12</f>
        <v>0.4553532999907976</v>
      </c>
      <c r="AW165" s="21">
        <f>EXP(-LN(2)/2)*AW164+(1-EXP(-LN(2)/2))/(LN(2)/2)*AQ165*AT165*VLOOKUP('Données projet'!$B$10,Paramètres!$A$1:$I$89,3,0)*0.475*44/12</f>
        <v>3.7635377140542045E-19</v>
      </c>
      <c r="AX165" s="21">
        <f t="shared" si="166"/>
        <v>0.68038659772055465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-2.7193891583010558E-13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246.59447135626942</v>
      </c>
      <c r="BJ165" s="59">
        <f t="shared" si="146"/>
        <v>262.00382544285367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0.33070431374398429</v>
      </c>
      <c r="BR165" s="21">
        <f>EXP(-LN(2)/2)*BR164+(1-EXP(-LN(2)/2))/(LN(2)/2)*BL165*BO165*VLOOKUP('Données projet'!$B$11,Paramètres!$A$1:$I$89,3,0)*0.475*44/12</f>
        <v>3.2159279408606105E-19</v>
      </c>
      <c r="BS165" s="22">
        <f t="shared" si="169"/>
        <v>0.33070431374398429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1.0286385077051818E-13</v>
      </c>
      <c r="CA165" s="13">
        <f t="shared" si="170"/>
        <v>1.5402366592183556E-12</v>
      </c>
      <c r="CB165" s="20">
        <f t="shared" si="171"/>
        <v>2.8617333882306215E-12</v>
      </c>
      <c r="CC165" s="59">
        <f t="shared" si="119"/>
        <v>293.33333333333616</v>
      </c>
      <c r="CD165" s="59">
        <f ca="1">AVERAGE(OFFSET($CC$3,0,0,'Données projet'!$E$12+1,1))-AVERAGE(OFFSET($H$3,0,0,'Données projet'!$E$12+1,1))</f>
        <v>169.62156467157178</v>
      </c>
      <c r="CE165" s="59">
        <f t="shared" si="148"/>
        <v>85.631326020763254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4.6111381379887463E-14</v>
      </c>
      <c r="CV165" s="13">
        <f t="shared" si="173"/>
        <v>7.5804141040779151E-13</v>
      </c>
      <c r="CW165" s="20">
        <f t="shared" si="174"/>
        <v>1.4005661123635408E-12</v>
      </c>
      <c r="CX165" s="59">
        <f t="shared" si="122"/>
        <v>293.33333333333474</v>
      </c>
      <c r="CY165" s="59">
        <f ca="1">AVERAGE(OFFSET($CX$3,0,0,'Données projet'!$E$13+1,1))-AVERAGE(OFFSET($H$3,0,0,'Données projet'!$E$13+1,1))</f>
        <v>234.59657655504111</v>
      </c>
      <c r="CZ165" s="59">
        <f t="shared" si="150"/>
        <v>285.10598666479211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0.21893047454211076</v>
      </c>
      <c r="DH165" s="21">
        <f>EXP(-LN(2)/2)*DH164+(1-EXP(-LN(2)/2))/(LN(2)/2)*DB165*DE165*VLOOKUP('Données projet'!$B$13,Paramètres!$A$1:$I$89,3,0)*0.475*44/12</f>
        <v>1.4870604398075204E-19</v>
      </c>
      <c r="DI165" s="22">
        <f t="shared" si="175"/>
        <v>0.21893047454211076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1.1368683772161603E-13</v>
      </c>
      <c r="DP165" s="17">
        <f>DO165*VLOOKUP('Données projet'!$B$14,Paramètres!$A$1:$I$89,3,0)*VLOOKUP('Données projet'!$B$14,Paramètres!$A$1:$I$89,5,0)</f>
        <v>1.0995790944434703E-13</v>
      </c>
      <c r="DQ165" s="13">
        <f t="shared" si="176"/>
        <v>1.6337280948049956E-12</v>
      </c>
      <c r="DR165" s="20">
        <f t="shared" si="177"/>
        <v>3.036919790734272E-12</v>
      </c>
      <c r="DS165" s="59">
        <f t="shared" si="125"/>
        <v>293.33333333333633</v>
      </c>
      <c r="DT165" s="59">
        <f ca="1">AVERAGE(OFFSET($DS$3,0,0,'Données projet'!$E$14+1,1))-AVERAGE(OFFSET($H$3,0,0,'Données projet'!$E$14+1,1))</f>
        <v>186.90852124957956</v>
      </c>
      <c r="DU165" s="59">
        <f t="shared" si="152"/>
        <v>93.013797128776446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1.1368683772161603E-13</v>
      </c>
      <c r="EK165" s="17">
        <f>EJ165*VLOOKUP('Données projet'!$B$15,Paramètres!$A$1:$I$89,3,0)*VLOOKUP('Données projet'!$B$15,Paramètres!$A$1:$I$89,5,0)</f>
        <v>1.223725121235475E-13</v>
      </c>
      <c r="EL165" s="13">
        <f t="shared" si="179"/>
        <v>1.7956824466038182E-12</v>
      </c>
      <c r="EM165" s="20">
        <f t="shared" si="180"/>
        <v>3.3406123864501612E-12</v>
      </c>
      <c r="EN165" s="59">
        <f t="shared" si="128"/>
        <v>293.33333333333667</v>
      </c>
      <c r="EO165" s="59">
        <f ca="1">AVERAGE(OFFSET($EN$3,0,0,'Données projet'!$E$15+1,1))-AVERAGE(OFFSET($H$3,0,0,'Données projet'!$E$15+1,1))</f>
        <v>217.10418688911096</v>
      </c>
      <c r="EP165" s="59">
        <f t="shared" si="154"/>
        <v>105.90631421515786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145.19188637714888</v>
      </c>
      <c r="T166" s="59">
        <f t="shared" si="142"/>
        <v>169.74069292032493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0.15882899112951485</v>
      </c>
      <c r="AA166" s="21">
        <f>EXP(-LN(2)/25)*AA165+(1-EXP(-LN(2)/25))/(LN(2)/25)*Calculateur!V166*Calculateur!X166*VLOOKUP('Données projet'!$B$9,Paramètres!$A$1:$I$89,3,0)*0.475*44/12</f>
        <v>0.21667911822564995</v>
      </c>
      <c r="AB166" s="21">
        <f>EXP(-LN(2)/2)*AB165+(1-EXP(-LN(2)/2))/(LN(2)/2)*V166*Y166*VLOOKUP('Données projet'!$B$9,Paramètres!$A$1:$I$89,3,0)*0.475*44/12</f>
        <v>3.8768582412466807E-20</v>
      </c>
      <c r="AC166" s="22">
        <f t="shared" si="163"/>
        <v>0.37550810935516477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-2.8421709430404007E-14</v>
      </c>
      <c r="AJ166" s="13">
        <f>AI166*VLOOKUP('Données projet'!$B$10,Paramètres!$A$1:$I$89,3,0)*VLOOKUP('Données projet'!$B$10,Paramètres!$A$1:$I$89,5,0)</f>
        <v>-2.4829205358400945E-14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254.24072778190163</v>
      </c>
      <c r="AO166" s="59">
        <f t="shared" si="144"/>
        <v>356.78706780980383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0.22062053201803516</v>
      </c>
      <c r="AV166" s="21">
        <f>EXP(-LN(2)/25)*AV165+(1-EXP(-LN(2)/25))/(LN(2)/25)*Calculateur!AQ166*Calculateur!AS166*VLOOKUP('Données projet'!$B$10,Paramètres!$A$1:$I$89,3,0)*0.475*44/12</f>
        <v>0.44290164005655991</v>
      </c>
      <c r="AW166" s="21">
        <f>EXP(-LN(2)/2)*AW165+(1-EXP(-LN(2)/2))/(LN(2)/2)*AQ166*AT166*VLOOKUP('Données projet'!$B$10,Paramètres!$A$1:$I$89,3,0)*0.475*44/12</f>
        <v>2.6612230388590456E-19</v>
      </c>
      <c r="AX166" s="21">
        <f t="shared" si="166"/>
        <v>0.66352217207459507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-2.7193891583010558E-13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246.59447135626942</v>
      </c>
      <c r="BJ166" s="59">
        <f t="shared" si="146"/>
        <v>262.00382544285367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0.32166118689367101</v>
      </c>
      <c r="BR166" s="21">
        <f>EXP(-LN(2)/2)*BR165+(1-EXP(-LN(2)/2))/(LN(2)/2)*BL166*BO166*VLOOKUP('Données projet'!$B$11,Paramètres!$A$1:$I$89,3,0)*0.475*44/12</f>
        <v>2.274004454789828E-19</v>
      </c>
      <c r="BS166" s="22">
        <f t="shared" si="169"/>
        <v>0.32166118689367101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1.0286385077051818E-13</v>
      </c>
      <c r="CA166" s="13">
        <f t="shared" si="170"/>
        <v>1.5402366592183556E-12</v>
      </c>
      <c r="CB166" s="20">
        <f t="shared" si="171"/>
        <v>2.8617333882306215E-12</v>
      </c>
      <c r="CC166" s="59">
        <f t="shared" si="119"/>
        <v>293.33333333333616</v>
      </c>
      <c r="CD166" s="59">
        <f ca="1">AVERAGE(OFFSET($CC$3,0,0,'Données projet'!$E$12+1,1))-AVERAGE(OFFSET($H$3,0,0,'Données projet'!$E$12+1,1))</f>
        <v>169.62156467157178</v>
      </c>
      <c r="CE166" s="59">
        <f t="shared" si="148"/>
        <v>85.631326020763254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4.6111381379887463E-14</v>
      </c>
      <c r="CV166" s="13">
        <f t="shared" si="173"/>
        <v>7.5804141040779151E-13</v>
      </c>
      <c r="CW166" s="20">
        <f t="shared" si="174"/>
        <v>1.4005661123635408E-12</v>
      </c>
      <c r="CX166" s="59">
        <f t="shared" si="122"/>
        <v>293.33333333333474</v>
      </c>
      <c r="CY166" s="59">
        <f ca="1">AVERAGE(OFFSET($CX$3,0,0,'Données projet'!$E$13+1,1))-AVERAGE(OFFSET($H$3,0,0,'Données projet'!$E$13+1,1))</f>
        <v>234.59657655504111</v>
      </c>
      <c r="CZ166" s="59">
        <f t="shared" si="150"/>
        <v>285.10598666479211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0.21294380920270345</v>
      </c>
      <c r="DH166" s="21">
        <f>EXP(-LN(2)/2)*DH165+(1-EXP(-LN(2)/2))/(LN(2)/2)*DB166*DE166*VLOOKUP('Données projet'!$B$13,Paramètres!$A$1:$I$89,3,0)*0.475*44/12</f>
        <v>1.0515105210221475E-19</v>
      </c>
      <c r="DI166" s="22">
        <f t="shared" si="175"/>
        <v>0.21294380920270345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1.1368683772161603E-13</v>
      </c>
      <c r="DP166" s="17">
        <f>DO166*VLOOKUP('Données projet'!$B$14,Paramètres!$A$1:$I$89,3,0)*VLOOKUP('Données projet'!$B$14,Paramètres!$A$1:$I$89,5,0)</f>
        <v>1.0995790944434703E-13</v>
      </c>
      <c r="DQ166" s="13">
        <f t="shared" si="176"/>
        <v>1.6337280948049956E-12</v>
      </c>
      <c r="DR166" s="20">
        <f t="shared" si="177"/>
        <v>3.036919790734272E-12</v>
      </c>
      <c r="DS166" s="59">
        <f t="shared" si="125"/>
        <v>293.33333333333633</v>
      </c>
      <c r="DT166" s="59">
        <f ca="1">AVERAGE(OFFSET($DS$3,0,0,'Données projet'!$E$14+1,1))-AVERAGE(OFFSET($H$3,0,0,'Données projet'!$E$14+1,1))</f>
        <v>186.90852124957956</v>
      </c>
      <c r="DU166" s="59">
        <f t="shared" si="152"/>
        <v>93.013797128776446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1.1368683772161603E-13</v>
      </c>
      <c r="EK166" s="17">
        <f>EJ166*VLOOKUP('Données projet'!$B$15,Paramètres!$A$1:$I$89,3,0)*VLOOKUP('Données projet'!$B$15,Paramètres!$A$1:$I$89,5,0)</f>
        <v>1.223725121235475E-13</v>
      </c>
      <c r="EL166" s="13">
        <f t="shared" si="179"/>
        <v>1.7956824466038182E-12</v>
      </c>
      <c r="EM166" s="20">
        <f t="shared" si="180"/>
        <v>3.3406123864501612E-12</v>
      </c>
      <c r="EN166" s="59">
        <f t="shared" si="128"/>
        <v>293.33333333333667</v>
      </c>
      <c r="EO166" s="59">
        <f ca="1">AVERAGE(OFFSET($EN$3,0,0,'Données projet'!$E$15+1,1))-AVERAGE(OFFSET($H$3,0,0,'Données projet'!$E$15+1,1))</f>
        <v>217.10418688911096</v>
      </c>
      <c r="EP166" s="59">
        <f t="shared" si="154"/>
        <v>105.90631421515786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145.19188637714888</v>
      </c>
      <c r="T167" s="59">
        <f t="shared" si="142"/>
        <v>169.74069292032493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0.15571445148958393</v>
      </c>
      <c r="AA167" s="21">
        <f>EXP(-LN(2)/25)*AA166+(1-EXP(-LN(2)/25))/(LN(2)/25)*Calculateur!V167*Calculateur!X167*VLOOKUP('Données projet'!$B$9,Paramètres!$A$1:$I$89,3,0)*0.475*44/12</f>
        <v>0.21075401634310995</v>
      </c>
      <c r="AB167" s="21">
        <f>EXP(-LN(2)/2)*AB166+(1-EXP(-LN(2)/2))/(LN(2)/2)*V167*Y167*VLOOKUP('Données projet'!$B$9,Paramètres!$A$1:$I$89,3,0)*0.475*44/12</f>
        <v>2.7413527520844801E-20</v>
      </c>
      <c r="AC167" s="22">
        <f t="shared" si="163"/>
        <v>0.36646846783269388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-2.8421709430404007E-14</v>
      </c>
      <c r="AJ167" s="13">
        <f>AI167*VLOOKUP('Données projet'!$B$10,Paramètres!$A$1:$I$89,3,0)*VLOOKUP('Données projet'!$B$10,Paramètres!$A$1:$I$89,5,0)</f>
        <v>-2.4829205358400945E-14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254.24072778190163</v>
      </c>
      <c r="AO167" s="59">
        <f t="shared" si="144"/>
        <v>356.78706780980383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0.21629429795039881</v>
      </c>
      <c r="AV167" s="21">
        <f>EXP(-LN(2)/25)*AV166+(1-EXP(-LN(2)/25))/(LN(2)/25)*Calculateur!AQ167*Calculateur!AS167*VLOOKUP('Données projet'!$B$10,Paramètres!$A$1:$I$89,3,0)*0.475*44/12</f>
        <v>0.43079047141802829</v>
      </c>
      <c r="AW167" s="21">
        <f>EXP(-LN(2)/2)*AW166+(1-EXP(-LN(2)/2))/(LN(2)/2)*AQ167*AT167*VLOOKUP('Données projet'!$B$10,Paramètres!$A$1:$I$89,3,0)*0.475*44/12</f>
        <v>1.8817688570271023E-19</v>
      </c>
      <c r="AX167" s="21">
        <f t="shared" si="166"/>
        <v>0.64708476936842707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-2.7193891583010558E-13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246.59447135626942</v>
      </c>
      <c r="BJ167" s="59">
        <f t="shared" si="146"/>
        <v>262.00382544285367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0.31286534482263695</v>
      </c>
      <c r="BR167" s="21">
        <f>EXP(-LN(2)/2)*BR166+(1-EXP(-LN(2)/2))/(LN(2)/2)*BL167*BO167*VLOOKUP('Données projet'!$B$11,Paramètres!$A$1:$I$89,3,0)*0.475*44/12</f>
        <v>1.6079639704303053E-19</v>
      </c>
      <c r="BS167" s="22">
        <f t="shared" si="169"/>
        <v>0.31286534482263695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1.0286385077051818E-13</v>
      </c>
      <c r="CA167" s="13">
        <f t="shared" si="170"/>
        <v>1.5402366592183556E-12</v>
      </c>
      <c r="CB167" s="20">
        <f t="shared" si="171"/>
        <v>2.8617333882306215E-12</v>
      </c>
      <c r="CC167" s="59">
        <f t="shared" si="119"/>
        <v>293.33333333333616</v>
      </c>
      <c r="CD167" s="59">
        <f ca="1">AVERAGE(OFFSET($CC$3,0,0,'Données projet'!$E$12+1,1))-AVERAGE(OFFSET($H$3,0,0,'Données projet'!$E$12+1,1))</f>
        <v>169.62156467157178</v>
      </c>
      <c r="CE167" s="59">
        <f t="shared" si="148"/>
        <v>85.631326020763254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4.6111381379887463E-14</v>
      </c>
      <c r="CV167" s="13">
        <f t="shared" si="173"/>
        <v>7.5804141040779151E-13</v>
      </c>
      <c r="CW167" s="20">
        <f t="shared" si="174"/>
        <v>1.4005661123635408E-12</v>
      </c>
      <c r="CX167" s="59">
        <f t="shared" si="122"/>
        <v>293.33333333333474</v>
      </c>
      <c r="CY167" s="59">
        <f ca="1">AVERAGE(OFFSET($CX$3,0,0,'Données projet'!$E$13+1,1))-AVERAGE(OFFSET($H$3,0,0,'Données projet'!$E$13+1,1))</f>
        <v>234.59657655504111</v>
      </c>
      <c r="CZ167" s="59">
        <f t="shared" si="150"/>
        <v>285.10598666479211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0.20712084954182727</v>
      </c>
      <c r="DH167" s="21">
        <f>EXP(-LN(2)/2)*DH166+(1-EXP(-LN(2)/2))/(LN(2)/2)*DB167*DE167*VLOOKUP('Données projet'!$B$13,Paramètres!$A$1:$I$89,3,0)*0.475*44/12</f>
        <v>7.4353021990376022E-20</v>
      </c>
      <c r="DI167" s="22">
        <f t="shared" si="175"/>
        <v>0.20712084954182727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1.1368683772161603E-13</v>
      </c>
      <c r="DP167" s="17">
        <f>DO167*VLOOKUP('Données projet'!$B$14,Paramètres!$A$1:$I$89,3,0)*VLOOKUP('Données projet'!$B$14,Paramètres!$A$1:$I$89,5,0)</f>
        <v>1.0995790944434703E-13</v>
      </c>
      <c r="DQ167" s="13">
        <f t="shared" si="176"/>
        <v>1.6337280948049956E-12</v>
      </c>
      <c r="DR167" s="20">
        <f t="shared" si="177"/>
        <v>3.036919790734272E-12</v>
      </c>
      <c r="DS167" s="59">
        <f t="shared" si="125"/>
        <v>293.33333333333633</v>
      </c>
      <c r="DT167" s="59">
        <f ca="1">AVERAGE(OFFSET($DS$3,0,0,'Données projet'!$E$14+1,1))-AVERAGE(OFFSET($H$3,0,0,'Données projet'!$E$14+1,1))</f>
        <v>186.90852124957956</v>
      </c>
      <c r="DU167" s="59">
        <f t="shared" si="152"/>
        <v>93.013797128776446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1.1368683772161603E-13</v>
      </c>
      <c r="EK167" s="17">
        <f>EJ167*VLOOKUP('Données projet'!$B$15,Paramètres!$A$1:$I$89,3,0)*VLOOKUP('Données projet'!$B$15,Paramètres!$A$1:$I$89,5,0)</f>
        <v>1.223725121235475E-13</v>
      </c>
      <c r="EL167" s="13">
        <f t="shared" si="179"/>
        <v>1.7956824466038182E-12</v>
      </c>
      <c r="EM167" s="20">
        <f t="shared" si="180"/>
        <v>3.3406123864501612E-12</v>
      </c>
      <c r="EN167" s="59">
        <f t="shared" si="128"/>
        <v>293.33333333333667</v>
      </c>
      <c r="EO167" s="59">
        <f ca="1">AVERAGE(OFFSET($EN$3,0,0,'Données projet'!$E$15+1,1))-AVERAGE(OFFSET($H$3,0,0,'Données projet'!$E$15+1,1))</f>
        <v>217.10418688911096</v>
      </c>
      <c r="EP167" s="59">
        <f t="shared" si="154"/>
        <v>105.90631421515786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145.19188637714888</v>
      </c>
      <c r="T168" s="59">
        <f t="shared" si="142"/>
        <v>169.74069292032493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0.15266098607231046</v>
      </c>
      <c r="AA168" s="21">
        <f>EXP(-LN(2)/25)*AA167+(1-EXP(-LN(2)/25))/(LN(2)/25)*Calculateur!V168*Calculateur!X168*VLOOKUP('Données projet'!$B$9,Paramètres!$A$1:$I$89,3,0)*0.475*44/12</f>
        <v>0.20499093668313556</v>
      </c>
      <c r="AB168" s="21">
        <f>EXP(-LN(2)/2)*AB167+(1-EXP(-LN(2)/2))/(LN(2)/2)*V168*Y168*VLOOKUP('Données projet'!$B$9,Paramètres!$A$1:$I$89,3,0)*0.475*44/12</f>
        <v>1.9384291206233403E-20</v>
      </c>
      <c r="AC168" s="22">
        <f t="shared" si="163"/>
        <v>0.35765192275544599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-2.8421709430404007E-14</v>
      </c>
      <c r="AJ168" s="13">
        <f>AI168*VLOOKUP('Données projet'!$B$10,Paramètres!$A$1:$I$89,3,0)*VLOOKUP('Données projet'!$B$10,Paramètres!$A$1:$I$89,5,0)</f>
        <v>-2.4829205358400945E-14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254.24072778190163</v>
      </c>
      <c r="AO168" s="59">
        <f t="shared" si="144"/>
        <v>356.78706780980383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0.21205289869408658</v>
      </c>
      <c r="AV168" s="21">
        <f>EXP(-LN(2)/25)*AV167+(1-EXP(-LN(2)/25))/(LN(2)/25)*Calculateur!AQ168*Calculateur!AS168*VLOOKUP('Données projet'!$B$10,Paramètres!$A$1:$I$89,3,0)*0.475*44/12</f>
        <v>0.41901048332281599</v>
      </c>
      <c r="AW168" s="21">
        <f>EXP(-LN(2)/2)*AW167+(1-EXP(-LN(2)/2))/(LN(2)/2)*AQ168*AT168*VLOOKUP('Données projet'!$B$10,Paramètres!$A$1:$I$89,3,0)*0.475*44/12</f>
        <v>1.3306115194295228E-19</v>
      </c>
      <c r="AX168" s="21">
        <f t="shared" si="166"/>
        <v>0.6310633820169026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-2.7193891583010558E-13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246.59447135626942</v>
      </c>
      <c r="BJ168" s="59">
        <f t="shared" si="146"/>
        <v>262.00382544285367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0.3043100255155885</v>
      </c>
      <c r="BR168" s="21">
        <f>EXP(-LN(2)/2)*BR167+(1-EXP(-LN(2)/2))/(LN(2)/2)*BL168*BO168*VLOOKUP('Données projet'!$B$11,Paramètres!$A$1:$I$89,3,0)*0.475*44/12</f>
        <v>1.137002227394914E-19</v>
      </c>
      <c r="BS168" s="22">
        <f t="shared" si="169"/>
        <v>0.3043100255155885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1.0286385077051818E-13</v>
      </c>
      <c r="CA168" s="13">
        <f t="shared" si="170"/>
        <v>1.5402366592183556E-12</v>
      </c>
      <c r="CB168" s="20">
        <f t="shared" si="171"/>
        <v>2.8617333882306215E-12</v>
      </c>
      <c r="CC168" s="59">
        <f t="shared" si="119"/>
        <v>293.33333333333616</v>
      </c>
      <c r="CD168" s="59">
        <f ca="1">AVERAGE(OFFSET($CC$3,0,0,'Données projet'!$E$12+1,1))-AVERAGE(OFFSET($H$3,0,0,'Données projet'!$E$12+1,1))</f>
        <v>169.62156467157178</v>
      </c>
      <c r="CE168" s="59">
        <f t="shared" si="148"/>
        <v>85.631326020763254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4.6111381379887463E-14</v>
      </c>
      <c r="CV168" s="13">
        <f t="shared" si="173"/>
        <v>7.5804141040779151E-13</v>
      </c>
      <c r="CW168" s="20">
        <f t="shared" si="174"/>
        <v>1.4005661123635408E-12</v>
      </c>
      <c r="CX168" s="59">
        <f t="shared" si="122"/>
        <v>293.33333333333474</v>
      </c>
      <c r="CY168" s="59">
        <f ca="1">AVERAGE(OFFSET($CX$3,0,0,'Données projet'!$E$13+1,1))-AVERAGE(OFFSET($H$3,0,0,'Données projet'!$E$13+1,1))</f>
        <v>234.59657655504111</v>
      </c>
      <c r="CZ168" s="59">
        <f t="shared" si="150"/>
        <v>285.10598666479211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0.20145711901909391</v>
      </c>
      <c r="DH168" s="21">
        <f>EXP(-LN(2)/2)*DH167+(1-EXP(-LN(2)/2))/(LN(2)/2)*DB168*DE168*VLOOKUP('Données projet'!$B$13,Paramètres!$A$1:$I$89,3,0)*0.475*44/12</f>
        <v>5.2575526051107375E-20</v>
      </c>
      <c r="DI168" s="22">
        <f t="shared" si="175"/>
        <v>0.20145711901909391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1.1368683772161603E-13</v>
      </c>
      <c r="DP168" s="17">
        <f>DO168*VLOOKUP('Données projet'!$B$14,Paramètres!$A$1:$I$89,3,0)*VLOOKUP('Données projet'!$B$14,Paramètres!$A$1:$I$89,5,0)</f>
        <v>1.0995790944434703E-13</v>
      </c>
      <c r="DQ168" s="13">
        <f t="shared" si="176"/>
        <v>1.6337280948049956E-12</v>
      </c>
      <c r="DR168" s="20">
        <f t="shared" si="177"/>
        <v>3.036919790734272E-12</v>
      </c>
      <c r="DS168" s="59">
        <f t="shared" si="125"/>
        <v>293.33333333333633</v>
      </c>
      <c r="DT168" s="59">
        <f ca="1">AVERAGE(OFFSET($DS$3,0,0,'Données projet'!$E$14+1,1))-AVERAGE(OFFSET($H$3,0,0,'Données projet'!$E$14+1,1))</f>
        <v>186.90852124957956</v>
      </c>
      <c r="DU168" s="59">
        <f t="shared" si="152"/>
        <v>93.013797128776446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1.1368683772161603E-13</v>
      </c>
      <c r="EK168" s="17">
        <f>EJ168*VLOOKUP('Données projet'!$B$15,Paramètres!$A$1:$I$89,3,0)*VLOOKUP('Données projet'!$B$15,Paramètres!$A$1:$I$89,5,0)</f>
        <v>1.223725121235475E-13</v>
      </c>
      <c r="EL168" s="13">
        <f t="shared" si="179"/>
        <v>1.7956824466038182E-12</v>
      </c>
      <c r="EM168" s="20">
        <f t="shared" si="180"/>
        <v>3.3406123864501612E-12</v>
      </c>
      <c r="EN168" s="59">
        <f t="shared" si="128"/>
        <v>293.33333333333667</v>
      </c>
      <c r="EO168" s="59">
        <f ca="1">AVERAGE(OFFSET($EN$3,0,0,'Données projet'!$E$15+1,1))-AVERAGE(OFFSET($H$3,0,0,'Données projet'!$E$15+1,1))</f>
        <v>217.10418688911096</v>
      </c>
      <c r="EP168" s="59">
        <f t="shared" si="154"/>
        <v>105.90631421515786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145.19188637714888</v>
      </c>
      <c r="T169" s="59">
        <f t="shared" si="142"/>
        <v>169.74069292032493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0.14966739724943973</v>
      </c>
      <c r="AA169" s="21">
        <f>EXP(-LN(2)/25)*AA168+(1-EXP(-LN(2)/25))/(LN(2)/25)*Calculateur!V169*Calculateur!X169*VLOOKUP('Données projet'!$B$9,Paramètres!$A$1:$I$89,3,0)*0.475*44/12</f>
        <v>0.19938544873953037</v>
      </c>
      <c r="AB169" s="21">
        <f>EXP(-LN(2)/2)*AB168+(1-EXP(-LN(2)/2))/(LN(2)/2)*V169*Y169*VLOOKUP('Données projet'!$B$9,Paramètres!$A$1:$I$89,3,0)*0.475*44/12</f>
        <v>1.37067637604224E-20</v>
      </c>
      <c r="AC169" s="22">
        <f t="shared" si="163"/>
        <v>0.34905284598897013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-2.8421709430404007E-14</v>
      </c>
      <c r="AJ169" s="13">
        <f>AI169*VLOOKUP('Données projet'!$B$10,Paramètres!$A$1:$I$89,3,0)*VLOOKUP('Données projet'!$B$10,Paramètres!$A$1:$I$89,5,0)</f>
        <v>-2.4829205358400945E-14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254.24072778190163</v>
      </c>
      <c r="AO169" s="59">
        <f t="shared" si="144"/>
        <v>356.78706780980383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0.20789467069019255</v>
      </c>
      <c r="AV169" s="21">
        <f>EXP(-LN(2)/25)*AV168+(1-EXP(-LN(2)/25))/(LN(2)/25)*Calculateur!AQ169*Calculateur!AS169*VLOOKUP('Données projet'!$B$10,Paramètres!$A$1:$I$89,3,0)*0.475*44/12</f>
        <v>0.40755261962154993</v>
      </c>
      <c r="AW169" s="21">
        <f>EXP(-LN(2)/2)*AW168+(1-EXP(-LN(2)/2))/(LN(2)/2)*AQ169*AT169*VLOOKUP('Données projet'!$B$10,Paramètres!$A$1:$I$89,3,0)*0.475*44/12</f>
        <v>9.4088442851355113E-20</v>
      </c>
      <c r="AX169" s="21">
        <f t="shared" si="166"/>
        <v>0.6154472903117425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-2.7193891583010558E-13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246.59447135626942</v>
      </c>
      <c r="BJ169" s="59">
        <f t="shared" si="146"/>
        <v>262.00382544285367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0.29598865186489598</v>
      </c>
      <c r="BR169" s="21">
        <f>EXP(-LN(2)/2)*BR168+(1-EXP(-LN(2)/2))/(LN(2)/2)*BL169*BO169*VLOOKUP('Données projet'!$B$11,Paramètres!$A$1:$I$89,3,0)*0.475*44/12</f>
        <v>8.0398198521515263E-20</v>
      </c>
      <c r="BS169" s="22">
        <f t="shared" si="169"/>
        <v>0.29598865186489598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1.0286385077051818E-13</v>
      </c>
      <c r="CA169" s="13">
        <f t="shared" si="170"/>
        <v>1.5402366592183556E-12</v>
      </c>
      <c r="CB169" s="20">
        <f t="shared" si="171"/>
        <v>2.8617333882306215E-12</v>
      </c>
      <c r="CC169" s="59">
        <f t="shared" si="119"/>
        <v>293.33333333333616</v>
      </c>
      <c r="CD169" s="59">
        <f ca="1">AVERAGE(OFFSET($CC$3,0,0,'Données projet'!$E$12+1,1))-AVERAGE(OFFSET($H$3,0,0,'Données projet'!$E$12+1,1))</f>
        <v>169.62156467157178</v>
      </c>
      <c r="CE169" s="59">
        <f t="shared" si="148"/>
        <v>85.631326020763254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4.6111381379887463E-14</v>
      </c>
      <c r="CV169" s="13">
        <f t="shared" si="173"/>
        <v>7.5804141040779151E-13</v>
      </c>
      <c r="CW169" s="20">
        <f t="shared" si="174"/>
        <v>1.4005661123635408E-12</v>
      </c>
      <c r="CX169" s="59">
        <f t="shared" si="122"/>
        <v>293.33333333333474</v>
      </c>
      <c r="CY169" s="59">
        <f ca="1">AVERAGE(OFFSET($CX$3,0,0,'Données projet'!$E$13+1,1))-AVERAGE(OFFSET($H$3,0,0,'Données projet'!$E$13+1,1))</f>
        <v>234.59657655504111</v>
      </c>
      <c r="CZ169" s="59">
        <f t="shared" si="150"/>
        <v>285.10598666479211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0.19594826350534733</v>
      </c>
      <c r="DH169" s="21">
        <f>EXP(-LN(2)/2)*DH168+(1-EXP(-LN(2)/2))/(LN(2)/2)*DB169*DE169*VLOOKUP('Données projet'!$B$13,Paramètres!$A$1:$I$89,3,0)*0.475*44/12</f>
        <v>3.7176510995188011E-20</v>
      </c>
      <c r="DI169" s="22">
        <f t="shared" si="175"/>
        <v>0.19594826350534733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1.1368683772161603E-13</v>
      </c>
      <c r="DP169" s="17">
        <f>DO169*VLOOKUP('Données projet'!$B$14,Paramètres!$A$1:$I$89,3,0)*VLOOKUP('Données projet'!$B$14,Paramètres!$A$1:$I$89,5,0)</f>
        <v>1.0995790944434703E-13</v>
      </c>
      <c r="DQ169" s="13">
        <f t="shared" si="176"/>
        <v>1.6337280948049956E-12</v>
      </c>
      <c r="DR169" s="20">
        <f t="shared" si="177"/>
        <v>3.036919790734272E-12</v>
      </c>
      <c r="DS169" s="59">
        <f t="shared" si="125"/>
        <v>293.33333333333633</v>
      </c>
      <c r="DT169" s="59">
        <f ca="1">AVERAGE(OFFSET($DS$3,0,0,'Données projet'!$E$14+1,1))-AVERAGE(OFFSET($H$3,0,0,'Données projet'!$E$14+1,1))</f>
        <v>186.90852124957956</v>
      </c>
      <c r="DU169" s="59">
        <f t="shared" si="152"/>
        <v>93.013797128776446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1.1368683772161603E-13</v>
      </c>
      <c r="EK169" s="17">
        <f>EJ169*VLOOKUP('Données projet'!$B$15,Paramètres!$A$1:$I$89,3,0)*VLOOKUP('Données projet'!$B$15,Paramètres!$A$1:$I$89,5,0)</f>
        <v>1.223725121235475E-13</v>
      </c>
      <c r="EL169" s="13">
        <f t="shared" si="179"/>
        <v>1.7956824466038182E-12</v>
      </c>
      <c r="EM169" s="20">
        <f t="shared" si="180"/>
        <v>3.3406123864501612E-12</v>
      </c>
      <c r="EN169" s="59">
        <f t="shared" si="128"/>
        <v>293.33333333333667</v>
      </c>
      <c r="EO169" s="59">
        <f ca="1">AVERAGE(OFFSET($EN$3,0,0,'Données projet'!$E$15+1,1))-AVERAGE(OFFSET($H$3,0,0,'Données projet'!$E$15+1,1))</f>
        <v>217.10418688911096</v>
      </c>
      <c r="EP169" s="59">
        <f t="shared" si="154"/>
        <v>105.90631421515786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145.19188637714888</v>
      </c>
      <c r="T170" s="59">
        <f t="shared" si="142"/>
        <v>169.74069292032493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0.14673251087747657</v>
      </c>
      <c r="AA170" s="21">
        <f>EXP(-LN(2)/25)*AA169+(1-EXP(-LN(2)/25))/(LN(2)/25)*Calculateur!V170*Calculateur!X170*VLOOKUP('Données projet'!$B$9,Paramètres!$A$1:$I$89,3,0)*0.475*44/12</f>
        <v>0.19393324315852287</v>
      </c>
      <c r="AB170" s="21">
        <f>EXP(-LN(2)/2)*AB169+(1-EXP(-LN(2)/2))/(LN(2)/2)*V170*Y170*VLOOKUP('Données projet'!$B$9,Paramètres!$A$1:$I$89,3,0)*0.475*44/12</f>
        <v>9.6921456031167016E-21</v>
      </c>
      <c r="AC170" s="22">
        <f t="shared" si="163"/>
        <v>0.34066575403599941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-2.8421709430404007E-14</v>
      </c>
      <c r="AJ170" s="13">
        <f>AI170*VLOOKUP('Données projet'!$B$10,Paramètres!$A$1:$I$89,3,0)*VLOOKUP('Données projet'!$B$10,Paramètres!$A$1:$I$89,5,0)</f>
        <v>-2.4829205358400945E-14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254.24072778190163</v>
      </c>
      <c r="AO170" s="59">
        <f t="shared" si="144"/>
        <v>356.78706780980383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0.2038179830011862</v>
      </c>
      <c r="AV170" s="21">
        <f>EXP(-LN(2)/25)*AV169+(1-EXP(-LN(2)/25))/(LN(2)/25)*Calculateur!AQ170*Calculateur!AS170*VLOOKUP('Données projet'!$B$10,Paramètres!$A$1:$I$89,3,0)*0.475*44/12</f>
        <v>0.39640807180573784</v>
      </c>
      <c r="AW170" s="21">
        <f>EXP(-LN(2)/2)*AW169+(1-EXP(-LN(2)/2))/(LN(2)/2)*AQ170*AT170*VLOOKUP('Données projet'!$B$10,Paramètres!$A$1:$I$89,3,0)*0.475*44/12</f>
        <v>6.653057597147614E-20</v>
      </c>
      <c r="AX170" s="21">
        <f t="shared" si="166"/>
        <v>0.60022605480692404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-2.7193891583010558E-13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246.59447135626942</v>
      </c>
      <c r="BJ170" s="59">
        <f t="shared" si="146"/>
        <v>262.00382544285367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0.28789482661428367</v>
      </c>
      <c r="BR170" s="21">
        <f>EXP(-LN(2)/2)*BR169+(1-EXP(-LN(2)/2))/(LN(2)/2)*BL170*BO170*VLOOKUP('Données projet'!$B$11,Paramètres!$A$1:$I$89,3,0)*0.475*44/12</f>
        <v>5.6850111369745701E-20</v>
      </c>
      <c r="BS170" s="22">
        <f t="shared" si="169"/>
        <v>0.28789482661428367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1.0286385077051818E-13</v>
      </c>
      <c r="CA170" s="13">
        <f t="shared" si="170"/>
        <v>1.5402366592183556E-12</v>
      </c>
      <c r="CB170" s="20">
        <f t="shared" si="171"/>
        <v>2.8617333882306215E-12</v>
      </c>
      <c r="CC170" s="59">
        <f t="shared" si="119"/>
        <v>293.33333333333616</v>
      </c>
      <c r="CD170" s="59">
        <f ca="1">AVERAGE(OFFSET($CC$3,0,0,'Données projet'!$E$12+1,1))-AVERAGE(OFFSET($H$3,0,0,'Données projet'!$E$12+1,1))</f>
        <v>169.62156467157178</v>
      </c>
      <c r="CE170" s="59">
        <f t="shared" si="148"/>
        <v>85.631326020763254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4.6111381379887463E-14</v>
      </c>
      <c r="CV170" s="13">
        <f t="shared" si="173"/>
        <v>7.5804141040779151E-13</v>
      </c>
      <c r="CW170" s="20">
        <f t="shared" si="174"/>
        <v>1.4005661123635408E-12</v>
      </c>
      <c r="CX170" s="59">
        <f t="shared" si="122"/>
        <v>293.33333333333474</v>
      </c>
      <c r="CY170" s="59">
        <f ca="1">AVERAGE(OFFSET($CX$3,0,0,'Données projet'!$E$13+1,1))-AVERAGE(OFFSET($H$3,0,0,'Données projet'!$E$13+1,1))</f>
        <v>234.59657655504111</v>
      </c>
      <c r="CZ170" s="59">
        <f t="shared" si="150"/>
        <v>285.10598666479211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0.19059004793532228</v>
      </c>
      <c r="DH170" s="21">
        <f>EXP(-LN(2)/2)*DH169+(1-EXP(-LN(2)/2))/(LN(2)/2)*DB170*DE170*VLOOKUP('Données projet'!$B$13,Paramètres!$A$1:$I$89,3,0)*0.475*44/12</f>
        <v>2.6287763025553687E-20</v>
      </c>
      <c r="DI170" s="22">
        <f t="shared" si="175"/>
        <v>0.19059004793532228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1.1368683772161603E-13</v>
      </c>
      <c r="DP170" s="17">
        <f>DO170*VLOOKUP('Données projet'!$B$14,Paramètres!$A$1:$I$89,3,0)*VLOOKUP('Données projet'!$B$14,Paramètres!$A$1:$I$89,5,0)</f>
        <v>1.0995790944434703E-13</v>
      </c>
      <c r="DQ170" s="13">
        <f t="shared" si="176"/>
        <v>1.6337280948049956E-12</v>
      </c>
      <c r="DR170" s="20">
        <f t="shared" si="177"/>
        <v>3.036919790734272E-12</v>
      </c>
      <c r="DS170" s="59">
        <f t="shared" si="125"/>
        <v>293.33333333333633</v>
      </c>
      <c r="DT170" s="59">
        <f ca="1">AVERAGE(OFFSET($DS$3,0,0,'Données projet'!$E$14+1,1))-AVERAGE(OFFSET($H$3,0,0,'Données projet'!$E$14+1,1))</f>
        <v>186.90852124957956</v>
      </c>
      <c r="DU170" s="59">
        <f t="shared" si="152"/>
        <v>93.013797128776446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1.1368683772161603E-13</v>
      </c>
      <c r="EK170" s="17">
        <f>EJ170*VLOOKUP('Données projet'!$B$15,Paramètres!$A$1:$I$89,3,0)*VLOOKUP('Données projet'!$B$15,Paramètres!$A$1:$I$89,5,0)</f>
        <v>1.223725121235475E-13</v>
      </c>
      <c r="EL170" s="13">
        <f t="shared" si="179"/>
        <v>1.7956824466038182E-12</v>
      </c>
      <c r="EM170" s="20">
        <f t="shared" si="180"/>
        <v>3.3406123864501612E-12</v>
      </c>
      <c r="EN170" s="59">
        <f t="shared" si="128"/>
        <v>293.33333333333667</v>
      </c>
      <c r="EO170" s="59">
        <f ca="1">AVERAGE(OFFSET($EN$3,0,0,'Données projet'!$E$15+1,1))-AVERAGE(OFFSET($H$3,0,0,'Données projet'!$E$15+1,1))</f>
        <v>217.10418688911096</v>
      </c>
      <c r="EP170" s="59">
        <f t="shared" si="154"/>
        <v>105.90631421515786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145.19188637714888</v>
      </c>
      <c r="T171" s="59">
        <f t="shared" si="142"/>
        <v>169.74069292032493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0.1438551758371637</v>
      </c>
      <c r="AA171" s="21">
        <f>EXP(-LN(2)/25)*AA170+(1-EXP(-LN(2)/25))/(LN(2)/25)*Calculateur!V171*Calculateur!X171*VLOOKUP('Données projet'!$B$9,Paramètres!$A$1:$I$89,3,0)*0.475*44/12</f>
        <v>0.18863012842584703</v>
      </c>
      <c r="AB171" s="21">
        <f>EXP(-LN(2)/2)*AB170+(1-EXP(-LN(2)/2))/(LN(2)/2)*V171*Y171*VLOOKUP('Données projet'!$B$9,Paramètres!$A$1:$I$89,3,0)*0.475*44/12</f>
        <v>6.8533818802112002E-21</v>
      </c>
      <c r="AC171" s="22">
        <f t="shared" si="163"/>
        <v>0.33248530426301071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-2.8421709430404007E-14</v>
      </c>
      <c r="AJ171" s="13">
        <f>AI171*VLOOKUP('Données projet'!$B$10,Paramètres!$A$1:$I$89,3,0)*VLOOKUP('Données projet'!$B$10,Paramètres!$A$1:$I$89,5,0)</f>
        <v>-2.4829205358400945E-14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254.24072778190163</v>
      </c>
      <c r="AO171" s="59">
        <f t="shared" si="144"/>
        <v>356.78706780980383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0.19982123667122731</v>
      </c>
      <c r="AV171" s="21">
        <f>EXP(-LN(2)/25)*AV170+(1-EXP(-LN(2)/25))/(LN(2)/25)*Calculateur!AQ171*Calculateur!AS171*VLOOKUP('Données projet'!$B$10,Paramètres!$A$1:$I$89,3,0)*0.475*44/12</f>
        <v>0.38556827223601542</v>
      </c>
      <c r="AW171" s="21">
        <f>EXP(-LN(2)/2)*AW170+(1-EXP(-LN(2)/2))/(LN(2)/2)*AQ171*AT171*VLOOKUP('Données projet'!$B$10,Paramètres!$A$1:$I$89,3,0)*0.475*44/12</f>
        <v>4.7044221425677556E-20</v>
      </c>
      <c r="AX171" s="21">
        <f t="shared" si="166"/>
        <v>0.58538950890724273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-2.7193891583010558E-13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246.59447135626942</v>
      </c>
      <c r="BJ171" s="59">
        <f t="shared" si="146"/>
        <v>262.00382544285367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0.28002232744078515</v>
      </c>
      <c r="BR171" s="21">
        <f>EXP(-LN(2)/2)*BR170+(1-EXP(-LN(2)/2))/(LN(2)/2)*BL171*BO171*VLOOKUP('Données projet'!$B$11,Paramètres!$A$1:$I$89,3,0)*0.475*44/12</f>
        <v>4.0199099260757632E-20</v>
      </c>
      <c r="BS171" s="22">
        <f t="shared" si="169"/>
        <v>0.28002232744078515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1.0286385077051818E-13</v>
      </c>
      <c r="CA171" s="13">
        <f t="shared" si="170"/>
        <v>1.5402366592183556E-12</v>
      </c>
      <c r="CB171" s="20">
        <f t="shared" si="171"/>
        <v>2.8617333882306215E-12</v>
      </c>
      <c r="CC171" s="59">
        <f t="shared" si="119"/>
        <v>293.33333333333616</v>
      </c>
      <c r="CD171" s="59">
        <f ca="1">AVERAGE(OFFSET($CC$3,0,0,'Données projet'!$E$12+1,1))-AVERAGE(OFFSET($H$3,0,0,'Données projet'!$E$12+1,1))</f>
        <v>169.62156467157178</v>
      </c>
      <c r="CE171" s="59">
        <f t="shared" si="148"/>
        <v>85.631326020763254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4.6111381379887463E-14</v>
      </c>
      <c r="CV171" s="13">
        <f t="shared" si="173"/>
        <v>7.5804141040779151E-13</v>
      </c>
      <c r="CW171" s="20">
        <f t="shared" si="174"/>
        <v>1.4005661123635408E-12</v>
      </c>
      <c r="CX171" s="59">
        <f t="shared" si="122"/>
        <v>293.33333333333474</v>
      </c>
      <c r="CY171" s="59">
        <f ca="1">AVERAGE(OFFSET($CX$3,0,0,'Données projet'!$E$13+1,1))-AVERAGE(OFFSET($H$3,0,0,'Données projet'!$E$13+1,1))</f>
        <v>234.59657655504111</v>
      </c>
      <c r="CZ171" s="59">
        <f t="shared" si="150"/>
        <v>285.10598666479211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0.18537835305183586</v>
      </c>
      <c r="DH171" s="21">
        <f>EXP(-LN(2)/2)*DH170+(1-EXP(-LN(2)/2))/(LN(2)/2)*DB171*DE171*VLOOKUP('Données projet'!$B$13,Paramètres!$A$1:$I$89,3,0)*0.475*44/12</f>
        <v>1.8588255497594005E-20</v>
      </c>
      <c r="DI171" s="22">
        <f t="shared" si="175"/>
        <v>0.18537835305183586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1.1368683772161603E-13</v>
      </c>
      <c r="DP171" s="17">
        <f>DO171*VLOOKUP('Données projet'!$B$14,Paramètres!$A$1:$I$89,3,0)*VLOOKUP('Données projet'!$B$14,Paramètres!$A$1:$I$89,5,0)</f>
        <v>1.0995790944434703E-13</v>
      </c>
      <c r="DQ171" s="13">
        <f t="shared" si="176"/>
        <v>1.6337280948049956E-12</v>
      </c>
      <c r="DR171" s="20">
        <f t="shared" si="177"/>
        <v>3.036919790734272E-12</v>
      </c>
      <c r="DS171" s="59">
        <f t="shared" si="125"/>
        <v>293.33333333333633</v>
      </c>
      <c r="DT171" s="59">
        <f ca="1">AVERAGE(OFFSET($DS$3,0,0,'Données projet'!$E$14+1,1))-AVERAGE(OFFSET($H$3,0,0,'Données projet'!$E$14+1,1))</f>
        <v>186.90852124957956</v>
      </c>
      <c r="DU171" s="59">
        <f t="shared" si="152"/>
        <v>93.013797128776446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1.1368683772161603E-13</v>
      </c>
      <c r="EK171" s="17">
        <f>EJ171*VLOOKUP('Données projet'!$B$15,Paramètres!$A$1:$I$89,3,0)*VLOOKUP('Données projet'!$B$15,Paramètres!$A$1:$I$89,5,0)</f>
        <v>1.223725121235475E-13</v>
      </c>
      <c r="EL171" s="13">
        <f t="shared" si="179"/>
        <v>1.7956824466038182E-12</v>
      </c>
      <c r="EM171" s="20">
        <f t="shared" si="180"/>
        <v>3.3406123864501612E-12</v>
      </c>
      <c r="EN171" s="59">
        <f t="shared" si="128"/>
        <v>293.33333333333667</v>
      </c>
      <c r="EO171" s="59">
        <f ca="1">AVERAGE(OFFSET($EN$3,0,0,'Données projet'!$E$15+1,1))-AVERAGE(OFFSET($H$3,0,0,'Données projet'!$E$15+1,1))</f>
        <v>217.10418688911096</v>
      </c>
      <c r="EP171" s="59">
        <f t="shared" si="154"/>
        <v>105.90631421515786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145.19188637714888</v>
      </c>
      <c r="T172" s="59">
        <f t="shared" si="142"/>
        <v>169.74069292032493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0.14103426358199028</v>
      </c>
      <c r="AA172" s="21">
        <f>EXP(-LN(2)/25)*AA171+(1-EXP(-LN(2)/25))/(LN(2)/25)*Calculateur!V172*Calculateur!X172*VLOOKUP('Données projet'!$B$9,Paramètres!$A$1:$I$89,3,0)*0.475*44/12</f>
        <v>0.18347202764441492</v>
      </c>
      <c r="AB172" s="21">
        <f>EXP(-LN(2)/2)*AB171+(1-EXP(-LN(2)/2))/(LN(2)/2)*V172*Y172*VLOOKUP('Données projet'!$B$9,Paramètres!$A$1:$I$89,3,0)*0.475*44/12</f>
        <v>4.8460728015583508E-21</v>
      </c>
      <c r="AC172" s="22">
        <f t="shared" si="163"/>
        <v>0.32450629122640517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-2.8421709430404007E-14</v>
      </c>
      <c r="AJ172" s="13">
        <f>AI172*VLOOKUP('Données projet'!$B$10,Paramètres!$A$1:$I$89,3,0)*VLOOKUP('Données projet'!$B$10,Paramètres!$A$1:$I$89,5,0)</f>
        <v>-2.4829205358400945E-14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254.24072778190163</v>
      </c>
      <c r="AO172" s="59">
        <f t="shared" si="144"/>
        <v>356.78706780980383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0.19590286409902435</v>
      </c>
      <c r="AV172" s="21">
        <f>EXP(-LN(2)/25)*AV171+(1-EXP(-LN(2)/25))/(LN(2)/25)*Calculateur!AQ172*Calculateur!AS172*VLOOKUP('Données projet'!$B$10,Paramètres!$A$1:$I$89,3,0)*0.475*44/12</f>
        <v>0.37502488755556734</v>
      </c>
      <c r="AW172" s="21">
        <f>EXP(-LN(2)/2)*AW171+(1-EXP(-LN(2)/2))/(LN(2)/2)*AQ172*AT172*VLOOKUP('Données projet'!$B$10,Paramètres!$A$1:$I$89,3,0)*0.475*44/12</f>
        <v>3.326528798573807E-20</v>
      </c>
      <c r="AX172" s="21">
        <f t="shared" si="166"/>
        <v>0.57092775165459164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-2.7193891583010558E-13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246.59447135626942</v>
      </c>
      <c r="BJ172" s="59">
        <f t="shared" si="146"/>
        <v>262.00382544285367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0.27236510217118265</v>
      </c>
      <c r="BR172" s="21">
        <f>EXP(-LN(2)/2)*BR171+(1-EXP(-LN(2)/2))/(LN(2)/2)*BL172*BO172*VLOOKUP('Données projet'!$B$11,Paramètres!$A$1:$I$89,3,0)*0.475*44/12</f>
        <v>2.842505568487285E-20</v>
      </c>
      <c r="BS172" s="22">
        <f t="shared" si="169"/>
        <v>0.27236510217118265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1.0286385077051818E-13</v>
      </c>
      <c r="CA172" s="13">
        <f t="shared" si="170"/>
        <v>1.5402366592183556E-12</v>
      </c>
      <c r="CB172" s="20">
        <f t="shared" si="171"/>
        <v>2.8617333882306215E-12</v>
      </c>
      <c r="CC172" s="59">
        <f t="shared" si="119"/>
        <v>293.33333333333616</v>
      </c>
      <c r="CD172" s="59">
        <f ca="1">AVERAGE(OFFSET($CC$3,0,0,'Données projet'!$E$12+1,1))-AVERAGE(OFFSET($H$3,0,0,'Données projet'!$E$12+1,1))</f>
        <v>169.62156467157178</v>
      </c>
      <c r="CE172" s="59">
        <f t="shared" si="148"/>
        <v>85.631326020763254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4.6111381379887463E-14</v>
      </c>
      <c r="CV172" s="13">
        <f t="shared" si="173"/>
        <v>7.5804141040779151E-13</v>
      </c>
      <c r="CW172" s="20">
        <f t="shared" si="174"/>
        <v>1.4005661123635408E-12</v>
      </c>
      <c r="CX172" s="59">
        <f t="shared" si="122"/>
        <v>293.33333333333474</v>
      </c>
      <c r="CY172" s="59">
        <f ca="1">AVERAGE(OFFSET($CX$3,0,0,'Données projet'!$E$13+1,1))-AVERAGE(OFFSET($H$3,0,0,'Données projet'!$E$13+1,1))</f>
        <v>234.59657655504111</v>
      </c>
      <c r="CZ172" s="59">
        <f t="shared" si="150"/>
        <v>285.10598666479211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0.18030917223900952</v>
      </c>
      <c r="DH172" s="21">
        <f>EXP(-LN(2)/2)*DH171+(1-EXP(-LN(2)/2))/(LN(2)/2)*DB172*DE172*VLOOKUP('Données projet'!$B$13,Paramètres!$A$1:$I$89,3,0)*0.475*44/12</f>
        <v>1.3143881512776844E-20</v>
      </c>
      <c r="DI172" s="22">
        <f t="shared" si="175"/>
        <v>0.18030917223900952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1.1368683772161603E-13</v>
      </c>
      <c r="DP172" s="17">
        <f>DO172*VLOOKUP('Données projet'!$B$14,Paramètres!$A$1:$I$89,3,0)*VLOOKUP('Données projet'!$B$14,Paramètres!$A$1:$I$89,5,0)</f>
        <v>1.0995790944434703E-13</v>
      </c>
      <c r="DQ172" s="13">
        <f t="shared" si="176"/>
        <v>1.6337280948049956E-12</v>
      </c>
      <c r="DR172" s="20">
        <f t="shared" si="177"/>
        <v>3.036919790734272E-12</v>
      </c>
      <c r="DS172" s="59">
        <f t="shared" si="125"/>
        <v>293.33333333333633</v>
      </c>
      <c r="DT172" s="59">
        <f ca="1">AVERAGE(OFFSET($DS$3,0,0,'Données projet'!$E$14+1,1))-AVERAGE(OFFSET($H$3,0,0,'Données projet'!$E$14+1,1))</f>
        <v>186.90852124957956</v>
      </c>
      <c r="DU172" s="59">
        <f t="shared" si="152"/>
        <v>93.013797128776446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1.1368683772161603E-13</v>
      </c>
      <c r="EK172" s="17">
        <f>EJ172*VLOOKUP('Données projet'!$B$15,Paramètres!$A$1:$I$89,3,0)*VLOOKUP('Données projet'!$B$15,Paramètres!$A$1:$I$89,5,0)</f>
        <v>1.223725121235475E-13</v>
      </c>
      <c r="EL172" s="13">
        <f t="shared" si="179"/>
        <v>1.7956824466038182E-12</v>
      </c>
      <c r="EM172" s="20">
        <f t="shared" si="180"/>
        <v>3.3406123864501612E-12</v>
      </c>
      <c r="EN172" s="59">
        <f t="shared" si="128"/>
        <v>293.33333333333667</v>
      </c>
      <c r="EO172" s="59">
        <f ca="1">AVERAGE(OFFSET($EN$3,0,0,'Données projet'!$E$15+1,1))-AVERAGE(OFFSET($H$3,0,0,'Données projet'!$E$15+1,1))</f>
        <v>217.10418688911096</v>
      </c>
      <c r="EP172" s="59">
        <f t="shared" si="154"/>
        <v>105.90631421515786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145.19188637714888</v>
      </c>
      <c r="T173" s="59">
        <f t="shared" si="142"/>
        <v>169.74069292032493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0.13826866769555424</v>
      </c>
      <c r="AA173" s="21">
        <f>EXP(-LN(2)/25)*AA172+(1-EXP(-LN(2)/25))/(LN(2)/25)*Calculateur!V173*Calculateur!X173*VLOOKUP('Données projet'!$B$9,Paramètres!$A$1:$I$89,3,0)*0.475*44/12</f>
        <v>0.1784549754001038</v>
      </c>
      <c r="AB173" s="21">
        <f>EXP(-LN(2)/2)*AB172+(1-EXP(-LN(2)/2))/(LN(2)/2)*V173*Y173*VLOOKUP('Données projet'!$B$9,Paramètres!$A$1:$I$89,3,0)*0.475*44/12</f>
        <v>3.4266909401056001E-21</v>
      </c>
      <c r="AC173" s="22">
        <f t="shared" si="163"/>
        <v>0.31672364309565804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-2.8421709430404007E-14</v>
      </c>
      <c r="AJ173" s="13">
        <f>AI173*VLOOKUP('Données projet'!$B$10,Paramètres!$A$1:$I$89,3,0)*VLOOKUP('Données projet'!$B$10,Paramètres!$A$1:$I$89,5,0)</f>
        <v>-2.4829205358400945E-14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254.24072778190163</v>
      </c>
      <c r="AO173" s="59">
        <f t="shared" si="144"/>
        <v>356.78706780980383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0.19206132842299103</v>
      </c>
      <c r="AV173" s="21">
        <f>EXP(-LN(2)/25)*AV172+(1-EXP(-LN(2)/25))/(LN(2)/25)*Calculateur!AQ173*Calculateur!AS173*VLOOKUP('Données projet'!$B$10,Paramètres!$A$1:$I$89,3,0)*0.475*44/12</f>
        <v>0.36476981228365862</v>
      </c>
      <c r="AW173" s="21">
        <f>EXP(-LN(2)/2)*AW172+(1-EXP(-LN(2)/2))/(LN(2)/2)*AQ173*AT173*VLOOKUP('Données projet'!$B$10,Paramètres!$A$1:$I$89,3,0)*0.475*44/12</f>
        <v>2.3522110712838778E-20</v>
      </c>
      <c r="AX173" s="21">
        <f t="shared" si="166"/>
        <v>0.55683114070664963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-2.7193891583010558E-13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246.59447135626942</v>
      </c>
      <c r="BJ173" s="59">
        <f t="shared" si="146"/>
        <v>262.00382544285367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0.26491726412925343</v>
      </c>
      <c r="BR173" s="21">
        <f>EXP(-LN(2)/2)*BR172+(1-EXP(-LN(2)/2))/(LN(2)/2)*BL173*BO173*VLOOKUP('Données projet'!$B$11,Paramètres!$A$1:$I$89,3,0)*0.475*44/12</f>
        <v>2.0099549630378816E-20</v>
      </c>
      <c r="BS173" s="22">
        <f t="shared" si="169"/>
        <v>0.26491726412925343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1.0286385077051818E-13</v>
      </c>
      <c r="CA173" s="13">
        <f t="shared" si="170"/>
        <v>1.5402366592183556E-12</v>
      </c>
      <c r="CB173" s="20">
        <f t="shared" si="171"/>
        <v>2.8617333882306215E-12</v>
      </c>
      <c r="CC173" s="59">
        <f t="shared" si="119"/>
        <v>293.33333333333616</v>
      </c>
      <c r="CD173" s="59">
        <f ca="1">AVERAGE(OFFSET($CC$3,0,0,'Données projet'!$E$12+1,1))-AVERAGE(OFFSET($H$3,0,0,'Données projet'!$E$12+1,1))</f>
        <v>169.62156467157178</v>
      </c>
      <c r="CE173" s="59">
        <f t="shared" si="148"/>
        <v>85.631326020763254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4.6111381379887463E-14</v>
      </c>
      <c r="CV173" s="13">
        <f t="shared" si="173"/>
        <v>7.5804141040779151E-13</v>
      </c>
      <c r="CW173" s="20">
        <f t="shared" si="174"/>
        <v>1.4005661123635408E-12</v>
      </c>
      <c r="CX173" s="59">
        <f t="shared" si="122"/>
        <v>293.33333333333474</v>
      </c>
      <c r="CY173" s="59">
        <f ca="1">AVERAGE(OFFSET($CX$3,0,0,'Données projet'!$E$13+1,1))-AVERAGE(OFFSET($H$3,0,0,'Données projet'!$E$13+1,1))</f>
        <v>234.59657655504111</v>
      </c>
      <c r="CZ173" s="59">
        <f t="shared" si="150"/>
        <v>285.10598666479211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0.17537860844208655</v>
      </c>
      <c r="DH173" s="21">
        <f>EXP(-LN(2)/2)*DH172+(1-EXP(-LN(2)/2))/(LN(2)/2)*DB173*DE173*VLOOKUP('Données projet'!$B$13,Paramètres!$A$1:$I$89,3,0)*0.475*44/12</f>
        <v>9.2941277487970027E-21</v>
      </c>
      <c r="DI173" s="22">
        <f t="shared" si="175"/>
        <v>0.17537860844208655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1.1368683772161603E-13</v>
      </c>
      <c r="DP173" s="17">
        <f>DO173*VLOOKUP('Données projet'!$B$14,Paramètres!$A$1:$I$89,3,0)*VLOOKUP('Données projet'!$B$14,Paramètres!$A$1:$I$89,5,0)</f>
        <v>1.0995790944434703E-13</v>
      </c>
      <c r="DQ173" s="13">
        <f t="shared" si="176"/>
        <v>1.6337280948049956E-12</v>
      </c>
      <c r="DR173" s="20">
        <f t="shared" si="177"/>
        <v>3.036919790734272E-12</v>
      </c>
      <c r="DS173" s="59">
        <f t="shared" si="125"/>
        <v>293.33333333333633</v>
      </c>
      <c r="DT173" s="59">
        <f ca="1">AVERAGE(OFFSET($DS$3,0,0,'Données projet'!$E$14+1,1))-AVERAGE(OFFSET($H$3,0,0,'Données projet'!$E$14+1,1))</f>
        <v>186.90852124957956</v>
      </c>
      <c r="DU173" s="59">
        <f t="shared" si="152"/>
        <v>93.013797128776446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1.1368683772161603E-13</v>
      </c>
      <c r="EK173" s="17">
        <f>EJ173*VLOOKUP('Données projet'!$B$15,Paramètres!$A$1:$I$89,3,0)*VLOOKUP('Données projet'!$B$15,Paramètres!$A$1:$I$89,5,0)</f>
        <v>1.223725121235475E-13</v>
      </c>
      <c r="EL173" s="13">
        <f t="shared" si="179"/>
        <v>1.7956824466038182E-12</v>
      </c>
      <c r="EM173" s="20">
        <f t="shared" si="180"/>
        <v>3.3406123864501612E-12</v>
      </c>
      <c r="EN173" s="59">
        <f t="shared" si="128"/>
        <v>293.33333333333667</v>
      </c>
      <c r="EO173" s="59">
        <f ca="1">AVERAGE(OFFSET($EN$3,0,0,'Données projet'!$E$15+1,1))-AVERAGE(OFFSET($H$3,0,0,'Données projet'!$E$15+1,1))</f>
        <v>217.10418688911096</v>
      </c>
      <c r="EP173" s="59">
        <f t="shared" si="154"/>
        <v>105.90631421515786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145.19188637714888</v>
      </c>
      <c r="T174" s="59">
        <f t="shared" si="142"/>
        <v>169.74069292032493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0.13555730345760428</v>
      </c>
      <c r="AA174" s="21">
        <f>EXP(-LN(2)/25)*AA173+(1-EXP(-LN(2)/25))/(LN(2)/25)*Calculateur!V174*Calculateur!X174*VLOOKUP('Données projet'!$B$9,Paramètres!$A$1:$I$89,3,0)*0.475*44/12</f>
        <v>0.17357511471324866</v>
      </c>
      <c r="AB174" s="21">
        <f>EXP(-LN(2)/2)*AB173+(1-EXP(-LN(2)/2))/(LN(2)/2)*V174*Y174*VLOOKUP('Données projet'!$B$9,Paramètres!$A$1:$I$89,3,0)*0.475*44/12</f>
        <v>2.4230364007791754E-21</v>
      </c>
      <c r="AC174" s="22">
        <f t="shared" si="163"/>
        <v>0.30913241817085291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-2.8421709430404007E-14</v>
      </c>
      <c r="AJ174" s="13">
        <f>AI174*VLOOKUP('Données projet'!$B$10,Paramètres!$A$1:$I$89,3,0)*VLOOKUP('Données projet'!$B$10,Paramètres!$A$1:$I$89,5,0)</f>
        <v>-2.4829205358400945E-14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254.24072778190163</v>
      </c>
      <c r="AO174" s="59">
        <f t="shared" si="144"/>
        <v>356.78706780980383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0.18829512291845932</v>
      </c>
      <c r="AV174" s="21">
        <f>EXP(-LN(2)/25)*AV173+(1-EXP(-LN(2)/25))/(LN(2)/25)*Calculateur!AQ174*Calculateur!AS174*VLOOKUP('Données projet'!$B$10,Paramètres!$A$1:$I$89,3,0)*0.475*44/12</f>
        <v>0.35479516258435123</v>
      </c>
      <c r="AW174" s="21">
        <f>EXP(-LN(2)/2)*AW173+(1-EXP(-LN(2)/2))/(LN(2)/2)*AQ174*AT174*VLOOKUP('Données projet'!$B$10,Paramètres!$A$1:$I$89,3,0)*0.475*44/12</f>
        <v>1.6632643992869035E-20</v>
      </c>
      <c r="AX174" s="21">
        <f t="shared" si="166"/>
        <v>0.54309028550281058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-2.7193891583010558E-13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246.59447135626942</v>
      </c>
      <c r="BJ174" s="59">
        <f t="shared" si="146"/>
        <v>262.00382544285367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0.25767308761024554</v>
      </c>
      <c r="BR174" s="21">
        <f>EXP(-LN(2)/2)*BR173+(1-EXP(-LN(2)/2))/(LN(2)/2)*BL174*BO174*VLOOKUP('Données projet'!$B$11,Paramètres!$A$1:$I$89,3,0)*0.475*44/12</f>
        <v>1.4212527842436425E-20</v>
      </c>
      <c r="BS174" s="22">
        <f t="shared" si="169"/>
        <v>0.25767308761024554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1.0286385077051818E-13</v>
      </c>
      <c r="CA174" s="13">
        <f t="shared" si="170"/>
        <v>1.5402366592183556E-12</v>
      </c>
      <c r="CB174" s="20">
        <f t="shared" si="171"/>
        <v>2.8617333882306215E-12</v>
      </c>
      <c r="CC174" s="59">
        <f t="shared" si="119"/>
        <v>293.33333333333616</v>
      </c>
      <c r="CD174" s="59">
        <f ca="1">AVERAGE(OFFSET($CC$3,0,0,'Données projet'!$E$12+1,1))-AVERAGE(OFFSET($H$3,0,0,'Données projet'!$E$12+1,1))</f>
        <v>169.62156467157178</v>
      </c>
      <c r="CE174" s="59">
        <f t="shared" si="148"/>
        <v>85.631326020763254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4.6111381379887463E-14</v>
      </c>
      <c r="CV174" s="13">
        <f t="shared" si="173"/>
        <v>7.5804141040779151E-13</v>
      </c>
      <c r="CW174" s="20">
        <f t="shared" si="174"/>
        <v>1.4005661123635408E-12</v>
      </c>
      <c r="CX174" s="59">
        <f t="shared" si="122"/>
        <v>293.33333333333474</v>
      </c>
      <c r="CY174" s="59">
        <f ca="1">AVERAGE(OFFSET($CX$3,0,0,'Données projet'!$E$13+1,1))-AVERAGE(OFFSET($H$3,0,0,'Données projet'!$E$13+1,1))</f>
        <v>234.59657655504111</v>
      </c>
      <c r="CZ174" s="59">
        <f t="shared" si="150"/>
        <v>285.10598666479211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0.17058287117147752</v>
      </c>
      <c r="DH174" s="21">
        <f>EXP(-LN(2)/2)*DH173+(1-EXP(-LN(2)/2))/(LN(2)/2)*DB174*DE174*VLOOKUP('Données projet'!$B$13,Paramètres!$A$1:$I$89,3,0)*0.475*44/12</f>
        <v>6.5719407563884218E-21</v>
      </c>
      <c r="DI174" s="22">
        <f t="shared" si="175"/>
        <v>0.17058287117147752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1.1368683772161603E-13</v>
      </c>
      <c r="DP174" s="17">
        <f>DO174*VLOOKUP('Données projet'!$B$14,Paramètres!$A$1:$I$89,3,0)*VLOOKUP('Données projet'!$B$14,Paramètres!$A$1:$I$89,5,0)</f>
        <v>1.0995790944434703E-13</v>
      </c>
      <c r="DQ174" s="13">
        <f t="shared" si="176"/>
        <v>1.6337280948049956E-12</v>
      </c>
      <c r="DR174" s="20">
        <f t="shared" si="177"/>
        <v>3.036919790734272E-12</v>
      </c>
      <c r="DS174" s="59">
        <f t="shared" si="125"/>
        <v>293.33333333333633</v>
      </c>
      <c r="DT174" s="59">
        <f ca="1">AVERAGE(OFFSET($DS$3,0,0,'Données projet'!$E$14+1,1))-AVERAGE(OFFSET($H$3,0,0,'Données projet'!$E$14+1,1))</f>
        <v>186.90852124957956</v>
      </c>
      <c r="DU174" s="59">
        <f t="shared" si="152"/>
        <v>93.013797128776446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1.1368683772161603E-13</v>
      </c>
      <c r="EK174" s="17">
        <f>EJ174*VLOOKUP('Données projet'!$B$15,Paramètres!$A$1:$I$89,3,0)*VLOOKUP('Données projet'!$B$15,Paramètres!$A$1:$I$89,5,0)</f>
        <v>1.223725121235475E-13</v>
      </c>
      <c r="EL174" s="13">
        <f t="shared" si="179"/>
        <v>1.7956824466038182E-12</v>
      </c>
      <c r="EM174" s="20">
        <f t="shared" si="180"/>
        <v>3.3406123864501612E-12</v>
      </c>
      <c r="EN174" s="59">
        <f t="shared" si="128"/>
        <v>293.33333333333667</v>
      </c>
      <c r="EO174" s="59">
        <f ca="1">AVERAGE(OFFSET($EN$3,0,0,'Données projet'!$E$15+1,1))-AVERAGE(OFFSET($H$3,0,0,'Données projet'!$E$15+1,1))</f>
        <v>217.10418688911096</v>
      </c>
      <c r="EP174" s="59">
        <f t="shared" si="154"/>
        <v>105.90631421515786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145.19188637714888</v>
      </c>
      <c r="T175" s="59">
        <f t="shared" si="142"/>
        <v>169.74069292032493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0.13289910741859162</v>
      </c>
      <c r="AA175" s="21">
        <f>EXP(-LN(2)/25)*AA174+(1-EXP(-LN(2)/25))/(LN(2)/25)*Calculateur!V175*Calculateur!X175*VLOOKUP('Données projet'!$B$9,Paramètres!$A$1:$I$89,3,0)*0.475*44/12</f>
        <v>0.16882869407349629</v>
      </c>
      <c r="AB175" s="21">
        <f>EXP(-LN(2)/2)*AB174+(1-EXP(-LN(2)/2))/(LN(2)/2)*V175*Y175*VLOOKUP('Données projet'!$B$9,Paramètres!$A$1:$I$89,3,0)*0.475*44/12</f>
        <v>1.7133454700528E-21</v>
      </c>
      <c r="AC175" s="22">
        <f t="shared" si="163"/>
        <v>0.30172780149208789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-2.8421709430404007E-14</v>
      </c>
      <c r="AJ175" s="13">
        <f>AI175*VLOOKUP('Données projet'!$B$10,Paramètres!$A$1:$I$89,3,0)*VLOOKUP('Données projet'!$B$10,Paramètres!$A$1:$I$89,5,0)</f>
        <v>-2.4829205358400945E-14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254.24072778190163</v>
      </c>
      <c r="AO175" s="59">
        <f t="shared" si="144"/>
        <v>356.78706780980383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0.18460277040671294</v>
      </c>
      <c r="AV175" s="21">
        <f>EXP(-LN(2)/25)*AV174+(1-EXP(-LN(2)/25))/(LN(2)/25)*Calculateur!AQ175*Calculateur!AS175*VLOOKUP('Données projet'!$B$10,Paramètres!$A$1:$I$89,3,0)*0.475*44/12</f>
        <v>0.34509327020561542</v>
      </c>
      <c r="AW175" s="21">
        <f>EXP(-LN(2)/2)*AW174+(1-EXP(-LN(2)/2))/(LN(2)/2)*AQ175*AT175*VLOOKUP('Données projet'!$B$10,Paramètres!$A$1:$I$89,3,0)*0.475*44/12</f>
        <v>1.1761055356419389E-20</v>
      </c>
      <c r="AX175" s="21">
        <f t="shared" si="166"/>
        <v>0.52969604061232833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-2.7193891583010558E-13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246.59447135626942</v>
      </c>
      <c r="BJ175" s="59">
        <f t="shared" si="146"/>
        <v>262.00382544285367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0.2506270034791046</v>
      </c>
      <c r="BR175" s="21">
        <f>EXP(-LN(2)/2)*BR174+(1-EXP(-LN(2)/2))/(LN(2)/2)*BL175*BO175*VLOOKUP('Données projet'!$B$11,Paramètres!$A$1:$I$89,3,0)*0.475*44/12</f>
        <v>1.0049774815189408E-20</v>
      </c>
      <c r="BS175" s="22">
        <f t="shared" si="169"/>
        <v>0.2506270034791046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1.0286385077051818E-13</v>
      </c>
      <c r="CA175" s="13">
        <f t="shared" si="170"/>
        <v>1.5402366592183556E-12</v>
      </c>
      <c r="CB175" s="20">
        <f t="shared" si="171"/>
        <v>2.8617333882306215E-12</v>
      </c>
      <c r="CC175" s="59">
        <f t="shared" si="119"/>
        <v>293.33333333333616</v>
      </c>
      <c r="CD175" s="59">
        <f ca="1">AVERAGE(OFFSET($CC$3,0,0,'Données projet'!$E$12+1,1))-AVERAGE(OFFSET($H$3,0,0,'Données projet'!$E$12+1,1))</f>
        <v>169.62156467157178</v>
      </c>
      <c r="CE175" s="59">
        <f t="shared" si="148"/>
        <v>85.631326020763254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4.6111381379887463E-14</v>
      </c>
      <c r="CV175" s="13">
        <f t="shared" si="173"/>
        <v>7.5804141040779151E-13</v>
      </c>
      <c r="CW175" s="20">
        <f t="shared" si="174"/>
        <v>1.4005661123635408E-12</v>
      </c>
      <c r="CX175" s="59">
        <f t="shared" si="122"/>
        <v>293.33333333333474</v>
      </c>
      <c r="CY175" s="59">
        <f ca="1">AVERAGE(OFFSET($CX$3,0,0,'Données projet'!$E$13+1,1))-AVERAGE(OFFSET($H$3,0,0,'Données projet'!$E$13+1,1))</f>
        <v>234.59657655504111</v>
      </c>
      <c r="CZ175" s="59">
        <f t="shared" si="150"/>
        <v>285.10598666479211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0.16591827358873015</v>
      </c>
      <c r="DH175" s="21">
        <f>EXP(-LN(2)/2)*DH174+(1-EXP(-LN(2)/2))/(LN(2)/2)*DB175*DE175*VLOOKUP('Données projet'!$B$13,Paramètres!$A$1:$I$89,3,0)*0.475*44/12</f>
        <v>4.6470638743985014E-21</v>
      </c>
      <c r="DI175" s="22">
        <f t="shared" si="175"/>
        <v>0.16591827358873015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1.1368683772161603E-13</v>
      </c>
      <c r="DP175" s="17">
        <f>DO175*VLOOKUP('Données projet'!$B$14,Paramètres!$A$1:$I$89,3,0)*VLOOKUP('Données projet'!$B$14,Paramètres!$A$1:$I$89,5,0)</f>
        <v>1.0995790944434703E-13</v>
      </c>
      <c r="DQ175" s="13">
        <f t="shared" si="176"/>
        <v>1.6337280948049956E-12</v>
      </c>
      <c r="DR175" s="20">
        <f t="shared" si="177"/>
        <v>3.036919790734272E-12</v>
      </c>
      <c r="DS175" s="59">
        <f t="shared" si="125"/>
        <v>293.33333333333633</v>
      </c>
      <c r="DT175" s="59">
        <f ca="1">AVERAGE(OFFSET($DS$3,0,0,'Données projet'!$E$14+1,1))-AVERAGE(OFFSET($H$3,0,0,'Données projet'!$E$14+1,1))</f>
        <v>186.90852124957956</v>
      </c>
      <c r="DU175" s="59">
        <f t="shared" si="152"/>
        <v>93.013797128776446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1.1368683772161603E-13</v>
      </c>
      <c r="EK175" s="17">
        <f>EJ175*VLOOKUP('Données projet'!$B$15,Paramètres!$A$1:$I$89,3,0)*VLOOKUP('Données projet'!$B$15,Paramètres!$A$1:$I$89,5,0)</f>
        <v>1.223725121235475E-13</v>
      </c>
      <c r="EL175" s="13">
        <f t="shared" si="179"/>
        <v>1.7956824466038182E-12</v>
      </c>
      <c r="EM175" s="20">
        <f t="shared" si="180"/>
        <v>3.3406123864501612E-12</v>
      </c>
      <c r="EN175" s="59">
        <f t="shared" si="128"/>
        <v>293.33333333333667</v>
      </c>
      <c r="EO175" s="59">
        <f ca="1">AVERAGE(OFFSET($EN$3,0,0,'Données projet'!$E$15+1,1))-AVERAGE(OFFSET($H$3,0,0,'Données projet'!$E$15+1,1))</f>
        <v>217.10418688911096</v>
      </c>
      <c r="EP175" s="59">
        <f t="shared" si="154"/>
        <v>105.90631421515786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145.19188637714888</v>
      </c>
      <c r="T176" s="59">
        <f t="shared" si="142"/>
        <v>169.74069292032493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0.1302930369825645</v>
      </c>
      <c r="AA176" s="21">
        <f>EXP(-LN(2)/25)*AA175+(1-EXP(-LN(2)/25))/(LN(2)/25)*Calculateur!V176*Calculateur!X176*VLOOKUP('Données projet'!$B$9,Paramètres!$A$1:$I$89,3,0)*0.475*44/12</f>
        <v>0.16421206455574139</v>
      </c>
      <c r="AB176" s="21">
        <f>EXP(-LN(2)/2)*AB175+(1-EXP(-LN(2)/2))/(LN(2)/2)*V176*Y176*VLOOKUP('Données projet'!$B$9,Paramètres!$A$1:$I$89,3,0)*0.475*44/12</f>
        <v>1.2115182003895877E-21</v>
      </c>
      <c r="AC176" s="22">
        <f t="shared" si="163"/>
        <v>0.29450510153830589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-2.8421709430404007E-14</v>
      </c>
      <c r="AJ176" s="13">
        <f>AI176*VLOOKUP('Données projet'!$B$10,Paramètres!$A$1:$I$89,3,0)*VLOOKUP('Données projet'!$B$10,Paramètres!$A$1:$I$89,5,0)</f>
        <v>-2.4829205358400945E-14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254.24072778190163</v>
      </c>
      <c r="AO176" s="59">
        <f t="shared" si="144"/>
        <v>356.78706780980383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0.18098282267560925</v>
      </c>
      <c r="AV176" s="21">
        <f>EXP(-LN(2)/25)*AV175+(1-EXP(-LN(2)/25))/(LN(2)/25)*Calculateur!AQ176*Calculateur!AS176*VLOOKUP('Données projet'!$B$10,Paramètres!$A$1:$I$89,3,0)*0.475*44/12</f>
        <v>0.33565667658417653</v>
      </c>
      <c r="AW176" s="21">
        <f>EXP(-LN(2)/2)*AW175+(1-EXP(-LN(2)/2))/(LN(2)/2)*AQ176*AT176*VLOOKUP('Données projet'!$B$10,Paramètres!$A$1:$I$89,3,0)*0.475*44/12</f>
        <v>8.3163219964345175E-21</v>
      </c>
      <c r="AX176" s="21">
        <f t="shared" si="166"/>
        <v>0.51663949925978581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-2.7193891583010558E-13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246.59447135626942</v>
      </c>
      <c r="BJ176" s="59">
        <f t="shared" si="146"/>
        <v>262.00382544285367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0.24377359488906719</v>
      </c>
      <c r="BR176" s="21">
        <f>EXP(-LN(2)/2)*BR175+(1-EXP(-LN(2)/2))/(LN(2)/2)*BL176*BO176*VLOOKUP('Données projet'!$B$11,Paramètres!$A$1:$I$89,3,0)*0.475*44/12</f>
        <v>7.1062639212182126E-21</v>
      </c>
      <c r="BS176" s="22">
        <f t="shared" si="169"/>
        <v>0.24377359488906719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1.0286385077051818E-13</v>
      </c>
      <c r="CA176" s="13">
        <f t="shared" si="170"/>
        <v>1.5402366592183556E-12</v>
      </c>
      <c r="CB176" s="20">
        <f t="shared" si="171"/>
        <v>2.8617333882306215E-12</v>
      </c>
      <c r="CC176" s="59">
        <f t="shared" si="119"/>
        <v>293.33333333333616</v>
      </c>
      <c r="CD176" s="59">
        <f ca="1">AVERAGE(OFFSET($CC$3,0,0,'Données projet'!$E$12+1,1))-AVERAGE(OFFSET($H$3,0,0,'Données projet'!$E$12+1,1))</f>
        <v>169.62156467157178</v>
      </c>
      <c r="CE176" s="59">
        <f t="shared" si="148"/>
        <v>85.631326020763254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4.6111381379887463E-14</v>
      </c>
      <c r="CV176" s="13">
        <f t="shared" si="173"/>
        <v>7.5804141040779151E-13</v>
      </c>
      <c r="CW176" s="20">
        <f t="shared" si="174"/>
        <v>1.4005661123635408E-12</v>
      </c>
      <c r="CX176" s="59">
        <f t="shared" si="122"/>
        <v>293.33333333333474</v>
      </c>
      <c r="CY176" s="59">
        <f ca="1">AVERAGE(OFFSET($CX$3,0,0,'Données projet'!$E$13+1,1))-AVERAGE(OFFSET($H$3,0,0,'Données projet'!$E$13+1,1))</f>
        <v>234.59657655504111</v>
      </c>
      <c r="CZ176" s="59">
        <f t="shared" si="150"/>
        <v>285.10598666479211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0.16138122967218352</v>
      </c>
      <c r="DH176" s="21">
        <f>EXP(-LN(2)/2)*DH175+(1-EXP(-LN(2)/2))/(LN(2)/2)*DB176*DE176*VLOOKUP('Données projet'!$B$13,Paramètres!$A$1:$I$89,3,0)*0.475*44/12</f>
        <v>3.2859703781942109E-21</v>
      </c>
      <c r="DI176" s="22">
        <f t="shared" si="175"/>
        <v>0.16138122967218352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1.1368683772161603E-13</v>
      </c>
      <c r="DP176" s="17">
        <f>DO176*VLOOKUP('Données projet'!$B$14,Paramètres!$A$1:$I$89,3,0)*VLOOKUP('Données projet'!$B$14,Paramètres!$A$1:$I$89,5,0)</f>
        <v>1.0995790944434703E-13</v>
      </c>
      <c r="DQ176" s="13">
        <f t="shared" si="176"/>
        <v>1.6337280948049956E-12</v>
      </c>
      <c r="DR176" s="20">
        <f t="shared" si="177"/>
        <v>3.036919790734272E-12</v>
      </c>
      <c r="DS176" s="59">
        <f t="shared" si="125"/>
        <v>293.33333333333633</v>
      </c>
      <c r="DT176" s="59">
        <f ca="1">AVERAGE(OFFSET($DS$3,0,0,'Données projet'!$E$14+1,1))-AVERAGE(OFFSET($H$3,0,0,'Données projet'!$E$14+1,1))</f>
        <v>186.90852124957956</v>
      </c>
      <c r="DU176" s="59">
        <f t="shared" si="152"/>
        <v>93.013797128776446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1.1368683772161603E-13</v>
      </c>
      <c r="EK176" s="17">
        <f>EJ176*VLOOKUP('Données projet'!$B$15,Paramètres!$A$1:$I$89,3,0)*VLOOKUP('Données projet'!$B$15,Paramètres!$A$1:$I$89,5,0)</f>
        <v>1.223725121235475E-13</v>
      </c>
      <c r="EL176" s="13">
        <f t="shared" si="179"/>
        <v>1.7956824466038182E-12</v>
      </c>
      <c r="EM176" s="20">
        <f t="shared" si="180"/>
        <v>3.3406123864501612E-12</v>
      </c>
      <c r="EN176" s="59">
        <f t="shared" si="128"/>
        <v>293.33333333333667</v>
      </c>
      <c r="EO176" s="59">
        <f ca="1">AVERAGE(OFFSET($EN$3,0,0,'Données projet'!$E$15+1,1))-AVERAGE(OFFSET($H$3,0,0,'Données projet'!$E$15+1,1))</f>
        <v>217.10418688911096</v>
      </c>
      <c r="EP176" s="59">
        <f t="shared" si="154"/>
        <v>105.90631421515786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145.19188637714888</v>
      </c>
      <c r="T177" s="59">
        <f t="shared" si="142"/>
        <v>169.74069292032493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0.12773806999824186</v>
      </c>
      <c r="AA177" s="21">
        <f>EXP(-LN(2)/25)*AA176+(1-EXP(-LN(2)/25))/(LN(2)/25)*Calculateur!V177*Calculateur!X177*VLOOKUP('Données projet'!$B$9,Paramètres!$A$1:$I$89,3,0)*0.475*44/12</f>
        <v>0.15972167701492748</v>
      </c>
      <c r="AB177" s="21">
        <f>EXP(-LN(2)/2)*AB176+(1-EXP(-LN(2)/2))/(LN(2)/2)*V177*Y177*VLOOKUP('Données projet'!$B$9,Paramètres!$A$1:$I$89,3,0)*0.475*44/12</f>
        <v>8.5667273502640002E-22</v>
      </c>
      <c r="AC177" s="22">
        <f t="shared" si="163"/>
        <v>0.28745974701316934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-2.8421709430404007E-14</v>
      </c>
      <c r="AJ177" s="13">
        <f>AI177*VLOOKUP('Données projet'!$B$10,Paramètres!$A$1:$I$89,3,0)*VLOOKUP('Données projet'!$B$10,Paramètres!$A$1:$I$89,5,0)</f>
        <v>-2.4829205358400945E-14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254.24072778190163</v>
      </c>
      <c r="AO177" s="59">
        <f t="shared" si="144"/>
        <v>356.78706780980383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0.17743385991156241</v>
      </c>
      <c r="AV177" s="21">
        <f>EXP(-LN(2)/25)*AV176+(1-EXP(-LN(2)/25))/(LN(2)/25)*Calculateur!AQ177*Calculateur!AS177*VLOOKUP('Données projet'!$B$10,Paramètres!$A$1:$I$89,3,0)*0.475*44/12</f>
        <v>0.32647812711156476</v>
      </c>
      <c r="AW177" s="21">
        <f>EXP(-LN(2)/2)*AW176+(1-EXP(-LN(2)/2))/(LN(2)/2)*AQ177*AT177*VLOOKUP('Données projet'!$B$10,Paramètres!$A$1:$I$89,3,0)*0.475*44/12</f>
        <v>5.8805276782096946E-21</v>
      </c>
      <c r="AX177" s="21">
        <f t="shared" si="166"/>
        <v>0.50391198702312723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-2.7193891583010558E-13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246.59447135626942</v>
      </c>
      <c r="BJ177" s="59">
        <f t="shared" si="146"/>
        <v>262.00382544285367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0.23710759311732946</v>
      </c>
      <c r="BR177" s="21">
        <f>EXP(-LN(2)/2)*BR176+(1-EXP(-LN(2)/2))/(LN(2)/2)*BL177*BO177*VLOOKUP('Données projet'!$B$11,Paramètres!$A$1:$I$89,3,0)*0.475*44/12</f>
        <v>5.024887407594704E-21</v>
      </c>
      <c r="BS177" s="22">
        <f t="shared" si="169"/>
        <v>0.23710759311732946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1.0286385077051818E-13</v>
      </c>
      <c r="CA177" s="13">
        <f t="shared" si="170"/>
        <v>1.5402366592183556E-12</v>
      </c>
      <c r="CB177" s="20">
        <f t="shared" si="171"/>
        <v>2.8617333882306215E-12</v>
      </c>
      <c r="CC177" s="59">
        <f t="shared" si="119"/>
        <v>293.33333333333616</v>
      </c>
      <c r="CD177" s="59">
        <f ca="1">AVERAGE(OFFSET($CC$3,0,0,'Données projet'!$E$12+1,1))-AVERAGE(OFFSET($H$3,0,0,'Données projet'!$E$12+1,1))</f>
        <v>169.62156467157178</v>
      </c>
      <c r="CE177" s="59">
        <f t="shared" si="148"/>
        <v>85.631326020763254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4.6111381379887463E-14</v>
      </c>
      <c r="CV177" s="13">
        <f t="shared" si="173"/>
        <v>7.5804141040779151E-13</v>
      </c>
      <c r="CW177" s="20">
        <f t="shared" si="174"/>
        <v>1.4005661123635408E-12</v>
      </c>
      <c r="CX177" s="59">
        <f t="shared" si="122"/>
        <v>293.33333333333474</v>
      </c>
      <c r="CY177" s="59">
        <f ca="1">AVERAGE(OFFSET($CX$3,0,0,'Données projet'!$E$13+1,1))-AVERAGE(OFFSET($H$3,0,0,'Données projet'!$E$13+1,1))</f>
        <v>234.59657655504111</v>
      </c>
      <c r="CZ177" s="59">
        <f t="shared" si="150"/>
        <v>285.10598666479211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0.15696825146012763</v>
      </c>
      <c r="DH177" s="21">
        <f>EXP(-LN(2)/2)*DH176+(1-EXP(-LN(2)/2))/(LN(2)/2)*DB177*DE177*VLOOKUP('Données projet'!$B$13,Paramètres!$A$1:$I$89,3,0)*0.475*44/12</f>
        <v>2.3235319371992507E-21</v>
      </c>
      <c r="DI177" s="22">
        <f t="shared" si="175"/>
        <v>0.15696825146012763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1.1368683772161603E-13</v>
      </c>
      <c r="DP177" s="17">
        <f>DO177*VLOOKUP('Données projet'!$B$14,Paramètres!$A$1:$I$89,3,0)*VLOOKUP('Données projet'!$B$14,Paramètres!$A$1:$I$89,5,0)</f>
        <v>1.0995790944434703E-13</v>
      </c>
      <c r="DQ177" s="13">
        <f t="shared" si="176"/>
        <v>1.6337280948049956E-12</v>
      </c>
      <c r="DR177" s="20">
        <f t="shared" si="177"/>
        <v>3.036919790734272E-12</v>
      </c>
      <c r="DS177" s="59">
        <f t="shared" si="125"/>
        <v>293.33333333333633</v>
      </c>
      <c r="DT177" s="59">
        <f ca="1">AVERAGE(OFFSET($DS$3,0,0,'Données projet'!$E$14+1,1))-AVERAGE(OFFSET($H$3,0,0,'Données projet'!$E$14+1,1))</f>
        <v>186.90852124957956</v>
      </c>
      <c r="DU177" s="59">
        <f t="shared" si="152"/>
        <v>93.013797128776446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1.1368683772161603E-13</v>
      </c>
      <c r="EK177" s="17">
        <f>EJ177*VLOOKUP('Données projet'!$B$15,Paramètres!$A$1:$I$89,3,0)*VLOOKUP('Données projet'!$B$15,Paramètres!$A$1:$I$89,5,0)</f>
        <v>1.223725121235475E-13</v>
      </c>
      <c r="EL177" s="13">
        <f t="shared" si="179"/>
        <v>1.7956824466038182E-12</v>
      </c>
      <c r="EM177" s="20">
        <f t="shared" si="180"/>
        <v>3.3406123864501612E-12</v>
      </c>
      <c r="EN177" s="59">
        <f t="shared" si="128"/>
        <v>293.33333333333667</v>
      </c>
      <c r="EO177" s="59">
        <f ca="1">AVERAGE(OFFSET($EN$3,0,0,'Données projet'!$E$15+1,1))-AVERAGE(OFFSET($H$3,0,0,'Données projet'!$E$15+1,1))</f>
        <v>217.10418688911096</v>
      </c>
      <c r="EP177" s="59">
        <f t="shared" si="154"/>
        <v>105.90631421515786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145.19188637714888</v>
      </c>
      <c r="T178" s="59">
        <f t="shared" si="142"/>
        <v>169.74069292032493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0.12523320435810581</v>
      </c>
      <c r="AA178" s="21">
        <f>EXP(-LN(2)/25)*AA177+(1-EXP(-LN(2)/25))/(LN(2)/25)*Calculateur!V178*Calculateur!X178*VLOOKUP('Données projet'!$B$9,Paramètres!$A$1:$I$89,3,0)*0.475*44/12</f>
        <v>0.15535407935755635</v>
      </c>
      <c r="AB178" s="21">
        <f>EXP(-LN(2)/2)*AB177+(1-EXP(-LN(2)/2))/(LN(2)/2)*V178*Y178*VLOOKUP('Données projet'!$B$9,Paramètres!$A$1:$I$89,3,0)*0.475*44/12</f>
        <v>6.0575910019479385E-22</v>
      </c>
      <c r="AC178" s="22">
        <f t="shared" si="163"/>
        <v>0.28058728371566216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-2.8421709430404007E-14</v>
      </c>
      <c r="AJ178" s="13">
        <f>AI178*VLOOKUP('Données projet'!$B$10,Paramètres!$A$1:$I$89,3,0)*VLOOKUP('Données projet'!$B$10,Paramètres!$A$1:$I$89,5,0)</f>
        <v>-2.4829205358400945E-14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254.24072778190163</v>
      </c>
      <c r="AO178" s="59">
        <f t="shared" si="144"/>
        <v>356.78706780980383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0.17395449014266498</v>
      </c>
      <c r="AV178" s="21">
        <f>EXP(-LN(2)/25)*AV177+(1-EXP(-LN(2)/25))/(LN(2)/25)*Calculateur!AQ178*Calculateur!AS178*VLOOKUP('Données projet'!$B$10,Paramètres!$A$1:$I$89,3,0)*0.475*44/12</f>
        <v>0.31755056555696048</v>
      </c>
      <c r="AW178" s="21">
        <f>EXP(-LN(2)/2)*AW177+(1-EXP(-LN(2)/2))/(LN(2)/2)*AQ178*AT178*VLOOKUP('Données projet'!$B$10,Paramètres!$A$1:$I$89,3,0)*0.475*44/12</f>
        <v>4.1581609982172588E-21</v>
      </c>
      <c r="AX178" s="21">
        <f t="shared" si="166"/>
        <v>0.49150505569962544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-2.7193891583010558E-13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246.59447135626942</v>
      </c>
      <c r="BJ178" s="59">
        <f t="shared" si="146"/>
        <v>262.00382544285367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0.23062387351458968</v>
      </c>
      <c r="BR178" s="21">
        <f>EXP(-LN(2)/2)*BR177+(1-EXP(-LN(2)/2))/(LN(2)/2)*BL178*BO178*VLOOKUP('Données projet'!$B$11,Paramètres!$A$1:$I$89,3,0)*0.475*44/12</f>
        <v>3.5531319606091063E-21</v>
      </c>
      <c r="BS178" s="22">
        <f t="shared" si="169"/>
        <v>0.23062387351458968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1.0286385077051818E-13</v>
      </c>
      <c r="CA178" s="13">
        <f t="shared" si="170"/>
        <v>1.5402366592183556E-12</v>
      </c>
      <c r="CB178" s="20">
        <f t="shared" si="171"/>
        <v>2.8617333882306215E-12</v>
      </c>
      <c r="CC178" s="59">
        <f t="shared" si="119"/>
        <v>293.33333333333616</v>
      </c>
      <c r="CD178" s="59">
        <f ca="1">AVERAGE(OFFSET($CC$3,0,0,'Données projet'!$E$12+1,1))-AVERAGE(OFFSET($H$3,0,0,'Données projet'!$E$12+1,1))</f>
        <v>169.62156467157178</v>
      </c>
      <c r="CE178" s="59">
        <f t="shared" si="148"/>
        <v>85.631326020763254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4.6111381379887463E-14</v>
      </c>
      <c r="CV178" s="13">
        <f t="shared" si="173"/>
        <v>7.5804141040779151E-13</v>
      </c>
      <c r="CW178" s="20">
        <f t="shared" si="174"/>
        <v>1.4005661123635408E-12</v>
      </c>
      <c r="CX178" s="59">
        <f t="shared" si="122"/>
        <v>293.33333333333474</v>
      </c>
      <c r="CY178" s="59">
        <f ca="1">AVERAGE(OFFSET($CX$3,0,0,'Données projet'!$E$13+1,1))-AVERAGE(OFFSET($H$3,0,0,'Données projet'!$E$13+1,1))</f>
        <v>234.59657655504111</v>
      </c>
      <c r="CZ178" s="59">
        <f t="shared" si="150"/>
        <v>285.10598666479211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0.15267594636934886</v>
      </c>
      <c r="DH178" s="21">
        <f>EXP(-LN(2)/2)*DH177+(1-EXP(-LN(2)/2))/(LN(2)/2)*DB178*DE178*VLOOKUP('Données projet'!$B$13,Paramètres!$A$1:$I$89,3,0)*0.475*44/12</f>
        <v>1.6429851890971055E-21</v>
      </c>
      <c r="DI178" s="22">
        <f t="shared" si="175"/>
        <v>0.15267594636934886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1.1368683772161603E-13</v>
      </c>
      <c r="DP178" s="17">
        <f>DO178*VLOOKUP('Données projet'!$B$14,Paramètres!$A$1:$I$89,3,0)*VLOOKUP('Données projet'!$B$14,Paramètres!$A$1:$I$89,5,0)</f>
        <v>1.0995790944434703E-13</v>
      </c>
      <c r="DQ178" s="13">
        <f t="shared" si="176"/>
        <v>1.6337280948049956E-12</v>
      </c>
      <c r="DR178" s="20">
        <f t="shared" si="177"/>
        <v>3.036919790734272E-12</v>
      </c>
      <c r="DS178" s="59">
        <f t="shared" si="125"/>
        <v>293.33333333333633</v>
      </c>
      <c r="DT178" s="59">
        <f ca="1">AVERAGE(OFFSET($DS$3,0,0,'Données projet'!$E$14+1,1))-AVERAGE(OFFSET($H$3,0,0,'Données projet'!$E$14+1,1))</f>
        <v>186.90852124957956</v>
      </c>
      <c r="DU178" s="59">
        <f t="shared" si="152"/>
        <v>93.013797128776446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1.1368683772161603E-13</v>
      </c>
      <c r="EK178" s="17">
        <f>EJ178*VLOOKUP('Données projet'!$B$15,Paramètres!$A$1:$I$89,3,0)*VLOOKUP('Données projet'!$B$15,Paramètres!$A$1:$I$89,5,0)</f>
        <v>1.223725121235475E-13</v>
      </c>
      <c r="EL178" s="13">
        <f t="shared" si="179"/>
        <v>1.7956824466038182E-12</v>
      </c>
      <c r="EM178" s="20">
        <f t="shared" si="180"/>
        <v>3.3406123864501612E-12</v>
      </c>
      <c r="EN178" s="59">
        <f t="shared" si="128"/>
        <v>293.33333333333667</v>
      </c>
      <c r="EO178" s="59">
        <f ca="1">AVERAGE(OFFSET($EN$3,0,0,'Données projet'!$E$15+1,1))-AVERAGE(OFFSET($H$3,0,0,'Données projet'!$E$15+1,1))</f>
        <v>217.10418688911096</v>
      </c>
      <c r="EP178" s="59">
        <f t="shared" si="154"/>
        <v>105.90631421515786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145.19188637714888</v>
      </c>
      <c r="T179" s="59">
        <f t="shared" si="142"/>
        <v>169.74069292032493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0.12277745760535565</v>
      </c>
      <c r="AA179" s="21">
        <f>EXP(-LN(2)/25)*AA178+(1-EXP(-LN(2)/25))/(LN(2)/25)*Calculateur!V179*Calculateur!X179*VLOOKUP('Données projet'!$B$9,Paramètres!$A$1:$I$89,3,0)*0.475*44/12</f>
        <v>0.151105913887808</v>
      </c>
      <c r="AB179" s="21">
        <f>EXP(-LN(2)/2)*AB178+(1-EXP(-LN(2)/2))/(LN(2)/2)*V179*Y179*VLOOKUP('Données projet'!$B$9,Paramètres!$A$1:$I$89,3,0)*0.475*44/12</f>
        <v>4.2833636751320001E-22</v>
      </c>
      <c r="AC179" s="22">
        <f t="shared" si="163"/>
        <v>0.27388337149316366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-2.8421709430404007E-14</v>
      </c>
      <c r="AJ179" s="13">
        <f>AI179*VLOOKUP('Données projet'!$B$10,Paramètres!$A$1:$I$89,3,0)*VLOOKUP('Données projet'!$B$10,Paramètres!$A$1:$I$89,5,0)</f>
        <v>-2.4829205358400945E-14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254.24072778190163</v>
      </c>
      <c r="AO179" s="59">
        <f t="shared" si="144"/>
        <v>356.78706780980383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0.17054334869272963</v>
      </c>
      <c r="AV179" s="21">
        <f>EXP(-LN(2)/25)*AV178+(1-EXP(-LN(2)/25))/(LN(2)/25)*Calculateur!AQ179*Calculateur!AS179*VLOOKUP('Données projet'!$B$10,Paramètres!$A$1:$I$89,3,0)*0.475*44/12</f>
        <v>0.30886712864254695</v>
      </c>
      <c r="AW179" s="21">
        <f>EXP(-LN(2)/2)*AW178+(1-EXP(-LN(2)/2))/(LN(2)/2)*AQ179*AT179*VLOOKUP('Données projet'!$B$10,Paramètres!$A$1:$I$89,3,0)*0.475*44/12</f>
        <v>2.9402638391048473E-21</v>
      </c>
      <c r="AX179" s="21">
        <f t="shared" si="166"/>
        <v>0.47941047733527659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-2.7193891583010558E-13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246.59447135626942</v>
      </c>
      <c r="BJ179" s="59">
        <f t="shared" si="146"/>
        <v>262.00382544285367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0.22431745156535082</v>
      </c>
      <c r="BR179" s="21">
        <f>EXP(-LN(2)/2)*BR178+(1-EXP(-LN(2)/2))/(LN(2)/2)*BL179*BO179*VLOOKUP('Données projet'!$B$11,Paramètres!$A$1:$I$89,3,0)*0.475*44/12</f>
        <v>2.512443703797352E-21</v>
      </c>
      <c r="BS179" s="22">
        <f t="shared" si="169"/>
        <v>0.22431745156535082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1.0286385077051818E-13</v>
      </c>
      <c r="CA179" s="13">
        <f t="shared" si="170"/>
        <v>1.5402366592183556E-12</v>
      </c>
      <c r="CB179" s="20">
        <f t="shared" si="171"/>
        <v>2.8617333882306215E-12</v>
      </c>
      <c r="CC179" s="59">
        <f t="shared" si="119"/>
        <v>293.33333333333616</v>
      </c>
      <c r="CD179" s="59">
        <f ca="1">AVERAGE(OFFSET($CC$3,0,0,'Données projet'!$E$12+1,1))-AVERAGE(OFFSET($H$3,0,0,'Données projet'!$E$12+1,1))</f>
        <v>169.62156467157178</v>
      </c>
      <c r="CE179" s="59">
        <f t="shared" si="148"/>
        <v>85.631326020763254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4.6111381379887463E-14</v>
      </c>
      <c r="CV179" s="13">
        <f t="shared" si="173"/>
        <v>7.5804141040779151E-13</v>
      </c>
      <c r="CW179" s="20">
        <f t="shared" si="174"/>
        <v>1.4005661123635408E-12</v>
      </c>
      <c r="CX179" s="59">
        <f t="shared" si="122"/>
        <v>293.33333333333474</v>
      </c>
      <c r="CY179" s="59">
        <f ca="1">AVERAGE(OFFSET($CX$3,0,0,'Données projet'!$E$13+1,1))-AVERAGE(OFFSET($H$3,0,0,'Données projet'!$E$13+1,1))</f>
        <v>234.59657655504111</v>
      </c>
      <c r="CZ179" s="59">
        <f t="shared" si="150"/>
        <v>285.10598666479211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0.14850101458699994</v>
      </c>
      <c r="DH179" s="21">
        <f>EXP(-LN(2)/2)*DH178+(1-EXP(-LN(2)/2))/(LN(2)/2)*DB179*DE179*VLOOKUP('Données projet'!$B$13,Paramètres!$A$1:$I$89,3,0)*0.475*44/12</f>
        <v>1.1617659685996253E-21</v>
      </c>
      <c r="DI179" s="22">
        <f t="shared" si="175"/>
        <v>0.14850101458699994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1.1368683772161603E-13</v>
      </c>
      <c r="DP179" s="17">
        <f>DO179*VLOOKUP('Données projet'!$B$14,Paramètres!$A$1:$I$89,3,0)*VLOOKUP('Données projet'!$B$14,Paramètres!$A$1:$I$89,5,0)</f>
        <v>1.0995790944434703E-13</v>
      </c>
      <c r="DQ179" s="13">
        <f t="shared" si="176"/>
        <v>1.6337280948049956E-12</v>
      </c>
      <c r="DR179" s="20">
        <f t="shared" si="177"/>
        <v>3.036919790734272E-12</v>
      </c>
      <c r="DS179" s="59">
        <f t="shared" si="125"/>
        <v>293.33333333333633</v>
      </c>
      <c r="DT179" s="59">
        <f ca="1">AVERAGE(OFFSET($DS$3,0,0,'Données projet'!$E$14+1,1))-AVERAGE(OFFSET($H$3,0,0,'Données projet'!$E$14+1,1))</f>
        <v>186.90852124957956</v>
      </c>
      <c r="DU179" s="59">
        <f t="shared" si="152"/>
        <v>93.013797128776446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1.1368683772161603E-13</v>
      </c>
      <c r="EK179" s="17">
        <f>EJ179*VLOOKUP('Données projet'!$B$15,Paramètres!$A$1:$I$89,3,0)*VLOOKUP('Données projet'!$B$15,Paramètres!$A$1:$I$89,5,0)</f>
        <v>1.223725121235475E-13</v>
      </c>
      <c r="EL179" s="13">
        <f t="shared" si="179"/>
        <v>1.7956824466038182E-12</v>
      </c>
      <c r="EM179" s="20">
        <f t="shared" si="180"/>
        <v>3.3406123864501612E-12</v>
      </c>
      <c r="EN179" s="59">
        <f t="shared" si="128"/>
        <v>293.33333333333667</v>
      </c>
      <c r="EO179" s="59">
        <f ca="1">AVERAGE(OFFSET($EN$3,0,0,'Données projet'!$E$15+1,1))-AVERAGE(OFFSET($H$3,0,0,'Données projet'!$E$15+1,1))</f>
        <v>217.10418688911096</v>
      </c>
      <c r="EP179" s="59">
        <f t="shared" si="154"/>
        <v>105.90631421515786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145.19188637714888</v>
      </c>
      <c r="T180" s="59">
        <f t="shared" si="142"/>
        <v>169.74069292032493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0.12036986654856929</v>
      </c>
      <c r="AA180" s="21">
        <f>EXP(-LN(2)/25)*AA179+(1-EXP(-LN(2)/25))/(LN(2)/25)*Calculateur!V180*Calculateur!X180*VLOOKUP('Données projet'!$B$9,Paramètres!$A$1:$I$89,3,0)*0.475*44/12</f>
        <v>0.14697391472623123</v>
      </c>
      <c r="AB180" s="21">
        <f>EXP(-LN(2)/2)*AB179+(1-EXP(-LN(2)/2))/(LN(2)/2)*V180*Y180*VLOOKUP('Données projet'!$B$9,Paramètres!$A$1:$I$89,3,0)*0.475*44/12</f>
        <v>3.0287955009739693E-22</v>
      </c>
      <c r="AC180" s="22">
        <f t="shared" si="163"/>
        <v>0.26734378127480052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-2.8421709430404007E-14</v>
      </c>
      <c r="AJ180" s="13">
        <f>AI180*VLOOKUP('Données projet'!$B$10,Paramètres!$A$1:$I$89,3,0)*VLOOKUP('Données projet'!$B$10,Paramètres!$A$1:$I$89,5,0)</f>
        <v>-2.4829205358400945E-14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254.24072778190163</v>
      </c>
      <c r="AO180" s="59">
        <f t="shared" si="144"/>
        <v>356.78706780980383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0.16719909764603666</v>
      </c>
      <c r="AV180" s="21">
        <f>EXP(-LN(2)/25)*AV179+(1-EXP(-LN(2)/25))/(LN(2)/25)*Calculateur!AQ180*Calculateur!AS180*VLOOKUP('Données projet'!$B$10,Paramètres!$A$1:$I$89,3,0)*0.475*44/12</f>
        <v>0.30042114076720011</v>
      </c>
      <c r="AW180" s="21">
        <f>EXP(-LN(2)/2)*AW179+(1-EXP(-LN(2)/2))/(LN(2)/2)*AQ180*AT180*VLOOKUP('Données projet'!$B$10,Paramètres!$A$1:$I$89,3,0)*0.475*44/12</f>
        <v>2.0790804991086294E-21</v>
      </c>
      <c r="AX180" s="21">
        <f t="shared" si="166"/>
        <v>0.46762023841323674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-2.7193891583010558E-13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246.59447135626942</v>
      </c>
      <c r="BJ180" s="59">
        <f t="shared" si="146"/>
        <v>262.00382544285367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0.2181834790559542</v>
      </c>
      <c r="BR180" s="21">
        <f>EXP(-LN(2)/2)*BR179+(1-EXP(-LN(2)/2))/(LN(2)/2)*BL180*BO180*VLOOKUP('Données projet'!$B$11,Paramètres!$A$1:$I$89,3,0)*0.475*44/12</f>
        <v>1.7765659803045531E-21</v>
      </c>
      <c r="BS180" s="22">
        <f t="shared" si="169"/>
        <v>0.2181834790559542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1.0286385077051818E-13</v>
      </c>
      <c r="CA180" s="13">
        <f t="shared" si="170"/>
        <v>1.5402366592183556E-12</v>
      </c>
      <c r="CB180" s="20">
        <f t="shared" si="171"/>
        <v>2.8617333882306215E-12</v>
      </c>
      <c r="CC180" s="59">
        <f t="shared" si="119"/>
        <v>293.33333333333616</v>
      </c>
      <c r="CD180" s="59">
        <f ca="1">AVERAGE(OFFSET($CC$3,0,0,'Données projet'!$E$12+1,1))-AVERAGE(OFFSET($H$3,0,0,'Données projet'!$E$12+1,1))</f>
        <v>169.62156467157178</v>
      </c>
      <c r="CE180" s="59">
        <f t="shared" si="148"/>
        <v>85.631326020763254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4.6111381379887463E-14</v>
      </c>
      <c r="CV180" s="13">
        <f t="shared" si="173"/>
        <v>7.5804141040779151E-13</v>
      </c>
      <c r="CW180" s="20">
        <f t="shared" si="174"/>
        <v>1.4005661123635408E-12</v>
      </c>
      <c r="CX180" s="59">
        <f t="shared" si="122"/>
        <v>293.33333333333474</v>
      </c>
      <c r="CY180" s="59">
        <f ca="1">AVERAGE(OFFSET($CX$3,0,0,'Données projet'!$E$13+1,1))-AVERAGE(OFFSET($H$3,0,0,'Données projet'!$E$13+1,1))</f>
        <v>234.59657655504111</v>
      </c>
      <c r="CZ180" s="59">
        <f t="shared" si="150"/>
        <v>285.10598666479211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0.14444024653378948</v>
      </c>
      <c r="DH180" s="21">
        <f>EXP(-LN(2)/2)*DH179+(1-EXP(-LN(2)/2))/(LN(2)/2)*DB180*DE180*VLOOKUP('Données projet'!$B$13,Paramètres!$A$1:$I$89,3,0)*0.475*44/12</f>
        <v>8.2149259454855273E-22</v>
      </c>
      <c r="DI180" s="22">
        <f t="shared" si="175"/>
        <v>0.14444024653378948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1.1368683772161603E-13</v>
      </c>
      <c r="DP180" s="17">
        <f>DO180*VLOOKUP('Données projet'!$B$14,Paramètres!$A$1:$I$89,3,0)*VLOOKUP('Données projet'!$B$14,Paramètres!$A$1:$I$89,5,0)</f>
        <v>1.0995790944434703E-13</v>
      </c>
      <c r="DQ180" s="13">
        <f t="shared" si="176"/>
        <v>1.6337280948049956E-12</v>
      </c>
      <c r="DR180" s="20">
        <f t="shared" si="177"/>
        <v>3.036919790734272E-12</v>
      </c>
      <c r="DS180" s="59">
        <f t="shared" si="125"/>
        <v>293.33333333333633</v>
      </c>
      <c r="DT180" s="59">
        <f ca="1">AVERAGE(OFFSET($DS$3,0,0,'Données projet'!$E$14+1,1))-AVERAGE(OFFSET($H$3,0,0,'Données projet'!$E$14+1,1))</f>
        <v>186.90852124957956</v>
      </c>
      <c r="DU180" s="59">
        <f t="shared" si="152"/>
        <v>93.013797128776446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1.1368683772161603E-13</v>
      </c>
      <c r="EK180" s="17">
        <f>EJ180*VLOOKUP('Données projet'!$B$15,Paramètres!$A$1:$I$89,3,0)*VLOOKUP('Données projet'!$B$15,Paramètres!$A$1:$I$89,5,0)</f>
        <v>1.223725121235475E-13</v>
      </c>
      <c r="EL180" s="13">
        <f t="shared" si="179"/>
        <v>1.7956824466038182E-12</v>
      </c>
      <c r="EM180" s="20">
        <f t="shared" si="180"/>
        <v>3.3406123864501612E-12</v>
      </c>
      <c r="EN180" s="59">
        <f t="shared" si="128"/>
        <v>293.33333333333667</v>
      </c>
      <c r="EO180" s="59">
        <f ca="1">AVERAGE(OFFSET($EN$3,0,0,'Données projet'!$E$15+1,1))-AVERAGE(OFFSET($H$3,0,0,'Données projet'!$E$15+1,1))</f>
        <v>217.10418688911096</v>
      </c>
      <c r="EP180" s="59">
        <f t="shared" si="154"/>
        <v>105.90631421515786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145.19188637714888</v>
      </c>
      <c r="T181" s="59">
        <f t="shared" si="142"/>
        <v>169.74069292032493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0.11800948688392099</v>
      </c>
      <c r="AA181" s="21">
        <f>EXP(-LN(2)/25)*AA180+(1-EXP(-LN(2)/25))/(LN(2)/25)*Calculateur!V181*Calculateur!X181*VLOOKUP('Données projet'!$B$9,Paramètres!$A$1:$I$89,3,0)*0.475*44/12</f>
        <v>0.14295490529902016</v>
      </c>
      <c r="AB181" s="21">
        <f>EXP(-LN(2)/2)*AB180+(1-EXP(-LN(2)/2))/(LN(2)/2)*V181*Y181*VLOOKUP('Données projet'!$B$9,Paramètres!$A$1:$I$89,3,0)*0.475*44/12</f>
        <v>2.1416818375660001E-22</v>
      </c>
      <c r="AC181" s="22">
        <f t="shared" si="163"/>
        <v>0.26096439218294115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-2.8421709430404007E-14</v>
      </c>
      <c r="AJ181" s="13">
        <f>AI181*VLOOKUP('Données projet'!$B$10,Paramètres!$A$1:$I$89,3,0)*VLOOKUP('Données projet'!$B$10,Paramètres!$A$1:$I$89,5,0)</f>
        <v>-2.4829205358400945E-14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254.24072778190163</v>
      </c>
      <c r="AO181" s="59">
        <f t="shared" si="144"/>
        <v>356.78706780980383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0.16392042532257761</v>
      </c>
      <c r="AV181" s="21">
        <f>EXP(-LN(2)/25)*AV180+(1-EXP(-LN(2)/25))/(LN(2)/25)*Calculateur!AQ181*Calculateur!AS181*VLOOKUP('Données projet'!$B$10,Paramètres!$A$1:$I$89,3,0)*0.475*44/12</f>
        <v>0.29220610887445986</v>
      </c>
      <c r="AW181" s="21">
        <f>EXP(-LN(2)/2)*AW180+(1-EXP(-LN(2)/2))/(LN(2)/2)*AQ181*AT181*VLOOKUP('Données projet'!$B$10,Paramètres!$A$1:$I$89,3,0)*0.475*44/12</f>
        <v>1.4701319195524236E-21</v>
      </c>
      <c r="AX181" s="21">
        <f t="shared" si="166"/>
        <v>0.45612653419703747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-2.7193891583010558E-13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246.59447135626942</v>
      </c>
      <c r="BJ181" s="59">
        <f t="shared" si="146"/>
        <v>262.00382544285367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0.21221724034739864</v>
      </c>
      <c r="BR181" s="21">
        <f>EXP(-LN(2)/2)*BR180+(1-EXP(-LN(2)/2))/(LN(2)/2)*BL181*BO181*VLOOKUP('Données projet'!$B$11,Paramètres!$A$1:$I$89,3,0)*0.475*44/12</f>
        <v>1.256221851898676E-21</v>
      </c>
      <c r="BS181" s="22">
        <f t="shared" si="169"/>
        <v>0.21221724034739864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1.0286385077051818E-13</v>
      </c>
      <c r="CA181" s="13">
        <f t="shared" si="170"/>
        <v>1.5402366592183556E-12</v>
      </c>
      <c r="CB181" s="20">
        <f t="shared" si="171"/>
        <v>2.8617333882306215E-12</v>
      </c>
      <c r="CC181" s="59">
        <f t="shared" si="119"/>
        <v>293.33333333333616</v>
      </c>
      <c r="CD181" s="59">
        <f ca="1">AVERAGE(OFFSET($CC$3,0,0,'Données projet'!$E$12+1,1))-AVERAGE(OFFSET($H$3,0,0,'Données projet'!$E$12+1,1))</f>
        <v>169.62156467157178</v>
      </c>
      <c r="CE181" s="59">
        <f t="shared" si="148"/>
        <v>85.631326020763254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4.6111381379887463E-14</v>
      </c>
      <c r="CV181" s="13">
        <f t="shared" si="173"/>
        <v>7.5804141040779151E-13</v>
      </c>
      <c r="CW181" s="20">
        <f t="shared" si="174"/>
        <v>1.4005661123635408E-12</v>
      </c>
      <c r="CX181" s="59">
        <f t="shared" si="122"/>
        <v>293.33333333333474</v>
      </c>
      <c r="CY181" s="59">
        <f ca="1">AVERAGE(OFFSET($CX$3,0,0,'Données projet'!$E$13+1,1))-AVERAGE(OFFSET($H$3,0,0,'Données projet'!$E$13+1,1))</f>
        <v>234.59657655504111</v>
      </c>
      <c r="CZ181" s="59">
        <f t="shared" si="150"/>
        <v>285.10598666479211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0.14049052039654056</v>
      </c>
      <c r="DH181" s="21">
        <f>EXP(-LN(2)/2)*DH180+(1-EXP(-LN(2)/2))/(LN(2)/2)*DB181*DE181*VLOOKUP('Données projet'!$B$13,Paramètres!$A$1:$I$89,3,0)*0.475*44/12</f>
        <v>5.8088298429981267E-22</v>
      </c>
      <c r="DI181" s="22">
        <f t="shared" si="175"/>
        <v>0.14049052039654056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1.1368683772161603E-13</v>
      </c>
      <c r="DP181" s="17">
        <f>DO181*VLOOKUP('Données projet'!$B$14,Paramètres!$A$1:$I$89,3,0)*VLOOKUP('Données projet'!$B$14,Paramètres!$A$1:$I$89,5,0)</f>
        <v>1.0995790944434703E-13</v>
      </c>
      <c r="DQ181" s="13">
        <f t="shared" si="176"/>
        <v>1.6337280948049956E-12</v>
      </c>
      <c r="DR181" s="20">
        <f t="shared" si="177"/>
        <v>3.036919790734272E-12</v>
      </c>
      <c r="DS181" s="59">
        <f t="shared" si="125"/>
        <v>293.33333333333633</v>
      </c>
      <c r="DT181" s="59">
        <f ca="1">AVERAGE(OFFSET($DS$3,0,0,'Données projet'!$E$14+1,1))-AVERAGE(OFFSET($H$3,0,0,'Données projet'!$E$14+1,1))</f>
        <v>186.90852124957956</v>
      </c>
      <c r="DU181" s="59">
        <f t="shared" si="152"/>
        <v>93.013797128776446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1.1368683772161603E-13</v>
      </c>
      <c r="EK181" s="17">
        <f>EJ181*VLOOKUP('Données projet'!$B$15,Paramètres!$A$1:$I$89,3,0)*VLOOKUP('Données projet'!$B$15,Paramètres!$A$1:$I$89,5,0)</f>
        <v>1.223725121235475E-13</v>
      </c>
      <c r="EL181" s="13">
        <f t="shared" si="179"/>
        <v>1.7956824466038182E-12</v>
      </c>
      <c r="EM181" s="20">
        <f t="shared" si="180"/>
        <v>3.3406123864501612E-12</v>
      </c>
      <c r="EN181" s="59">
        <f t="shared" si="128"/>
        <v>293.33333333333667</v>
      </c>
      <c r="EO181" s="59">
        <f ca="1">AVERAGE(OFFSET($EN$3,0,0,'Données projet'!$E$15+1,1))-AVERAGE(OFFSET($H$3,0,0,'Données projet'!$E$15+1,1))</f>
        <v>217.10418688911096</v>
      </c>
      <c r="EP181" s="59">
        <f t="shared" si="154"/>
        <v>105.90631421515786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145.19188637714888</v>
      </c>
      <c r="T182" s="59">
        <f t="shared" si="142"/>
        <v>169.74069292032493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0.11569539282480699</v>
      </c>
      <c r="AA182" s="21">
        <f>EXP(-LN(2)/25)*AA181+(1-EXP(-LN(2)/25))/(LN(2)/25)*Calculateur!V182*Calculateur!X182*VLOOKUP('Données projet'!$B$9,Paramètres!$A$1:$I$89,3,0)*0.475*44/12</f>
        <v>0.13904579589594671</v>
      </c>
      <c r="AB182" s="21">
        <f>EXP(-LN(2)/2)*AB181+(1-EXP(-LN(2)/2))/(LN(2)/2)*V182*Y182*VLOOKUP('Données projet'!$B$9,Paramètres!$A$1:$I$89,3,0)*0.475*44/12</f>
        <v>1.5143977504869846E-22</v>
      </c>
      <c r="AC182" s="22">
        <f t="shared" si="163"/>
        <v>0.25474118872075369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-2.8421709430404007E-14</v>
      </c>
      <c r="AJ182" s="13">
        <f>AI182*VLOOKUP('Données projet'!$B$10,Paramètres!$A$1:$I$89,3,0)*VLOOKUP('Données projet'!$B$10,Paramètres!$A$1:$I$89,5,0)</f>
        <v>-2.4829205358400945E-14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254.24072778190163</v>
      </c>
      <c r="AO182" s="59">
        <f t="shared" si="144"/>
        <v>356.78706780980383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0.16070604576358896</v>
      </c>
      <c r="AV182" s="21">
        <f>EXP(-LN(2)/25)*AV181+(1-EXP(-LN(2)/25))/(LN(2)/25)*Calculateur!AQ182*Calculateur!AS182*VLOOKUP('Données projet'!$B$10,Paramètres!$A$1:$I$89,3,0)*0.475*44/12</f>
        <v>0.28421571746083635</v>
      </c>
      <c r="AW182" s="21">
        <f>EXP(-LN(2)/2)*AW181+(1-EXP(-LN(2)/2))/(LN(2)/2)*AQ182*AT182*VLOOKUP('Données projet'!$B$10,Paramètres!$A$1:$I$89,3,0)*0.475*44/12</f>
        <v>1.0395402495543147E-21</v>
      </c>
      <c r="AX182" s="21">
        <f t="shared" si="166"/>
        <v>0.44492176322442534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-2.7193891583010558E-13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246.59447135626942</v>
      </c>
      <c r="BJ182" s="59">
        <f t="shared" si="146"/>
        <v>262.00382544285367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0.20641414875007938</v>
      </c>
      <c r="BR182" s="21">
        <f>EXP(-LN(2)/2)*BR181+(1-EXP(-LN(2)/2))/(LN(2)/2)*BL182*BO182*VLOOKUP('Données projet'!$B$11,Paramètres!$A$1:$I$89,3,0)*0.475*44/12</f>
        <v>8.8828299015227657E-22</v>
      </c>
      <c r="BS182" s="22">
        <f t="shared" si="169"/>
        <v>0.20641414875007938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1.0286385077051818E-13</v>
      </c>
      <c r="CA182" s="13">
        <f t="shared" si="170"/>
        <v>1.5402366592183556E-12</v>
      </c>
      <c r="CB182" s="20">
        <f t="shared" si="171"/>
        <v>2.8617333882306215E-12</v>
      </c>
      <c r="CC182" s="59">
        <f t="shared" si="119"/>
        <v>293.33333333333616</v>
      </c>
      <c r="CD182" s="59">
        <f ca="1">AVERAGE(OFFSET($CC$3,0,0,'Données projet'!$E$12+1,1))-AVERAGE(OFFSET($H$3,0,0,'Données projet'!$E$12+1,1))</f>
        <v>169.62156467157178</v>
      </c>
      <c r="CE182" s="59">
        <f t="shared" si="148"/>
        <v>85.631326020763254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4.6111381379887463E-14</v>
      </c>
      <c r="CV182" s="13">
        <f t="shared" si="173"/>
        <v>7.5804141040779151E-13</v>
      </c>
      <c r="CW182" s="20">
        <f t="shared" si="174"/>
        <v>1.4005661123635408E-12</v>
      </c>
      <c r="CX182" s="59">
        <f t="shared" si="122"/>
        <v>293.33333333333474</v>
      </c>
      <c r="CY182" s="59">
        <f ca="1">AVERAGE(OFFSET($CX$3,0,0,'Données projet'!$E$13+1,1))-AVERAGE(OFFSET($H$3,0,0,'Données projet'!$E$13+1,1))</f>
        <v>234.59657655504111</v>
      </c>
      <c r="CZ182" s="59">
        <f t="shared" si="150"/>
        <v>285.10598666479211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0.13664879972822178</v>
      </c>
      <c r="DH182" s="21">
        <f>EXP(-LN(2)/2)*DH181+(1-EXP(-LN(2)/2))/(LN(2)/2)*DB182*DE182*VLOOKUP('Données projet'!$B$13,Paramètres!$A$1:$I$89,3,0)*0.475*44/12</f>
        <v>4.1074629727427636E-22</v>
      </c>
      <c r="DI182" s="22">
        <f t="shared" si="175"/>
        <v>0.13664879972822178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1.1368683772161603E-13</v>
      </c>
      <c r="DP182" s="17">
        <f>DO182*VLOOKUP('Données projet'!$B$14,Paramètres!$A$1:$I$89,3,0)*VLOOKUP('Données projet'!$B$14,Paramètres!$A$1:$I$89,5,0)</f>
        <v>1.0995790944434703E-13</v>
      </c>
      <c r="DQ182" s="13">
        <f t="shared" si="176"/>
        <v>1.6337280948049956E-12</v>
      </c>
      <c r="DR182" s="20">
        <f t="shared" si="177"/>
        <v>3.036919790734272E-12</v>
      </c>
      <c r="DS182" s="59">
        <f t="shared" si="125"/>
        <v>293.33333333333633</v>
      </c>
      <c r="DT182" s="59">
        <f ca="1">AVERAGE(OFFSET($DS$3,0,0,'Données projet'!$E$14+1,1))-AVERAGE(OFFSET($H$3,0,0,'Données projet'!$E$14+1,1))</f>
        <v>186.90852124957956</v>
      </c>
      <c r="DU182" s="59">
        <f t="shared" si="152"/>
        <v>93.013797128776446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1.1368683772161603E-13</v>
      </c>
      <c r="EK182" s="17">
        <f>EJ182*VLOOKUP('Données projet'!$B$15,Paramètres!$A$1:$I$89,3,0)*VLOOKUP('Données projet'!$B$15,Paramètres!$A$1:$I$89,5,0)</f>
        <v>1.223725121235475E-13</v>
      </c>
      <c r="EL182" s="13">
        <f t="shared" si="179"/>
        <v>1.7956824466038182E-12</v>
      </c>
      <c r="EM182" s="20">
        <f t="shared" si="180"/>
        <v>3.3406123864501612E-12</v>
      </c>
      <c r="EN182" s="59">
        <f t="shared" si="128"/>
        <v>293.33333333333667</v>
      </c>
      <c r="EO182" s="59">
        <f ca="1">AVERAGE(OFFSET($EN$3,0,0,'Données projet'!$E$15+1,1))-AVERAGE(OFFSET($H$3,0,0,'Données projet'!$E$15+1,1))</f>
        <v>217.10418688911096</v>
      </c>
      <c r="EP182" s="59">
        <f t="shared" si="154"/>
        <v>105.90631421515786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145.19188637714888</v>
      </c>
      <c r="T183" s="59">
        <f t="shared" si="142"/>
        <v>169.74069292032493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0.11342667673873422</v>
      </c>
      <c r="AA183" s="21">
        <f>EXP(-LN(2)/25)*AA182+(1-EXP(-LN(2)/25))/(LN(2)/25)*Calculateur!V183*Calculateur!X183*VLOOKUP('Données projet'!$B$9,Paramètres!$A$1:$I$89,3,0)*0.475*44/12</f>
        <v>0.13524358129507144</v>
      </c>
      <c r="AB183" s="21">
        <f>EXP(-LN(2)/2)*AB182+(1-EXP(-LN(2)/2))/(LN(2)/2)*V183*Y183*VLOOKUP('Données projet'!$B$9,Paramètres!$A$1:$I$89,3,0)*0.475*44/12</f>
        <v>1.070840918783E-22</v>
      </c>
      <c r="AC183" s="22">
        <f t="shared" si="163"/>
        <v>0.24867025803380566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-2.8421709430404007E-14</v>
      </c>
      <c r="AJ183" s="13">
        <f>AI183*VLOOKUP('Données projet'!$B$10,Paramètres!$A$1:$I$89,3,0)*VLOOKUP('Données projet'!$B$10,Paramètres!$A$1:$I$89,5,0)</f>
        <v>-2.4829205358400945E-14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254.24072778190163</v>
      </c>
      <c r="AO183" s="59">
        <f t="shared" si="144"/>
        <v>356.78706780980383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0.15755469822717413</v>
      </c>
      <c r="AV183" s="21">
        <f>EXP(-LN(2)/25)*AV182+(1-EXP(-LN(2)/25))/(LN(2)/25)*Calculateur!AQ183*Calculateur!AS183*VLOOKUP('Données projet'!$B$10,Paramètres!$A$1:$I$89,3,0)*0.475*44/12</f>
        <v>0.27644382372061477</v>
      </c>
      <c r="AW183" s="21">
        <f>EXP(-LN(2)/2)*AW182+(1-EXP(-LN(2)/2))/(LN(2)/2)*AQ183*AT183*VLOOKUP('Données projet'!$B$10,Paramètres!$A$1:$I$89,3,0)*0.475*44/12</f>
        <v>7.3506595977621182E-22</v>
      </c>
      <c r="AX183" s="21">
        <f t="shared" si="166"/>
        <v>0.43399852194778887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-2.7193891583010558E-13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246.59447135626942</v>
      </c>
      <c r="BJ183" s="59">
        <f t="shared" si="146"/>
        <v>262.00382544285367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0.20076974299766015</v>
      </c>
      <c r="BR183" s="21">
        <f>EXP(-LN(2)/2)*BR182+(1-EXP(-LN(2)/2))/(LN(2)/2)*BL183*BO183*VLOOKUP('Données projet'!$B$11,Paramètres!$A$1:$I$89,3,0)*0.475*44/12</f>
        <v>6.2811092594933799E-22</v>
      </c>
      <c r="BS183" s="22">
        <f t="shared" si="169"/>
        <v>0.20076974299766015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1.0286385077051818E-13</v>
      </c>
      <c r="CA183" s="13">
        <f t="shared" si="170"/>
        <v>1.5402366592183556E-12</v>
      </c>
      <c r="CB183" s="20">
        <f t="shared" si="171"/>
        <v>2.8617333882306215E-12</v>
      </c>
      <c r="CC183" s="59">
        <f t="shared" si="119"/>
        <v>293.33333333333616</v>
      </c>
      <c r="CD183" s="59">
        <f ca="1">AVERAGE(OFFSET($CC$3,0,0,'Données projet'!$E$12+1,1))-AVERAGE(OFFSET($H$3,0,0,'Données projet'!$E$12+1,1))</f>
        <v>169.62156467157178</v>
      </c>
      <c r="CE183" s="59">
        <f t="shared" si="148"/>
        <v>85.631326020763254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4.6111381379887463E-14</v>
      </c>
      <c r="CV183" s="13">
        <f t="shared" si="173"/>
        <v>7.5804141040779151E-13</v>
      </c>
      <c r="CW183" s="20">
        <f t="shared" si="174"/>
        <v>1.4005661123635408E-12</v>
      </c>
      <c r="CX183" s="59">
        <f t="shared" si="122"/>
        <v>293.33333333333474</v>
      </c>
      <c r="CY183" s="59">
        <f ca="1">AVERAGE(OFFSET($CX$3,0,0,'Données projet'!$E$13+1,1))-AVERAGE(OFFSET($H$3,0,0,'Données projet'!$E$13+1,1))</f>
        <v>234.59657655504111</v>
      </c>
      <c r="CZ183" s="59">
        <f t="shared" si="150"/>
        <v>285.10598666479211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0.13291213111360548</v>
      </c>
      <c r="DH183" s="21">
        <f>EXP(-LN(2)/2)*DH182+(1-EXP(-LN(2)/2))/(LN(2)/2)*DB183*DE183*VLOOKUP('Données projet'!$B$13,Paramètres!$A$1:$I$89,3,0)*0.475*44/12</f>
        <v>2.9044149214990634E-22</v>
      </c>
      <c r="DI183" s="22">
        <f t="shared" si="175"/>
        <v>0.13291213111360548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1.1368683772161603E-13</v>
      </c>
      <c r="DP183" s="17">
        <f>DO183*VLOOKUP('Données projet'!$B$14,Paramètres!$A$1:$I$89,3,0)*VLOOKUP('Données projet'!$B$14,Paramètres!$A$1:$I$89,5,0)</f>
        <v>1.0995790944434703E-13</v>
      </c>
      <c r="DQ183" s="13">
        <f t="shared" si="176"/>
        <v>1.6337280948049956E-12</v>
      </c>
      <c r="DR183" s="20">
        <f t="shared" si="177"/>
        <v>3.036919790734272E-12</v>
      </c>
      <c r="DS183" s="59">
        <f t="shared" si="125"/>
        <v>293.33333333333633</v>
      </c>
      <c r="DT183" s="59">
        <f ca="1">AVERAGE(OFFSET($DS$3,0,0,'Données projet'!$E$14+1,1))-AVERAGE(OFFSET($H$3,0,0,'Données projet'!$E$14+1,1))</f>
        <v>186.90852124957956</v>
      </c>
      <c r="DU183" s="59">
        <f t="shared" si="152"/>
        <v>93.013797128776446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1.1368683772161603E-13</v>
      </c>
      <c r="EK183" s="17">
        <f>EJ183*VLOOKUP('Données projet'!$B$15,Paramètres!$A$1:$I$89,3,0)*VLOOKUP('Données projet'!$B$15,Paramètres!$A$1:$I$89,5,0)</f>
        <v>1.223725121235475E-13</v>
      </c>
      <c r="EL183" s="13">
        <f t="shared" si="179"/>
        <v>1.7956824466038182E-12</v>
      </c>
      <c r="EM183" s="20">
        <f t="shared" si="180"/>
        <v>3.3406123864501612E-12</v>
      </c>
      <c r="EN183" s="59">
        <f t="shared" si="128"/>
        <v>293.33333333333667</v>
      </c>
      <c r="EO183" s="59">
        <f ca="1">AVERAGE(OFFSET($EN$3,0,0,'Données projet'!$E$15+1,1))-AVERAGE(OFFSET($H$3,0,0,'Données projet'!$E$15+1,1))</f>
        <v>217.10418688911096</v>
      </c>
      <c r="EP183" s="59">
        <f t="shared" si="154"/>
        <v>105.90631421515786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145.19188637714888</v>
      </c>
      <c r="T184" s="59">
        <f t="shared" si="142"/>
        <v>169.74069292032493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0.11120244879132915</v>
      </c>
      <c r="AA184" s="21">
        <f>EXP(-LN(2)/25)*AA183+(1-EXP(-LN(2)/25))/(LN(2)/25)*Calculateur!V184*Calculateur!X184*VLOOKUP('Données projet'!$B$9,Paramètres!$A$1:$I$89,3,0)*0.475*44/12</f>
        <v>0.13154533845240687</v>
      </c>
      <c r="AB184" s="21">
        <f>EXP(-LN(2)/2)*AB183+(1-EXP(-LN(2)/2))/(LN(2)/2)*V184*Y184*VLOOKUP('Données projet'!$B$9,Paramètres!$A$1:$I$89,3,0)*0.475*44/12</f>
        <v>7.5719887524349232E-23</v>
      </c>
      <c r="AC184" s="22">
        <f t="shared" si="163"/>
        <v>0.24274778724373602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-2.8421709430404007E-14</v>
      </c>
      <c r="AJ184" s="13">
        <f>AI184*VLOOKUP('Données projet'!$B$10,Paramètres!$A$1:$I$89,3,0)*VLOOKUP('Données projet'!$B$10,Paramètres!$A$1:$I$89,5,0)</f>
        <v>-2.4829205358400945E-14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254.24072778190163</v>
      </c>
      <c r="AO184" s="59">
        <f t="shared" si="144"/>
        <v>356.78706780980383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0.1544651466938162</v>
      </c>
      <c r="AV184" s="21">
        <f>EXP(-LN(2)/25)*AV183+(1-EXP(-LN(2)/25))/(LN(2)/25)*Calculateur!AQ184*Calculateur!AS184*VLOOKUP('Données projet'!$B$10,Paramètres!$A$1:$I$89,3,0)*0.475*44/12</f>
        <v>0.26888445282342571</v>
      </c>
      <c r="AW184" s="21">
        <f>EXP(-LN(2)/2)*AW183+(1-EXP(-LN(2)/2))/(LN(2)/2)*AQ184*AT184*VLOOKUP('Données projet'!$B$10,Paramètres!$A$1:$I$89,3,0)*0.475*44/12</f>
        <v>5.1977012477715734E-22</v>
      </c>
      <c r="AX184" s="21">
        <f t="shared" si="166"/>
        <v>0.42334959951724194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-2.7193891583010558E-13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246.59447135626942</v>
      </c>
      <c r="BJ184" s="59">
        <f t="shared" si="146"/>
        <v>262.00382544285367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0.19527968381736721</v>
      </c>
      <c r="BR184" s="21">
        <f>EXP(-LN(2)/2)*BR183+(1-EXP(-LN(2)/2))/(LN(2)/2)*BL184*BO184*VLOOKUP('Données projet'!$B$11,Paramètres!$A$1:$I$89,3,0)*0.475*44/12</f>
        <v>4.4414149507613829E-22</v>
      </c>
      <c r="BS184" s="22">
        <f t="shared" si="169"/>
        <v>0.19527968381736721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1.0286385077051818E-13</v>
      </c>
      <c r="CA184" s="13">
        <f t="shared" si="170"/>
        <v>1.5402366592183556E-12</v>
      </c>
      <c r="CB184" s="20">
        <f t="shared" si="171"/>
        <v>2.8617333882306215E-12</v>
      </c>
      <c r="CC184" s="59">
        <f t="shared" si="119"/>
        <v>293.33333333333616</v>
      </c>
      <c r="CD184" s="59">
        <f ca="1">AVERAGE(OFFSET($CC$3,0,0,'Données projet'!$E$12+1,1))-AVERAGE(OFFSET($H$3,0,0,'Données projet'!$E$12+1,1))</f>
        <v>169.62156467157178</v>
      </c>
      <c r="CE184" s="59">
        <f t="shared" si="148"/>
        <v>85.631326020763254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4.6111381379887463E-14</v>
      </c>
      <c r="CV184" s="13">
        <f t="shared" si="173"/>
        <v>7.5804141040779151E-13</v>
      </c>
      <c r="CW184" s="20">
        <f t="shared" si="174"/>
        <v>1.4005661123635408E-12</v>
      </c>
      <c r="CX184" s="59">
        <f t="shared" si="122"/>
        <v>293.33333333333474</v>
      </c>
      <c r="CY184" s="59">
        <f ca="1">AVERAGE(OFFSET($CX$3,0,0,'Données projet'!$E$13+1,1))-AVERAGE(OFFSET($H$3,0,0,'Données projet'!$E$13+1,1))</f>
        <v>234.59657655504111</v>
      </c>
      <c r="CZ184" s="59">
        <f t="shared" si="150"/>
        <v>285.10598666479211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0.12927764189875873</v>
      </c>
      <c r="DH184" s="21">
        <f>EXP(-LN(2)/2)*DH183+(1-EXP(-LN(2)/2))/(LN(2)/2)*DB184*DE184*VLOOKUP('Données projet'!$B$13,Paramètres!$A$1:$I$89,3,0)*0.475*44/12</f>
        <v>2.0537314863713818E-22</v>
      </c>
      <c r="DI184" s="22">
        <f t="shared" si="175"/>
        <v>0.12927764189875873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1.1368683772161603E-13</v>
      </c>
      <c r="DP184" s="17">
        <f>DO184*VLOOKUP('Données projet'!$B$14,Paramètres!$A$1:$I$89,3,0)*VLOOKUP('Données projet'!$B$14,Paramètres!$A$1:$I$89,5,0)</f>
        <v>1.0995790944434703E-13</v>
      </c>
      <c r="DQ184" s="13">
        <f t="shared" si="176"/>
        <v>1.6337280948049956E-12</v>
      </c>
      <c r="DR184" s="20">
        <f t="shared" si="177"/>
        <v>3.036919790734272E-12</v>
      </c>
      <c r="DS184" s="59">
        <f t="shared" si="125"/>
        <v>293.33333333333633</v>
      </c>
      <c r="DT184" s="59">
        <f ca="1">AVERAGE(OFFSET($DS$3,0,0,'Données projet'!$E$14+1,1))-AVERAGE(OFFSET($H$3,0,0,'Données projet'!$E$14+1,1))</f>
        <v>186.90852124957956</v>
      </c>
      <c r="DU184" s="59">
        <f t="shared" si="152"/>
        <v>93.013797128776446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1.1368683772161603E-13</v>
      </c>
      <c r="EK184" s="17">
        <f>EJ184*VLOOKUP('Données projet'!$B$15,Paramètres!$A$1:$I$89,3,0)*VLOOKUP('Données projet'!$B$15,Paramètres!$A$1:$I$89,5,0)</f>
        <v>1.223725121235475E-13</v>
      </c>
      <c r="EL184" s="13">
        <f t="shared" si="179"/>
        <v>1.7956824466038182E-12</v>
      </c>
      <c r="EM184" s="20">
        <f t="shared" si="180"/>
        <v>3.3406123864501612E-12</v>
      </c>
      <c r="EN184" s="59">
        <f t="shared" si="128"/>
        <v>293.33333333333667</v>
      </c>
      <c r="EO184" s="59">
        <f ca="1">AVERAGE(OFFSET($EN$3,0,0,'Données projet'!$E$15+1,1))-AVERAGE(OFFSET($H$3,0,0,'Données projet'!$E$15+1,1))</f>
        <v>217.10418688911096</v>
      </c>
      <c r="EP184" s="59">
        <f t="shared" si="154"/>
        <v>105.90631421515786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145.19188637714888</v>
      </c>
      <c r="T185" s="59">
        <f t="shared" si="142"/>
        <v>169.74069292032493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0.10902183659732761</v>
      </c>
      <c r="AA185" s="21">
        <f>EXP(-LN(2)/25)*AA184+(1-EXP(-LN(2)/25))/(LN(2)/25)*Calculateur!V185*Calculateur!X185*VLOOKUP('Données projet'!$B$9,Paramètres!$A$1:$I$89,3,0)*0.475*44/12</f>
        <v>0.1279482242547571</v>
      </c>
      <c r="AB185" s="21">
        <f>EXP(-LN(2)/2)*AB184+(1-EXP(-LN(2)/2))/(LN(2)/2)*V185*Y185*VLOOKUP('Données projet'!$B$9,Paramètres!$A$1:$I$89,3,0)*0.475*44/12</f>
        <v>5.3542045939150001E-23</v>
      </c>
      <c r="AC185" s="22">
        <f t="shared" si="163"/>
        <v>0.23697006085208472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-2.8421709430404007E-14</v>
      </c>
      <c r="AJ185" s="13">
        <f>AI185*VLOOKUP('Données projet'!$B$10,Paramètres!$A$1:$I$89,3,0)*VLOOKUP('Données projet'!$B$10,Paramètres!$A$1:$I$89,5,0)</f>
        <v>-2.4829205358400945E-14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254.24072778190163</v>
      </c>
      <c r="AO185" s="59">
        <f t="shared" si="144"/>
        <v>356.78706780980383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0.15143617938158704</v>
      </c>
      <c r="AV185" s="21">
        <f>EXP(-LN(2)/25)*AV184+(1-EXP(-LN(2)/25))/(LN(2)/25)*Calculateur!AQ185*Calculateur!AS185*VLOOKUP('Données projet'!$B$10,Paramètres!$A$1:$I$89,3,0)*0.475*44/12</f>
        <v>0.26153179332095028</v>
      </c>
      <c r="AW185" s="21">
        <f>EXP(-LN(2)/2)*AW184+(1-EXP(-LN(2)/2))/(LN(2)/2)*AQ185*AT185*VLOOKUP('Données projet'!$B$10,Paramètres!$A$1:$I$89,3,0)*0.475*44/12</f>
        <v>3.6753297988810591E-22</v>
      </c>
      <c r="AX185" s="21">
        <f t="shared" si="166"/>
        <v>0.41296797270253732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-2.7193891583010558E-13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246.59447135626942</v>
      </c>
      <c r="BJ185" s="59">
        <f t="shared" si="146"/>
        <v>262.00382544285367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0.18993975059406906</v>
      </c>
      <c r="BR185" s="21">
        <f>EXP(-LN(2)/2)*BR184+(1-EXP(-LN(2)/2))/(LN(2)/2)*BL185*BO185*VLOOKUP('Données projet'!$B$11,Paramètres!$A$1:$I$89,3,0)*0.475*44/12</f>
        <v>3.14055462974669E-22</v>
      </c>
      <c r="BS185" s="22">
        <f t="shared" si="169"/>
        <v>0.18993975059406906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1.0286385077051818E-13</v>
      </c>
      <c r="CA185" s="13">
        <f t="shared" si="170"/>
        <v>1.5402366592183556E-12</v>
      </c>
      <c r="CB185" s="20">
        <f t="shared" si="171"/>
        <v>2.8617333882306215E-12</v>
      </c>
      <c r="CC185" s="59">
        <f t="shared" si="119"/>
        <v>293.33333333333616</v>
      </c>
      <c r="CD185" s="59">
        <f ca="1">AVERAGE(OFFSET($CC$3,0,0,'Données projet'!$E$12+1,1))-AVERAGE(OFFSET($H$3,0,0,'Données projet'!$E$12+1,1))</f>
        <v>169.62156467157178</v>
      </c>
      <c r="CE185" s="59">
        <f t="shared" si="148"/>
        <v>85.631326020763254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4.6111381379887463E-14</v>
      </c>
      <c r="CV185" s="13">
        <f t="shared" si="173"/>
        <v>7.5804141040779151E-13</v>
      </c>
      <c r="CW185" s="20">
        <f t="shared" si="174"/>
        <v>1.4005661123635408E-12</v>
      </c>
      <c r="CX185" s="59">
        <f t="shared" si="122"/>
        <v>293.33333333333474</v>
      </c>
      <c r="CY185" s="59">
        <f ca="1">AVERAGE(OFFSET($CX$3,0,0,'Données projet'!$E$13+1,1))-AVERAGE(OFFSET($H$3,0,0,'Données projet'!$E$13+1,1))</f>
        <v>234.59657655504111</v>
      </c>
      <c r="CZ185" s="59">
        <f t="shared" si="150"/>
        <v>285.10598666479211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0.12574253798262144</v>
      </c>
      <c r="DH185" s="21">
        <f>EXP(-LN(2)/2)*DH184+(1-EXP(-LN(2)/2))/(LN(2)/2)*DB185*DE185*VLOOKUP('Données projet'!$B$13,Paramètres!$A$1:$I$89,3,0)*0.475*44/12</f>
        <v>1.4522074607495317E-22</v>
      </c>
      <c r="DI185" s="22">
        <f t="shared" si="175"/>
        <v>0.12574253798262144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1.1368683772161603E-13</v>
      </c>
      <c r="DP185" s="17">
        <f>DO185*VLOOKUP('Données projet'!$B$14,Paramètres!$A$1:$I$89,3,0)*VLOOKUP('Données projet'!$B$14,Paramètres!$A$1:$I$89,5,0)</f>
        <v>1.0995790944434703E-13</v>
      </c>
      <c r="DQ185" s="13">
        <f t="shared" si="176"/>
        <v>1.6337280948049956E-12</v>
      </c>
      <c r="DR185" s="20">
        <f t="shared" si="177"/>
        <v>3.036919790734272E-12</v>
      </c>
      <c r="DS185" s="59">
        <f t="shared" si="125"/>
        <v>293.33333333333633</v>
      </c>
      <c r="DT185" s="59">
        <f ca="1">AVERAGE(OFFSET($DS$3,0,0,'Données projet'!$E$14+1,1))-AVERAGE(OFFSET($H$3,0,0,'Données projet'!$E$14+1,1))</f>
        <v>186.90852124957956</v>
      </c>
      <c r="DU185" s="59">
        <f t="shared" si="152"/>
        <v>93.013797128776446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1.1368683772161603E-13</v>
      </c>
      <c r="EK185" s="17">
        <f>EJ185*VLOOKUP('Données projet'!$B$15,Paramètres!$A$1:$I$89,3,0)*VLOOKUP('Données projet'!$B$15,Paramètres!$A$1:$I$89,5,0)</f>
        <v>1.223725121235475E-13</v>
      </c>
      <c r="EL185" s="13">
        <f t="shared" si="179"/>
        <v>1.7956824466038182E-12</v>
      </c>
      <c r="EM185" s="20">
        <f t="shared" si="180"/>
        <v>3.3406123864501612E-12</v>
      </c>
      <c r="EN185" s="59">
        <f t="shared" si="128"/>
        <v>293.33333333333667</v>
      </c>
      <c r="EO185" s="59">
        <f ca="1">AVERAGE(OFFSET($EN$3,0,0,'Données projet'!$E$15+1,1))-AVERAGE(OFFSET($H$3,0,0,'Données projet'!$E$15+1,1))</f>
        <v>217.10418688911096</v>
      </c>
      <c r="EP185" s="59">
        <f t="shared" si="154"/>
        <v>105.90631421515786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145.19188637714888</v>
      </c>
      <c r="T186" s="59">
        <f t="shared" si="142"/>
        <v>169.74069292032493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0.10688398487840833</v>
      </c>
      <c r="AA186" s="21">
        <f>EXP(-LN(2)/25)*AA185+(1-EXP(-LN(2)/25))/(LN(2)/25)*Calculateur!V186*Calculateur!X186*VLOOKUP('Données projet'!$B$9,Paramètres!$A$1:$I$89,3,0)*0.475*44/12</f>
        <v>0.12444947333400609</v>
      </c>
      <c r="AB186" s="21">
        <f>EXP(-LN(2)/2)*AB185+(1-EXP(-LN(2)/2))/(LN(2)/2)*V186*Y186*VLOOKUP('Données projet'!$B$9,Paramètres!$A$1:$I$89,3,0)*0.475*44/12</f>
        <v>3.7859943762174616E-23</v>
      </c>
      <c r="AC186" s="22">
        <f t="shared" si="163"/>
        <v>0.23133345821241441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-2.8421709430404007E-14</v>
      </c>
      <c r="AJ186" s="13">
        <f>AI186*VLOOKUP('Données projet'!$B$10,Paramètres!$A$1:$I$89,3,0)*VLOOKUP('Données projet'!$B$10,Paramètres!$A$1:$I$89,5,0)</f>
        <v>-2.4829205358400945E-14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254.24072778190163</v>
      </c>
      <c r="AO186" s="59">
        <f t="shared" si="144"/>
        <v>356.78706780980383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0.14846660827086305</v>
      </c>
      <c r="AV186" s="21">
        <f>EXP(-LN(2)/25)*AV185+(1-EXP(-LN(2)/25))/(LN(2)/25)*Calculateur!AQ186*Calculateur!AS186*VLOOKUP('Données projet'!$B$10,Paramètres!$A$1:$I$89,3,0)*0.475*44/12</f>
        <v>0.25438019267922962</v>
      </c>
      <c r="AW186" s="21">
        <f>EXP(-LN(2)/2)*AW185+(1-EXP(-LN(2)/2))/(LN(2)/2)*AQ186*AT186*VLOOKUP('Données projet'!$B$10,Paramètres!$A$1:$I$89,3,0)*0.475*44/12</f>
        <v>2.5988506238857867E-22</v>
      </c>
      <c r="AX186" s="21">
        <f t="shared" si="166"/>
        <v>0.40284680095009268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-2.7193891583010558E-13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246.59447135626942</v>
      </c>
      <c r="BJ186" s="59">
        <f t="shared" si="146"/>
        <v>262.00382544285367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0.18474583812557688</v>
      </c>
      <c r="BR186" s="21">
        <f>EXP(-LN(2)/2)*BR185+(1-EXP(-LN(2)/2))/(LN(2)/2)*BL186*BO186*VLOOKUP('Données projet'!$B$11,Paramètres!$A$1:$I$89,3,0)*0.475*44/12</f>
        <v>2.2207074753806914E-22</v>
      </c>
      <c r="BS186" s="22">
        <f t="shared" si="169"/>
        <v>0.18474583812557688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1.0286385077051818E-13</v>
      </c>
      <c r="CA186" s="13">
        <f t="shared" si="170"/>
        <v>1.5402366592183556E-12</v>
      </c>
      <c r="CB186" s="20">
        <f t="shared" si="171"/>
        <v>2.8617333882306215E-12</v>
      </c>
      <c r="CC186" s="59">
        <f t="shared" si="119"/>
        <v>293.33333333333616</v>
      </c>
      <c r="CD186" s="59">
        <f ca="1">AVERAGE(OFFSET($CC$3,0,0,'Données projet'!$E$12+1,1))-AVERAGE(OFFSET($H$3,0,0,'Données projet'!$E$12+1,1))</f>
        <v>169.62156467157178</v>
      </c>
      <c r="CE186" s="59">
        <f t="shared" si="148"/>
        <v>85.631326020763254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4.6111381379887463E-14</v>
      </c>
      <c r="CV186" s="13">
        <f t="shared" si="173"/>
        <v>7.5804141040779151E-13</v>
      </c>
      <c r="CW186" s="20">
        <f t="shared" si="174"/>
        <v>1.4005661123635408E-12</v>
      </c>
      <c r="CX186" s="59">
        <f t="shared" si="122"/>
        <v>293.33333333333474</v>
      </c>
      <c r="CY186" s="59">
        <f ca="1">AVERAGE(OFFSET($CX$3,0,0,'Données projet'!$E$13+1,1))-AVERAGE(OFFSET($H$3,0,0,'Données projet'!$E$13+1,1))</f>
        <v>234.59657655504111</v>
      </c>
      <c r="CZ186" s="59">
        <f t="shared" si="150"/>
        <v>285.10598666479211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0.12230410166897397</v>
      </c>
      <c r="DH186" s="21">
        <f>EXP(-LN(2)/2)*DH185+(1-EXP(-LN(2)/2))/(LN(2)/2)*DB186*DE186*VLOOKUP('Données projet'!$B$13,Paramètres!$A$1:$I$89,3,0)*0.475*44/12</f>
        <v>1.0268657431856909E-22</v>
      </c>
      <c r="DI186" s="22">
        <f t="shared" si="175"/>
        <v>0.12230410166897397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1.1368683772161603E-13</v>
      </c>
      <c r="DP186" s="17">
        <f>DO186*VLOOKUP('Données projet'!$B$14,Paramètres!$A$1:$I$89,3,0)*VLOOKUP('Données projet'!$B$14,Paramètres!$A$1:$I$89,5,0)</f>
        <v>1.0995790944434703E-13</v>
      </c>
      <c r="DQ186" s="13">
        <f t="shared" si="176"/>
        <v>1.6337280948049956E-12</v>
      </c>
      <c r="DR186" s="20">
        <f t="shared" si="177"/>
        <v>3.036919790734272E-12</v>
      </c>
      <c r="DS186" s="59">
        <f t="shared" si="125"/>
        <v>293.33333333333633</v>
      </c>
      <c r="DT186" s="59">
        <f ca="1">AVERAGE(OFFSET($DS$3,0,0,'Données projet'!$E$14+1,1))-AVERAGE(OFFSET($H$3,0,0,'Données projet'!$E$14+1,1))</f>
        <v>186.90852124957956</v>
      </c>
      <c r="DU186" s="59">
        <f t="shared" si="152"/>
        <v>93.013797128776446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1.1368683772161603E-13</v>
      </c>
      <c r="EK186" s="17">
        <f>EJ186*VLOOKUP('Données projet'!$B$15,Paramètres!$A$1:$I$89,3,0)*VLOOKUP('Données projet'!$B$15,Paramètres!$A$1:$I$89,5,0)</f>
        <v>1.223725121235475E-13</v>
      </c>
      <c r="EL186" s="13">
        <f t="shared" si="179"/>
        <v>1.7956824466038182E-12</v>
      </c>
      <c r="EM186" s="20">
        <f t="shared" si="180"/>
        <v>3.3406123864501612E-12</v>
      </c>
      <c r="EN186" s="59">
        <f t="shared" si="128"/>
        <v>293.33333333333667</v>
      </c>
      <c r="EO186" s="59">
        <f ca="1">AVERAGE(OFFSET($EN$3,0,0,'Données projet'!$E$15+1,1))-AVERAGE(OFFSET($H$3,0,0,'Données projet'!$E$15+1,1))</f>
        <v>217.10418688911096</v>
      </c>
      <c r="EP186" s="59">
        <f t="shared" si="154"/>
        <v>105.90631421515786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145.19188637714888</v>
      </c>
      <c r="T187" s="59">
        <f t="shared" si="142"/>
        <v>169.74069292032493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0.10478805512773627</v>
      </c>
      <c r="AA187" s="21">
        <f>EXP(-LN(2)/25)*AA186+(1-EXP(-LN(2)/25))/(LN(2)/25)*Calculateur!V187*Calculateur!X187*VLOOKUP('Données projet'!$B$9,Paramètres!$A$1:$I$89,3,0)*0.475*44/12</f>
        <v>0.12104639594117432</v>
      </c>
      <c r="AB187" s="21">
        <f>EXP(-LN(2)/2)*AB186+(1-EXP(-LN(2)/2))/(LN(2)/2)*V187*Y187*VLOOKUP('Données projet'!$B$9,Paramètres!$A$1:$I$89,3,0)*0.475*44/12</f>
        <v>2.6771022969575001E-23</v>
      </c>
      <c r="AC187" s="22">
        <f t="shared" si="163"/>
        <v>0.22583445106891059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-2.8421709430404007E-14</v>
      </c>
      <c r="AJ187" s="13">
        <f>AI187*VLOOKUP('Données projet'!$B$10,Paramètres!$A$1:$I$89,3,0)*VLOOKUP('Données projet'!$B$10,Paramètres!$A$1:$I$89,5,0)</f>
        <v>-2.4829205358400945E-14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254.24072778190163</v>
      </c>
      <c r="AO187" s="59">
        <f t="shared" si="144"/>
        <v>356.78706780980383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0.14555526863836085</v>
      </c>
      <c r="AV187" s="21">
        <f>EXP(-LN(2)/25)*AV186+(1-EXP(-LN(2)/25))/(LN(2)/25)*Calculateur!AQ187*Calculateur!AS187*VLOOKUP('Données projet'!$B$10,Paramètres!$A$1:$I$89,3,0)*0.475*44/12</f>
        <v>0.24742415293314315</v>
      </c>
      <c r="AW187" s="21">
        <f>EXP(-LN(2)/2)*AW186+(1-EXP(-LN(2)/2))/(LN(2)/2)*AQ187*AT187*VLOOKUP('Données projet'!$B$10,Paramètres!$A$1:$I$89,3,0)*0.475*44/12</f>
        <v>1.8376648994405295E-22</v>
      </c>
      <c r="AX187" s="21">
        <f t="shared" si="166"/>
        <v>0.39297942157150401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-2.7193891583010558E-13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246.59447135626942</v>
      </c>
      <c r="BJ187" s="59">
        <f t="shared" si="146"/>
        <v>262.00382544285367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0.17969395346667158</v>
      </c>
      <c r="BR187" s="21">
        <f>EXP(-LN(2)/2)*BR186+(1-EXP(-LN(2)/2))/(LN(2)/2)*BL187*BO187*VLOOKUP('Données projet'!$B$11,Paramètres!$A$1:$I$89,3,0)*0.475*44/12</f>
        <v>1.570277314873345E-22</v>
      </c>
      <c r="BS187" s="22">
        <f t="shared" si="169"/>
        <v>0.17969395346667158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1.0286385077051818E-13</v>
      </c>
      <c r="CA187" s="13">
        <f t="shared" si="170"/>
        <v>1.5402366592183556E-12</v>
      </c>
      <c r="CB187" s="20">
        <f t="shared" si="171"/>
        <v>2.8617333882306215E-12</v>
      </c>
      <c r="CC187" s="59">
        <f t="shared" si="119"/>
        <v>293.33333333333616</v>
      </c>
      <c r="CD187" s="59">
        <f ca="1">AVERAGE(OFFSET($CC$3,0,0,'Données projet'!$E$12+1,1))-AVERAGE(OFFSET($H$3,0,0,'Données projet'!$E$12+1,1))</f>
        <v>169.62156467157178</v>
      </c>
      <c r="CE187" s="59">
        <f t="shared" si="148"/>
        <v>85.631326020763254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4.6111381379887463E-14</v>
      </c>
      <c r="CV187" s="13">
        <f t="shared" si="173"/>
        <v>7.5804141040779151E-13</v>
      </c>
      <c r="CW187" s="20">
        <f t="shared" si="174"/>
        <v>1.4005661123635408E-12</v>
      </c>
      <c r="CX187" s="59">
        <f t="shared" si="122"/>
        <v>293.33333333333474</v>
      </c>
      <c r="CY187" s="59">
        <f ca="1">AVERAGE(OFFSET($CX$3,0,0,'Données projet'!$E$13+1,1))-AVERAGE(OFFSET($H$3,0,0,'Données projet'!$E$13+1,1))</f>
        <v>234.59657655504111</v>
      </c>
      <c r="CZ187" s="59">
        <f t="shared" si="150"/>
        <v>285.10598666479211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0.1189596895771427</v>
      </c>
      <c r="DH187" s="21">
        <f>EXP(-LN(2)/2)*DH186+(1-EXP(-LN(2)/2))/(LN(2)/2)*DB187*DE187*VLOOKUP('Données projet'!$B$13,Paramètres!$A$1:$I$89,3,0)*0.475*44/12</f>
        <v>7.2610373037476584E-23</v>
      </c>
      <c r="DI187" s="22">
        <f t="shared" si="175"/>
        <v>0.1189596895771427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1.1368683772161603E-13</v>
      </c>
      <c r="DP187" s="17">
        <f>DO187*VLOOKUP('Données projet'!$B$14,Paramètres!$A$1:$I$89,3,0)*VLOOKUP('Données projet'!$B$14,Paramètres!$A$1:$I$89,5,0)</f>
        <v>1.0995790944434703E-13</v>
      </c>
      <c r="DQ187" s="13">
        <f t="shared" si="176"/>
        <v>1.6337280948049956E-12</v>
      </c>
      <c r="DR187" s="20">
        <f t="shared" si="177"/>
        <v>3.036919790734272E-12</v>
      </c>
      <c r="DS187" s="59">
        <f t="shared" si="125"/>
        <v>293.33333333333633</v>
      </c>
      <c r="DT187" s="59">
        <f ca="1">AVERAGE(OFFSET($DS$3,0,0,'Données projet'!$E$14+1,1))-AVERAGE(OFFSET($H$3,0,0,'Données projet'!$E$14+1,1))</f>
        <v>186.90852124957956</v>
      </c>
      <c r="DU187" s="59">
        <f t="shared" si="152"/>
        <v>93.013797128776446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1.1368683772161603E-13</v>
      </c>
      <c r="EK187" s="17">
        <f>EJ187*VLOOKUP('Données projet'!$B$15,Paramètres!$A$1:$I$89,3,0)*VLOOKUP('Données projet'!$B$15,Paramètres!$A$1:$I$89,5,0)</f>
        <v>1.223725121235475E-13</v>
      </c>
      <c r="EL187" s="13">
        <f t="shared" si="179"/>
        <v>1.7956824466038182E-12</v>
      </c>
      <c r="EM187" s="20">
        <f t="shared" si="180"/>
        <v>3.3406123864501612E-12</v>
      </c>
      <c r="EN187" s="59">
        <f t="shared" si="128"/>
        <v>293.33333333333667</v>
      </c>
      <c r="EO187" s="59">
        <f ca="1">AVERAGE(OFFSET($EN$3,0,0,'Données projet'!$E$15+1,1))-AVERAGE(OFFSET($H$3,0,0,'Données projet'!$E$15+1,1))</f>
        <v>217.10418688911096</v>
      </c>
      <c r="EP187" s="59">
        <f t="shared" si="154"/>
        <v>105.90631421515786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145.19188637714888</v>
      </c>
      <c r="T188" s="59">
        <f t="shared" si="142"/>
        <v>169.74069292032493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0.10273322528108397</v>
      </c>
      <c r="AA188" s="21">
        <f>EXP(-LN(2)/25)*AA187+(1-EXP(-LN(2)/25))/(LN(2)/25)*Calculateur!V188*Calculateur!X188*VLOOKUP('Données projet'!$B$9,Paramètres!$A$1:$I$89,3,0)*0.475*44/12</f>
        <v>0.11773637587860961</v>
      </c>
      <c r="AB188" s="21">
        <f>EXP(-LN(2)/2)*AB187+(1-EXP(-LN(2)/2))/(LN(2)/2)*V188*Y188*VLOOKUP('Données projet'!$B$9,Paramètres!$A$1:$I$89,3,0)*0.475*44/12</f>
        <v>1.8929971881087308E-23</v>
      </c>
      <c r="AC188" s="22">
        <f t="shared" si="163"/>
        <v>0.22046960115969358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-2.8421709430404007E-14</v>
      </c>
      <c r="AJ188" s="13">
        <f>AI188*VLOOKUP('Données projet'!$B$10,Paramètres!$A$1:$I$89,3,0)*VLOOKUP('Données projet'!$B$10,Paramètres!$A$1:$I$89,5,0)</f>
        <v>-2.4829205358400945E-14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254.24072778190163</v>
      </c>
      <c r="AO188" s="59">
        <f t="shared" si="144"/>
        <v>356.78706780980383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0.14270101860031018</v>
      </c>
      <c r="AV188" s="21">
        <f>EXP(-LN(2)/25)*AV187+(1-EXP(-LN(2)/25))/(LN(2)/25)*Calculateur!AQ188*Calculateur!AS188*VLOOKUP('Données projet'!$B$10,Paramètres!$A$1:$I$89,3,0)*0.475*44/12</f>
        <v>0.24065832645971566</v>
      </c>
      <c r="AW188" s="21">
        <f>EXP(-LN(2)/2)*AW187+(1-EXP(-LN(2)/2))/(LN(2)/2)*AQ188*AT188*VLOOKUP('Données projet'!$B$10,Paramètres!$A$1:$I$89,3,0)*0.475*44/12</f>
        <v>1.2994253119428934E-22</v>
      </c>
      <c r="AX188" s="21">
        <f t="shared" si="166"/>
        <v>0.38335934506002584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-2.7193891583010558E-13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246.59447135626942</v>
      </c>
      <c r="BJ188" s="59">
        <f t="shared" si="146"/>
        <v>262.00382544285367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0.17478021285943113</v>
      </c>
      <c r="BR188" s="21">
        <f>EXP(-LN(2)/2)*BR187+(1-EXP(-LN(2)/2))/(LN(2)/2)*BL188*BO188*VLOOKUP('Données projet'!$B$11,Paramètres!$A$1:$I$89,3,0)*0.475*44/12</f>
        <v>1.1103537376903457E-22</v>
      </c>
      <c r="BS188" s="22">
        <f t="shared" si="169"/>
        <v>0.17478021285943113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1.0286385077051818E-13</v>
      </c>
      <c r="CA188" s="13">
        <f t="shared" si="170"/>
        <v>1.5402366592183556E-12</v>
      </c>
      <c r="CB188" s="20">
        <f t="shared" si="171"/>
        <v>2.8617333882306215E-12</v>
      </c>
      <c r="CC188" s="59">
        <f t="shared" si="119"/>
        <v>293.33333333333616</v>
      </c>
      <c r="CD188" s="59">
        <f ca="1">AVERAGE(OFFSET($CC$3,0,0,'Données projet'!$E$12+1,1))-AVERAGE(OFFSET($H$3,0,0,'Données projet'!$E$12+1,1))</f>
        <v>169.62156467157178</v>
      </c>
      <c r="CE188" s="59">
        <f t="shared" si="148"/>
        <v>85.631326020763254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4.6111381379887463E-14</v>
      </c>
      <c r="CV188" s="13">
        <f t="shared" si="173"/>
        <v>7.5804141040779151E-13</v>
      </c>
      <c r="CW188" s="20">
        <f t="shared" si="174"/>
        <v>1.4005661123635408E-12</v>
      </c>
      <c r="CX188" s="59">
        <f t="shared" si="122"/>
        <v>293.33333333333474</v>
      </c>
      <c r="CY188" s="59">
        <f ca="1">AVERAGE(OFFSET($CX$3,0,0,'Données projet'!$E$13+1,1))-AVERAGE(OFFSET($H$3,0,0,'Données projet'!$E$13+1,1))</f>
        <v>234.59657655504111</v>
      </c>
      <c r="CZ188" s="59">
        <f t="shared" si="150"/>
        <v>285.10598666479211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0.11570673060983755</v>
      </c>
      <c r="DH188" s="21">
        <f>EXP(-LN(2)/2)*DH187+(1-EXP(-LN(2)/2))/(LN(2)/2)*DB188*DE188*VLOOKUP('Données projet'!$B$13,Paramètres!$A$1:$I$89,3,0)*0.475*44/12</f>
        <v>5.1343287159284546E-23</v>
      </c>
      <c r="DI188" s="22">
        <f t="shared" si="175"/>
        <v>0.11570673060983755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1.1368683772161603E-13</v>
      </c>
      <c r="DP188" s="17">
        <f>DO188*VLOOKUP('Données projet'!$B$14,Paramètres!$A$1:$I$89,3,0)*VLOOKUP('Données projet'!$B$14,Paramètres!$A$1:$I$89,5,0)</f>
        <v>1.0995790944434703E-13</v>
      </c>
      <c r="DQ188" s="13">
        <f t="shared" si="176"/>
        <v>1.6337280948049956E-12</v>
      </c>
      <c r="DR188" s="20">
        <f t="shared" si="177"/>
        <v>3.036919790734272E-12</v>
      </c>
      <c r="DS188" s="59">
        <f t="shared" si="125"/>
        <v>293.33333333333633</v>
      </c>
      <c r="DT188" s="59">
        <f ca="1">AVERAGE(OFFSET($DS$3,0,0,'Données projet'!$E$14+1,1))-AVERAGE(OFFSET($H$3,0,0,'Données projet'!$E$14+1,1))</f>
        <v>186.90852124957956</v>
      </c>
      <c r="DU188" s="59">
        <f t="shared" si="152"/>
        <v>93.013797128776446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1.1368683772161603E-13</v>
      </c>
      <c r="EK188" s="17">
        <f>EJ188*VLOOKUP('Données projet'!$B$15,Paramètres!$A$1:$I$89,3,0)*VLOOKUP('Données projet'!$B$15,Paramètres!$A$1:$I$89,5,0)</f>
        <v>1.223725121235475E-13</v>
      </c>
      <c r="EL188" s="13">
        <f t="shared" si="179"/>
        <v>1.7956824466038182E-12</v>
      </c>
      <c r="EM188" s="20">
        <f t="shared" si="180"/>
        <v>3.3406123864501612E-12</v>
      </c>
      <c r="EN188" s="59">
        <f t="shared" si="128"/>
        <v>293.33333333333667</v>
      </c>
      <c r="EO188" s="59">
        <f ca="1">AVERAGE(OFFSET($EN$3,0,0,'Données projet'!$E$15+1,1))-AVERAGE(OFFSET($H$3,0,0,'Données projet'!$E$15+1,1))</f>
        <v>217.10418688911096</v>
      </c>
      <c r="EP188" s="59">
        <f t="shared" si="154"/>
        <v>105.90631421515786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145.19188637714888</v>
      </c>
      <c r="T189" s="59">
        <f t="shared" si="142"/>
        <v>169.74069292032493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0.10071868939440207</v>
      </c>
      <c r="AA189" s="21">
        <f>EXP(-LN(2)/25)*AA188+(1-EXP(-LN(2)/25))/(LN(2)/25)*Calculateur!V189*Calculateur!X189*VLOOKUP('Données projet'!$B$9,Paramètres!$A$1:$I$89,3,0)*0.475*44/12</f>
        <v>0.11451686848872211</v>
      </c>
      <c r="AB189" s="21">
        <f>EXP(-LN(2)/2)*AB188+(1-EXP(-LN(2)/2))/(LN(2)/2)*V189*Y189*VLOOKUP('Données projet'!$B$9,Paramètres!$A$1:$I$89,3,0)*0.475*44/12</f>
        <v>1.33855114847875E-23</v>
      </c>
      <c r="AC189" s="22">
        <f t="shared" si="163"/>
        <v>0.21523555788312418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-2.8421709430404007E-14</v>
      </c>
      <c r="AJ189" s="13">
        <f>AI189*VLOOKUP('Données projet'!$B$10,Paramètres!$A$1:$I$89,3,0)*VLOOKUP('Données projet'!$B$10,Paramètres!$A$1:$I$89,5,0)</f>
        <v>-2.4829205358400945E-14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254.24072778190163</v>
      </c>
      <c r="AO189" s="59">
        <f t="shared" si="144"/>
        <v>356.78706780980383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0.13990273866458505</v>
      </c>
      <c r="AV189" s="21">
        <f>EXP(-LN(2)/25)*AV188+(1-EXP(-LN(2)/25))/(LN(2)/25)*Calculateur!AQ189*Calculateur!AS189*VLOOKUP('Données projet'!$B$10,Paramètres!$A$1:$I$89,3,0)*0.475*44/12</f>
        <v>0.23407751186700337</v>
      </c>
      <c r="AW189" s="21">
        <f>EXP(-LN(2)/2)*AW188+(1-EXP(-LN(2)/2))/(LN(2)/2)*AQ189*AT189*VLOOKUP('Données projet'!$B$10,Paramètres!$A$1:$I$89,3,0)*0.475*44/12</f>
        <v>9.1883244972026477E-23</v>
      </c>
      <c r="AX189" s="21">
        <f t="shared" si="166"/>
        <v>0.37398025053158845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-2.7193891583010558E-13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246.59447135626942</v>
      </c>
      <c r="BJ189" s="59">
        <f t="shared" si="146"/>
        <v>262.00382544285367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0.17000083874749805</v>
      </c>
      <c r="BR189" s="21">
        <f>EXP(-LN(2)/2)*BR188+(1-EXP(-LN(2)/2))/(LN(2)/2)*BL189*BO189*VLOOKUP('Données projet'!$B$11,Paramètres!$A$1:$I$89,3,0)*0.475*44/12</f>
        <v>7.8513865743667249E-23</v>
      </c>
      <c r="BS189" s="22">
        <f t="shared" si="169"/>
        <v>0.17000083874749805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1.0286385077051818E-13</v>
      </c>
      <c r="CA189" s="13">
        <f t="shared" si="170"/>
        <v>1.5402366592183556E-12</v>
      </c>
      <c r="CB189" s="20">
        <f t="shared" si="171"/>
        <v>2.8617333882306215E-12</v>
      </c>
      <c r="CC189" s="59">
        <f t="shared" si="119"/>
        <v>293.33333333333616</v>
      </c>
      <c r="CD189" s="59">
        <f ca="1">AVERAGE(OFFSET($CC$3,0,0,'Données projet'!$E$12+1,1))-AVERAGE(OFFSET($H$3,0,0,'Données projet'!$E$12+1,1))</f>
        <v>169.62156467157178</v>
      </c>
      <c r="CE189" s="59">
        <f t="shared" si="148"/>
        <v>85.631326020763254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4.6111381379887463E-14</v>
      </c>
      <c r="CV189" s="13">
        <f t="shared" si="173"/>
        <v>7.5804141040779151E-13</v>
      </c>
      <c r="CW189" s="20">
        <f t="shared" si="174"/>
        <v>1.4005661123635408E-12</v>
      </c>
      <c r="CX189" s="59">
        <f t="shared" si="122"/>
        <v>293.33333333333474</v>
      </c>
      <c r="CY189" s="59">
        <f ca="1">AVERAGE(OFFSET($CX$3,0,0,'Données projet'!$E$13+1,1))-AVERAGE(OFFSET($H$3,0,0,'Données projet'!$E$13+1,1))</f>
        <v>234.59657655504111</v>
      </c>
      <c r="CZ189" s="59">
        <f t="shared" si="150"/>
        <v>285.10598666479211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0.11254272397655903</v>
      </c>
      <c r="DH189" s="21">
        <f>EXP(-LN(2)/2)*DH188+(1-EXP(-LN(2)/2))/(LN(2)/2)*DB189*DE189*VLOOKUP('Données projet'!$B$13,Paramètres!$A$1:$I$89,3,0)*0.475*44/12</f>
        <v>3.6305186518738292E-23</v>
      </c>
      <c r="DI189" s="22">
        <f t="shared" si="175"/>
        <v>0.11254272397655903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1.1368683772161603E-13</v>
      </c>
      <c r="DP189" s="17">
        <f>DO189*VLOOKUP('Données projet'!$B$14,Paramètres!$A$1:$I$89,3,0)*VLOOKUP('Données projet'!$B$14,Paramètres!$A$1:$I$89,5,0)</f>
        <v>1.0995790944434703E-13</v>
      </c>
      <c r="DQ189" s="13">
        <f t="shared" si="176"/>
        <v>1.6337280948049956E-12</v>
      </c>
      <c r="DR189" s="20">
        <f t="shared" si="177"/>
        <v>3.036919790734272E-12</v>
      </c>
      <c r="DS189" s="59">
        <f t="shared" si="125"/>
        <v>293.33333333333633</v>
      </c>
      <c r="DT189" s="59">
        <f ca="1">AVERAGE(OFFSET($DS$3,0,0,'Données projet'!$E$14+1,1))-AVERAGE(OFFSET($H$3,0,0,'Données projet'!$E$14+1,1))</f>
        <v>186.90852124957956</v>
      </c>
      <c r="DU189" s="59">
        <f t="shared" si="152"/>
        <v>93.013797128776446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1.1368683772161603E-13</v>
      </c>
      <c r="EK189" s="17">
        <f>EJ189*VLOOKUP('Données projet'!$B$15,Paramètres!$A$1:$I$89,3,0)*VLOOKUP('Données projet'!$B$15,Paramètres!$A$1:$I$89,5,0)</f>
        <v>1.223725121235475E-13</v>
      </c>
      <c r="EL189" s="13">
        <f t="shared" si="179"/>
        <v>1.7956824466038182E-12</v>
      </c>
      <c r="EM189" s="20">
        <f t="shared" si="180"/>
        <v>3.3406123864501612E-12</v>
      </c>
      <c r="EN189" s="59">
        <f t="shared" si="128"/>
        <v>293.33333333333667</v>
      </c>
      <c r="EO189" s="59">
        <f ca="1">AVERAGE(OFFSET($EN$3,0,0,'Données projet'!$E$15+1,1))-AVERAGE(OFFSET($H$3,0,0,'Données projet'!$E$15+1,1))</f>
        <v>217.10418688911096</v>
      </c>
      <c r="EP189" s="59">
        <f t="shared" si="154"/>
        <v>105.90631421515786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145.19188637714888</v>
      </c>
      <c r="T190" s="59">
        <f t="shared" si="142"/>
        <v>169.74069292032493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9.8743657327712439E-2</v>
      </c>
      <c r="AA190" s="21">
        <f>EXP(-LN(2)/25)*AA189+(1-EXP(-LN(2)/25))/(LN(2)/25)*Calculateur!V190*Calculateur!X190*VLOOKUP('Données projet'!$B$9,Paramètres!$A$1:$I$89,3,0)*0.475*44/12</f>
        <v>0.11138539869771763</v>
      </c>
      <c r="AB190" s="21">
        <f>EXP(-LN(2)/2)*AB189+(1-EXP(-LN(2)/2))/(LN(2)/2)*V190*Y190*VLOOKUP('Données projet'!$B$9,Paramètres!$A$1:$I$89,3,0)*0.475*44/12</f>
        <v>9.4649859405436539E-24</v>
      </c>
      <c r="AC190" s="22">
        <f t="shared" si="163"/>
        <v>0.21012905602543008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-2.8421709430404007E-14</v>
      </c>
      <c r="AJ190" s="13">
        <f>AI190*VLOOKUP('Données projet'!$B$10,Paramètres!$A$1:$I$89,3,0)*VLOOKUP('Données projet'!$B$10,Paramètres!$A$1:$I$89,5,0)</f>
        <v>-2.4829205358400945E-14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254.24072778190163</v>
      </c>
      <c r="AO190" s="59">
        <f t="shared" si="144"/>
        <v>356.78706780980383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0.13715933129161725</v>
      </c>
      <c r="AV190" s="21">
        <f>EXP(-LN(2)/25)*AV189+(1-EXP(-LN(2)/25))/(LN(2)/25)*Calculateur!AQ190*Calculateur!AS190*VLOOKUP('Données projet'!$B$10,Paramètres!$A$1:$I$89,3,0)*0.475*44/12</f>
        <v>0.2276766499953988</v>
      </c>
      <c r="AW190" s="21">
        <f>EXP(-LN(2)/2)*AW189+(1-EXP(-LN(2)/2))/(LN(2)/2)*AQ190*AT190*VLOOKUP('Données projet'!$B$10,Paramètres!$A$1:$I$89,3,0)*0.475*44/12</f>
        <v>6.4971265597144668E-23</v>
      </c>
      <c r="AX190" s="21">
        <f t="shared" si="166"/>
        <v>0.36483598128701605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-2.7193891583010558E-13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246.59447135626942</v>
      </c>
      <c r="BJ190" s="59">
        <f t="shared" si="146"/>
        <v>262.00382544285367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0.16535215687199215</v>
      </c>
      <c r="BR190" s="21">
        <f>EXP(-LN(2)/2)*BR189+(1-EXP(-LN(2)/2))/(LN(2)/2)*BL190*BO190*VLOOKUP('Données projet'!$B$11,Paramètres!$A$1:$I$89,3,0)*0.475*44/12</f>
        <v>5.5517686884517286E-23</v>
      </c>
      <c r="BS190" s="22">
        <f t="shared" si="169"/>
        <v>0.16535215687199215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1.0286385077051818E-13</v>
      </c>
      <c r="CA190" s="13">
        <f t="shared" si="170"/>
        <v>1.5402366592183556E-12</v>
      </c>
      <c r="CB190" s="20">
        <f t="shared" si="171"/>
        <v>2.8617333882306215E-12</v>
      </c>
      <c r="CC190" s="59">
        <f t="shared" si="119"/>
        <v>293.33333333333616</v>
      </c>
      <c r="CD190" s="59">
        <f ca="1">AVERAGE(OFFSET($CC$3,0,0,'Données projet'!$E$12+1,1))-AVERAGE(OFFSET($H$3,0,0,'Données projet'!$E$12+1,1))</f>
        <v>169.62156467157178</v>
      </c>
      <c r="CE190" s="59">
        <f t="shared" si="148"/>
        <v>85.631326020763254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4.6111381379887463E-14</v>
      </c>
      <c r="CV190" s="13">
        <f t="shared" si="173"/>
        <v>7.5804141040779151E-13</v>
      </c>
      <c r="CW190" s="20">
        <f t="shared" si="174"/>
        <v>1.4005661123635408E-12</v>
      </c>
      <c r="CX190" s="59">
        <f t="shared" si="122"/>
        <v>293.33333333333474</v>
      </c>
      <c r="CY190" s="59">
        <f ca="1">AVERAGE(OFFSET($CX$3,0,0,'Données projet'!$E$13+1,1))-AVERAGE(OFFSET($H$3,0,0,'Données projet'!$E$13+1,1))</f>
        <v>234.59657655504111</v>
      </c>
      <c r="CZ190" s="59">
        <f t="shared" si="150"/>
        <v>285.10598666479211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0.10946523727105538</v>
      </c>
      <c r="DH190" s="21">
        <f>EXP(-LN(2)/2)*DH189+(1-EXP(-LN(2)/2))/(LN(2)/2)*DB190*DE190*VLOOKUP('Données projet'!$B$13,Paramètres!$A$1:$I$89,3,0)*0.475*44/12</f>
        <v>2.5671643579642273E-23</v>
      </c>
      <c r="DI190" s="22">
        <f t="shared" si="175"/>
        <v>0.10946523727105538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1.1368683772161603E-13</v>
      </c>
      <c r="DP190" s="17">
        <f>DO190*VLOOKUP('Données projet'!$B$14,Paramètres!$A$1:$I$89,3,0)*VLOOKUP('Données projet'!$B$14,Paramètres!$A$1:$I$89,5,0)</f>
        <v>1.0995790944434703E-13</v>
      </c>
      <c r="DQ190" s="13">
        <f t="shared" si="176"/>
        <v>1.6337280948049956E-12</v>
      </c>
      <c r="DR190" s="20">
        <f t="shared" si="177"/>
        <v>3.036919790734272E-12</v>
      </c>
      <c r="DS190" s="59">
        <f t="shared" si="125"/>
        <v>293.33333333333633</v>
      </c>
      <c r="DT190" s="59">
        <f ca="1">AVERAGE(OFFSET($DS$3,0,0,'Données projet'!$E$14+1,1))-AVERAGE(OFFSET($H$3,0,0,'Données projet'!$E$14+1,1))</f>
        <v>186.90852124957956</v>
      </c>
      <c r="DU190" s="59">
        <f t="shared" si="152"/>
        <v>93.013797128776446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1.1368683772161603E-13</v>
      </c>
      <c r="EK190" s="17">
        <f>EJ190*VLOOKUP('Données projet'!$B$15,Paramètres!$A$1:$I$89,3,0)*VLOOKUP('Données projet'!$B$15,Paramètres!$A$1:$I$89,5,0)</f>
        <v>1.223725121235475E-13</v>
      </c>
      <c r="EL190" s="13">
        <f t="shared" si="179"/>
        <v>1.7956824466038182E-12</v>
      </c>
      <c r="EM190" s="20">
        <f t="shared" si="180"/>
        <v>3.3406123864501612E-12</v>
      </c>
      <c r="EN190" s="59">
        <f t="shared" si="128"/>
        <v>293.33333333333667</v>
      </c>
      <c r="EO190" s="59">
        <f ca="1">AVERAGE(OFFSET($EN$3,0,0,'Données projet'!$E$15+1,1))-AVERAGE(OFFSET($H$3,0,0,'Données projet'!$E$15+1,1))</f>
        <v>217.10418688911096</v>
      </c>
      <c r="EP190" s="59">
        <f t="shared" si="154"/>
        <v>105.90631421515786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145.19188637714888</v>
      </c>
      <c r="T191" s="59">
        <f t="shared" si="142"/>
        <v>169.74069292032493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9.6807354435199972E-2</v>
      </c>
      <c r="AA191" s="21">
        <f>EXP(-LN(2)/25)*AA190+(1-EXP(-LN(2)/25))/(LN(2)/25)*Calculateur!V191*Calculateur!X191*VLOOKUP('Données projet'!$B$9,Paramètres!$A$1:$I$89,3,0)*0.475*44/12</f>
        <v>0.108339559112825</v>
      </c>
      <c r="AB191" s="21">
        <f>EXP(-LN(2)/2)*AB190+(1-EXP(-LN(2)/2))/(LN(2)/2)*V191*Y191*VLOOKUP('Données projet'!$B$9,Paramètres!$A$1:$I$89,3,0)*0.475*44/12</f>
        <v>6.6927557423937502E-24</v>
      </c>
      <c r="AC191" s="22">
        <f t="shared" si="163"/>
        <v>0.20514691354802497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-2.8421709430404007E-14</v>
      </c>
      <c r="AJ191" s="13">
        <f>AI191*VLOOKUP('Données projet'!$B$10,Paramètres!$A$1:$I$89,3,0)*VLOOKUP('Données projet'!$B$10,Paramètres!$A$1:$I$89,5,0)</f>
        <v>-2.4829205358400945E-14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254.24072778190163</v>
      </c>
      <c r="AO191" s="59">
        <f t="shared" si="144"/>
        <v>356.78706780980383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0.13446972046392008</v>
      </c>
      <c r="AV191" s="21">
        <f>EXP(-LN(2)/25)*AV190+(1-EXP(-LN(2)/25))/(LN(2)/25)*Calculateur!AQ191*Calculateur!AS191*VLOOKUP('Données projet'!$B$10,Paramètres!$A$1:$I$89,3,0)*0.475*44/12</f>
        <v>0.22145082002827995</v>
      </c>
      <c r="AW191" s="21">
        <f>EXP(-LN(2)/2)*AW190+(1-EXP(-LN(2)/2))/(LN(2)/2)*AQ191*AT191*VLOOKUP('Données projet'!$B$10,Paramètres!$A$1:$I$89,3,0)*0.475*44/12</f>
        <v>4.5941622486013239E-23</v>
      </c>
      <c r="AX191" s="21">
        <f t="shared" si="166"/>
        <v>0.35592054049220001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-2.7193891583010558E-13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246.59447135626942</v>
      </c>
      <c r="BJ191" s="59">
        <f t="shared" si="146"/>
        <v>262.00382544285367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0.16083059344683551</v>
      </c>
      <c r="BR191" s="21">
        <f>EXP(-LN(2)/2)*BR190+(1-EXP(-LN(2)/2))/(LN(2)/2)*BL191*BO191*VLOOKUP('Données projet'!$B$11,Paramètres!$A$1:$I$89,3,0)*0.475*44/12</f>
        <v>3.9256932871833625E-23</v>
      </c>
      <c r="BS191" s="22">
        <f t="shared" si="169"/>
        <v>0.16083059344683551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1.0286385077051818E-13</v>
      </c>
      <c r="CA191" s="13">
        <f t="shared" si="170"/>
        <v>1.5402366592183556E-12</v>
      </c>
      <c r="CB191" s="20">
        <f t="shared" si="171"/>
        <v>2.8617333882306215E-12</v>
      </c>
      <c r="CC191" s="59">
        <f t="shared" si="119"/>
        <v>293.33333333333616</v>
      </c>
      <c r="CD191" s="59">
        <f ca="1">AVERAGE(OFFSET($CC$3,0,0,'Données projet'!$E$12+1,1))-AVERAGE(OFFSET($H$3,0,0,'Données projet'!$E$12+1,1))</f>
        <v>169.62156467157178</v>
      </c>
      <c r="CE191" s="59">
        <f t="shared" si="148"/>
        <v>85.631326020763254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4.6111381379887463E-14</v>
      </c>
      <c r="CV191" s="13">
        <f t="shared" si="173"/>
        <v>7.5804141040779151E-13</v>
      </c>
      <c r="CW191" s="20">
        <f t="shared" si="174"/>
        <v>1.4005661123635408E-12</v>
      </c>
      <c r="CX191" s="59">
        <f t="shared" si="122"/>
        <v>293.33333333333474</v>
      </c>
      <c r="CY191" s="59">
        <f ca="1">AVERAGE(OFFSET($CX$3,0,0,'Données projet'!$E$13+1,1))-AVERAGE(OFFSET($H$3,0,0,'Données projet'!$E$13+1,1))</f>
        <v>234.59657655504111</v>
      </c>
      <c r="CZ191" s="59">
        <f t="shared" si="150"/>
        <v>285.10598666479211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0.10647190460135172</v>
      </c>
      <c r="DH191" s="21">
        <f>EXP(-LN(2)/2)*DH190+(1-EXP(-LN(2)/2))/(LN(2)/2)*DB191*DE191*VLOOKUP('Données projet'!$B$13,Paramètres!$A$1:$I$89,3,0)*0.475*44/12</f>
        <v>1.8152593259369146E-23</v>
      </c>
      <c r="DI191" s="22">
        <f t="shared" si="175"/>
        <v>0.10647190460135172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1.1368683772161603E-13</v>
      </c>
      <c r="DP191" s="17">
        <f>DO191*VLOOKUP('Données projet'!$B$14,Paramètres!$A$1:$I$89,3,0)*VLOOKUP('Données projet'!$B$14,Paramètres!$A$1:$I$89,5,0)</f>
        <v>1.0995790944434703E-13</v>
      </c>
      <c r="DQ191" s="13">
        <f t="shared" si="176"/>
        <v>1.6337280948049956E-12</v>
      </c>
      <c r="DR191" s="20">
        <f t="shared" si="177"/>
        <v>3.036919790734272E-12</v>
      </c>
      <c r="DS191" s="59">
        <f t="shared" si="125"/>
        <v>293.33333333333633</v>
      </c>
      <c r="DT191" s="59">
        <f ca="1">AVERAGE(OFFSET($DS$3,0,0,'Données projet'!$E$14+1,1))-AVERAGE(OFFSET($H$3,0,0,'Données projet'!$E$14+1,1))</f>
        <v>186.90852124957956</v>
      </c>
      <c r="DU191" s="59">
        <f t="shared" si="152"/>
        <v>93.013797128776446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1.1368683772161603E-13</v>
      </c>
      <c r="EK191" s="17">
        <f>EJ191*VLOOKUP('Données projet'!$B$15,Paramètres!$A$1:$I$89,3,0)*VLOOKUP('Données projet'!$B$15,Paramètres!$A$1:$I$89,5,0)</f>
        <v>1.223725121235475E-13</v>
      </c>
      <c r="EL191" s="13">
        <f t="shared" si="179"/>
        <v>1.7956824466038182E-12</v>
      </c>
      <c r="EM191" s="20">
        <f t="shared" si="180"/>
        <v>3.3406123864501612E-12</v>
      </c>
      <c r="EN191" s="59">
        <f t="shared" si="128"/>
        <v>293.33333333333667</v>
      </c>
      <c r="EO191" s="59">
        <f ca="1">AVERAGE(OFFSET($EN$3,0,0,'Données projet'!$E$15+1,1))-AVERAGE(OFFSET($H$3,0,0,'Données projet'!$E$15+1,1))</f>
        <v>217.10418688911096</v>
      </c>
      <c r="EP191" s="59">
        <f t="shared" si="154"/>
        <v>105.90631421515786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145.19188637714888</v>
      </c>
      <c r="T192" s="59">
        <f t="shared" si="142"/>
        <v>169.74069292032493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9.4909021261381538E-2</v>
      </c>
      <c r="AA192" s="21">
        <f>EXP(-LN(2)/25)*AA191+(1-EXP(-LN(2)/25))/(LN(2)/25)*Calculateur!V192*Calculateur!X192*VLOOKUP('Données projet'!$B$9,Paramètres!$A$1:$I$89,3,0)*0.475*44/12</f>
        <v>0.105377008171555</v>
      </c>
      <c r="AB192" s="21">
        <f>EXP(-LN(2)/2)*AB191+(1-EXP(-LN(2)/2))/(LN(2)/2)*V192*Y192*VLOOKUP('Données projet'!$B$9,Paramètres!$A$1:$I$89,3,0)*0.475*44/12</f>
        <v>4.732492970271827E-24</v>
      </c>
      <c r="AC192" s="22">
        <f t="shared" si="163"/>
        <v>0.20028602943293655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-2.8421709430404007E-14</v>
      </c>
      <c r="AJ192" s="13">
        <f>AI192*VLOOKUP('Données projet'!$B$10,Paramètres!$A$1:$I$89,3,0)*VLOOKUP('Données projet'!$B$10,Paramètres!$A$1:$I$89,5,0)</f>
        <v>-2.4829205358400945E-14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254.24072778190163</v>
      </c>
      <c r="AO192" s="59">
        <f t="shared" si="144"/>
        <v>356.78706780980383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0.13183285126405345</v>
      </c>
      <c r="AV192" s="21">
        <f>EXP(-LN(2)/25)*AV191+(1-EXP(-LN(2)/25))/(LN(2)/25)*Calculateur!AQ192*Calculateur!AS192*VLOOKUP('Données projet'!$B$10,Paramètres!$A$1:$I$89,3,0)*0.475*44/12</f>
        <v>0.21539523570901414</v>
      </c>
      <c r="AW192" s="21">
        <f>EXP(-LN(2)/2)*AW191+(1-EXP(-LN(2)/2))/(LN(2)/2)*AQ192*AT192*VLOOKUP('Données projet'!$B$10,Paramètres!$A$1:$I$89,3,0)*0.475*44/12</f>
        <v>3.2485632798572334E-23</v>
      </c>
      <c r="AX192" s="21">
        <f t="shared" si="166"/>
        <v>0.34722808697306762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-2.7193891583010558E-13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246.59447135626942</v>
      </c>
      <c r="BJ192" s="59">
        <f t="shared" si="146"/>
        <v>262.00382544285367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0.15643267241131847</v>
      </c>
      <c r="BR192" s="21">
        <f>EXP(-LN(2)/2)*BR191+(1-EXP(-LN(2)/2))/(LN(2)/2)*BL192*BO192*VLOOKUP('Données projet'!$B$11,Paramètres!$A$1:$I$89,3,0)*0.475*44/12</f>
        <v>2.7758843442258643E-23</v>
      </c>
      <c r="BS192" s="22">
        <f t="shared" si="169"/>
        <v>0.15643267241131847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1.0286385077051818E-13</v>
      </c>
      <c r="CA192" s="13">
        <f t="shared" si="170"/>
        <v>1.5402366592183556E-12</v>
      </c>
      <c r="CB192" s="20">
        <f t="shared" si="171"/>
        <v>2.8617333882306215E-12</v>
      </c>
      <c r="CC192" s="59">
        <f t="shared" si="119"/>
        <v>293.33333333333616</v>
      </c>
      <c r="CD192" s="59">
        <f ca="1">AVERAGE(OFFSET($CC$3,0,0,'Données projet'!$E$12+1,1))-AVERAGE(OFFSET($H$3,0,0,'Données projet'!$E$12+1,1))</f>
        <v>169.62156467157178</v>
      </c>
      <c r="CE192" s="59">
        <f t="shared" si="148"/>
        <v>85.631326020763254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4.6111381379887463E-14</v>
      </c>
      <c r="CV192" s="13">
        <f t="shared" si="173"/>
        <v>7.5804141040779151E-13</v>
      </c>
      <c r="CW192" s="20">
        <f t="shared" si="174"/>
        <v>1.4005661123635408E-12</v>
      </c>
      <c r="CX192" s="59">
        <f t="shared" si="122"/>
        <v>293.33333333333474</v>
      </c>
      <c r="CY192" s="59">
        <f ca="1">AVERAGE(OFFSET($CX$3,0,0,'Données projet'!$E$13+1,1))-AVERAGE(OFFSET($H$3,0,0,'Données projet'!$E$13+1,1))</f>
        <v>234.59657655504111</v>
      </c>
      <c r="CZ192" s="59">
        <f t="shared" si="150"/>
        <v>285.10598666479211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0.10356042477091364</v>
      </c>
      <c r="DH192" s="21">
        <f>EXP(-LN(2)/2)*DH191+(1-EXP(-LN(2)/2))/(LN(2)/2)*DB192*DE192*VLOOKUP('Données projet'!$B$13,Paramètres!$A$1:$I$89,3,0)*0.475*44/12</f>
        <v>1.2835821789821136E-23</v>
      </c>
      <c r="DI192" s="22">
        <f t="shared" si="175"/>
        <v>0.10356042477091364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1.1368683772161603E-13</v>
      </c>
      <c r="DP192" s="17">
        <f>DO192*VLOOKUP('Données projet'!$B$14,Paramètres!$A$1:$I$89,3,0)*VLOOKUP('Données projet'!$B$14,Paramètres!$A$1:$I$89,5,0)</f>
        <v>1.0995790944434703E-13</v>
      </c>
      <c r="DQ192" s="13">
        <f t="shared" si="176"/>
        <v>1.6337280948049956E-12</v>
      </c>
      <c r="DR192" s="20">
        <f t="shared" si="177"/>
        <v>3.036919790734272E-12</v>
      </c>
      <c r="DS192" s="59">
        <f t="shared" si="125"/>
        <v>293.33333333333633</v>
      </c>
      <c r="DT192" s="59">
        <f ca="1">AVERAGE(OFFSET($DS$3,0,0,'Données projet'!$E$14+1,1))-AVERAGE(OFFSET($H$3,0,0,'Données projet'!$E$14+1,1))</f>
        <v>186.90852124957956</v>
      </c>
      <c r="DU192" s="59">
        <f t="shared" si="152"/>
        <v>93.013797128776446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1.1368683772161603E-13</v>
      </c>
      <c r="EK192" s="17">
        <f>EJ192*VLOOKUP('Données projet'!$B$15,Paramètres!$A$1:$I$89,3,0)*VLOOKUP('Données projet'!$B$15,Paramètres!$A$1:$I$89,5,0)</f>
        <v>1.223725121235475E-13</v>
      </c>
      <c r="EL192" s="13">
        <f t="shared" si="179"/>
        <v>1.7956824466038182E-12</v>
      </c>
      <c r="EM192" s="20">
        <f t="shared" si="180"/>
        <v>3.3406123864501612E-12</v>
      </c>
      <c r="EN192" s="59">
        <f t="shared" si="128"/>
        <v>293.33333333333667</v>
      </c>
      <c r="EO192" s="59">
        <f ca="1">AVERAGE(OFFSET($EN$3,0,0,'Données projet'!$E$15+1,1))-AVERAGE(OFFSET($H$3,0,0,'Données projet'!$E$15+1,1))</f>
        <v>217.10418688911096</v>
      </c>
      <c r="EP192" s="59">
        <f t="shared" si="154"/>
        <v>105.90631421515786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145.19188637714888</v>
      </c>
      <c r="T193" s="59">
        <f t="shared" si="142"/>
        <v>169.74069292032493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9.3047913243232777E-2</v>
      </c>
      <c r="AA193" s="21">
        <f>EXP(-LN(2)/25)*AA192+(1-EXP(-LN(2)/25))/(LN(2)/25)*Calculateur!V193*Calculateur!X193*VLOOKUP('Données projet'!$B$9,Paramètres!$A$1:$I$89,3,0)*0.475*44/12</f>
        <v>0.10249546834156781</v>
      </c>
      <c r="AB193" s="21">
        <f>EXP(-LN(2)/2)*AB192+(1-EXP(-LN(2)/2))/(LN(2)/2)*V193*Y193*VLOOKUP('Données projet'!$B$9,Paramètres!$A$1:$I$89,3,0)*0.475*44/12</f>
        <v>3.3463778711968751E-24</v>
      </c>
      <c r="AC193" s="22">
        <f t="shared" si="163"/>
        <v>0.19554338158480059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-2.8421709430404007E-14</v>
      </c>
      <c r="AJ193" s="13">
        <f>AI193*VLOOKUP('Données projet'!$B$10,Paramètres!$A$1:$I$89,3,0)*VLOOKUP('Données projet'!$B$10,Paramètres!$A$1:$I$89,5,0)</f>
        <v>-2.4829205358400945E-14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254.24072778190163</v>
      </c>
      <c r="AO193" s="59">
        <f t="shared" si="144"/>
        <v>356.78706780980383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0.12924768946086479</v>
      </c>
      <c r="AV193" s="21">
        <f>EXP(-LN(2)/25)*AV192+(1-EXP(-LN(2)/25))/(LN(2)/25)*Calculateur!AQ193*Calculateur!AS193*VLOOKUP('Données projet'!$B$10,Paramètres!$A$1:$I$89,3,0)*0.475*44/12</f>
        <v>0.20950524166140799</v>
      </c>
      <c r="AW193" s="21">
        <f>EXP(-LN(2)/2)*AW192+(1-EXP(-LN(2)/2))/(LN(2)/2)*AQ193*AT193*VLOOKUP('Données projet'!$B$10,Paramètres!$A$1:$I$89,3,0)*0.475*44/12</f>
        <v>2.2970811243006619E-23</v>
      </c>
      <c r="AX193" s="21">
        <f t="shared" si="166"/>
        <v>0.33875293112227278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-2.7193891583010558E-13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246.59447135626942</v>
      </c>
      <c r="BJ193" s="59">
        <f t="shared" si="146"/>
        <v>262.00382544285367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0.15215501275779425</v>
      </c>
      <c r="BR193" s="21">
        <f>EXP(-LN(2)/2)*BR192+(1-EXP(-LN(2)/2))/(LN(2)/2)*BL193*BO193*VLOOKUP('Données projet'!$B$11,Paramètres!$A$1:$I$89,3,0)*0.475*44/12</f>
        <v>1.9628466435916812E-23</v>
      </c>
      <c r="BS193" s="22">
        <f t="shared" si="169"/>
        <v>0.15215501275779425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1.0286385077051818E-13</v>
      </c>
      <c r="CA193" s="13">
        <f t="shared" si="170"/>
        <v>1.5402366592183556E-12</v>
      </c>
      <c r="CB193" s="20">
        <f t="shared" si="171"/>
        <v>2.8617333882306215E-12</v>
      </c>
      <c r="CC193" s="59">
        <f t="shared" si="119"/>
        <v>293.33333333333616</v>
      </c>
      <c r="CD193" s="59">
        <f ca="1">AVERAGE(OFFSET($CC$3,0,0,'Données projet'!$E$12+1,1))-AVERAGE(OFFSET($H$3,0,0,'Données projet'!$E$12+1,1))</f>
        <v>169.62156467157178</v>
      </c>
      <c r="CE193" s="59">
        <f t="shared" si="148"/>
        <v>85.631326020763254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4.6111381379887463E-14</v>
      </c>
      <c r="CV193" s="13">
        <f t="shared" si="173"/>
        <v>7.5804141040779151E-13</v>
      </c>
      <c r="CW193" s="20">
        <f t="shared" si="174"/>
        <v>1.4005661123635408E-12</v>
      </c>
      <c r="CX193" s="59">
        <f t="shared" si="122"/>
        <v>293.33333333333474</v>
      </c>
      <c r="CY193" s="59">
        <f ca="1">AVERAGE(OFFSET($CX$3,0,0,'Données projet'!$E$13+1,1))-AVERAGE(OFFSET($H$3,0,0,'Données projet'!$E$13+1,1))</f>
        <v>234.59657655504111</v>
      </c>
      <c r="CZ193" s="59">
        <f t="shared" si="150"/>
        <v>285.10598666479211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0.10072855950954696</v>
      </c>
      <c r="DH193" s="21">
        <f>EXP(-LN(2)/2)*DH192+(1-EXP(-LN(2)/2))/(LN(2)/2)*DB193*DE193*VLOOKUP('Données projet'!$B$13,Paramètres!$A$1:$I$89,3,0)*0.475*44/12</f>
        <v>9.076296629684573E-24</v>
      </c>
      <c r="DI193" s="22">
        <f t="shared" si="175"/>
        <v>0.10072855950954696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1.1368683772161603E-13</v>
      </c>
      <c r="DP193" s="17">
        <f>DO193*VLOOKUP('Données projet'!$B$14,Paramètres!$A$1:$I$89,3,0)*VLOOKUP('Données projet'!$B$14,Paramètres!$A$1:$I$89,5,0)</f>
        <v>1.0995790944434703E-13</v>
      </c>
      <c r="DQ193" s="13">
        <f t="shared" si="176"/>
        <v>1.6337280948049956E-12</v>
      </c>
      <c r="DR193" s="20">
        <f t="shared" si="177"/>
        <v>3.036919790734272E-12</v>
      </c>
      <c r="DS193" s="59">
        <f t="shared" si="125"/>
        <v>293.33333333333633</v>
      </c>
      <c r="DT193" s="59">
        <f ca="1">AVERAGE(OFFSET($DS$3,0,0,'Données projet'!$E$14+1,1))-AVERAGE(OFFSET($H$3,0,0,'Données projet'!$E$14+1,1))</f>
        <v>186.90852124957956</v>
      </c>
      <c r="DU193" s="59">
        <f t="shared" si="152"/>
        <v>93.013797128776446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1.1368683772161603E-13</v>
      </c>
      <c r="EK193" s="17">
        <f>EJ193*VLOOKUP('Données projet'!$B$15,Paramètres!$A$1:$I$89,3,0)*VLOOKUP('Données projet'!$B$15,Paramètres!$A$1:$I$89,5,0)</f>
        <v>1.223725121235475E-13</v>
      </c>
      <c r="EL193" s="13">
        <f t="shared" si="179"/>
        <v>1.7956824466038182E-12</v>
      </c>
      <c r="EM193" s="20">
        <f t="shared" si="180"/>
        <v>3.3406123864501612E-12</v>
      </c>
      <c r="EN193" s="59">
        <f t="shared" si="128"/>
        <v>293.33333333333667</v>
      </c>
      <c r="EO193" s="59">
        <f ca="1">AVERAGE(OFFSET($EN$3,0,0,'Données projet'!$E$15+1,1))-AVERAGE(OFFSET($H$3,0,0,'Données projet'!$E$15+1,1))</f>
        <v>217.10418688911096</v>
      </c>
      <c r="EP193" s="59">
        <f t="shared" si="154"/>
        <v>105.90631421515786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145.19188637714888</v>
      </c>
      <c r="T194" s="59">
        <f t="shared" si="142"/>
        <v>169.74069292032493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9.12233004181561E-2</v>
      </c>
      <c r="AA194" s="21">
        <f>EXP(-LN(2)/25)*AA193+(1-EXP(-LN(2)/25))/(LN(2)/25)*Calculateur!V194*Calculateur!X194*VLOOKUP('Données projet'!$B$9,Paramètres!$A$1:$I$89,3,0)*0.475*44/12</f>
        <v>9.9692724369765215E-2</v>
      </c>
      <c r="AB194" s="21">
        <f>EXP(-LN(2)/2)*AB193+(1-EXP(-LN(2)/2))/(LN(2)/2)*V194*Y194*VLOOKUP('Données projet'!$B$9,Paramètres!$A$1:$I$89,3,0)*0.475*44/12</f>
        <v>2.3662464851359135E-24</v>
      </c>
      <c r="AC194" s="22">
        <f t="shared" si="163"/>
        <v>0.1909160247879213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-2.8421709430404007E-14</v>
      </c>
      <c r="AJ194" s="13">
        <f>AI194*VLOOKUP('Données projet'!$B$10,Paramètres!$A$1:$I$89,3,0)*VLOOKUP('Données projet'!$B$10,Paramètres!$A$1:$I$89,5,0)</f>
        <v>-2.4829205358400945E-14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254.24072778190163</v>
      </c>
      <c r="AO194" s="59">
        <f t="shared" si="144"/>
        <v>356.78706780980383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0.12671322110384367</v>
      </c>
      <c r="AV194" s="21">
        <f>EXP(-LN(2)/25)*AV193+(1-EXP(-LN(2)/25))/(LN(2)/25)*Calculateur!AQ194*Calculateur!AS194*VLOOKUP('Données projet'!$B$10,Paramètres!$A$1:$I$89,3,0)*0.475*44/12</f>
        <v>0.20377630981077496</v>
      </c>
      <c r="AW194" s="21">
        <f>EXP(-LN(2)/2)*AW193+(1-EXP(-LN(2)/2))/(LN(2)/2)*AQ194*AT194*VLOOKUP('Données projet'!$B$10,Paramètres!$A$1:$I$89,3,0)*0.475*44/12</f>
        <v>1.6242816399286167E-23</v>
      </c>
      <c r="AX194" s="21">
        <f t="shared" si="166"/>
        <v>0.33048953091461863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-2.7193891583010558E-13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246.59447135626942</v>
      </c>
      <c r="BJ194" s="59">
        <f t="shared" si="146"/>
        <v>262.00382544285367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0.14799432593244799</v>
      </c>
      <c r="BR194" s="21">
        <f>EXP(-LN(2)/2)*BR193+(1-EXP(-LN(2)/2))/(LN(2)/2)*BL194*BO194*VLOOKUP('Données projet'!$B$11,Paramètres!$A$1:$I$89,3,0)*0.475*44/12</f>
        <v>1.3879421721129321E-23</v>
      </c>
      <c r="BS194" s="22">
        <f t="shared" si="169"/>
        <v>0.14799432593244799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1.0286385077051818E-13</v>
      </c>
      <c r="CA194" s="13">
        <f t="shared" si="170"/>
        <v>1.5402366592183556E-12</v>
      </c>
      <c r="CB194" s="20">
        <f t="shared" si="171"/>
        <v>2.8617333882306215E-12</v>
      </c>
      <c r="CC194" s="59">
        <f t="shared" si="119"/>
        <v>293.33333333333616</v>
      </c>
      <c r="CD194" s="59">
        <f ca="1">AVERAGE(OFFSET($CC$3,0,0,'Données projet'!$E$12+1,1))-AVERAGE(OFFSET($H$3,0,0,'Données projet'!$E$12+1,1))</f>
        <v>169.62156467157178</v>
      </c>
      <c r="CE194" s="59">
        <f t="shared" si="148"/>
        <v>85.631326020763254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4.6111381379887463E-14</v>
      </c>
      <c r="CV194" s="13">
        <f t="shared" si="173"/>
        <v>7.5804141040779151E-13</v>
      </c>
      <c r="CW194" s="20">
        <f t="shared" si="174"/>
        <v>1.4005661123635408E-12</v>
      </c>
      <c r="CX194" s="59">
        <f t="shared" si="122"/>
        <v>293.33333333333474</v>
      </c>
      <c r="CY194" s="59">
        <f ca="1">AVERAGE(OFFSET($CX$3,0,0,'Données projet'!$E$13+1,1))-AVERAGE(OFFSET($H$3,0,0,'Données projet'!$E$13+1,1))</f>
        <v>234.59657655504111</v>
      </c>
      <c r="CZ194" s="59">
        <f t="shared" si="150"/>
        <v>285.10598666479211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9.7974131752673665E-2</v>
      </c>
      <c r="DH194" s="21">
        <f>EXP(-LN(2)/2)*DH193+(1-EXP(-LN(2)/2))/(LN(2)/2)*DB194*DE194*VLOOKUP('Données projet'!$B$13,Paramètres!$A$1:$I$89,3,0)*0.475*44/12</f>
        <v>6.4179108949105682E-24</v>
      </c>
      <c r="DI194" s="22">
        <f t="shared" si="175"/>
        <v>9.7974131752673665E-2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1.1368683772161603E-13</v>
      </c>
      <c r="DP194" s="17">
        <f>DO194*VLOOKUP('Données projet'!$B$14,Paramètres!$A$1:$I$89,3,0)*VLOOKUP('Données projet'!$B$14,Paramètres!$A$1:$I$89,5,0)</f>
        <v>1.0995790944434703E-13</v>
      </c>
      <c r="DQ194" s="13">
        <f t="shared" si="176"/>
        <v>1.6337280948049956E-12</v>
      </c>
      <c r="DR194" s="20">
        <f t="shared" si="177"/>
        <v>3.036919790734272E-12</v>
      </c>
      <c r="DS194" s="59">
        <f t="shared" si="125"/>
        <v>293.33333333333633</v>
      </c>
      <c r="DT194" s="59">
        <f ca="1">AVERAGE(OFFSET($DS$3,0,0,'Données projet'!$E$14+1,1))-AVERAGE(OFFSET($H$3,0,0,'Données projet'!$E$14+1,1))</f>
        <v>186.90852124957956</v>
      </c>
      <c r="DU194" s="59">
        <f t="shared" si="152"/>
        <v>93.013797128776446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1.1368683772161603E-13</v>
      </c>
      <c r="EK194" s="17">
        <f>EJ194*VLOOKUP('Données projet'!$B$15,Paramètres!$A$1:$I$89,3,0)*VLOOKUP('Données projet'!$B$15,Paramètres!$A$1:$I$89,5,0)</f>
        <v>1.223725121235475E-13</v>
      </c>
      <c r="EL194" s="13">
        <f t="shared" si="179"/>
        <v>1.7956824466038182E-12</v>
      </c>
      <c r="EM194" s="20">
        <f t="shared" si="180"/>
        <v>3.3406123864501612E-12</v>
      </c>
      <c r="EN194" s="59">
        <f t="shared" si="128"/>
        <v>293.33333333333667</v>
      </c>
      <c r="EO194" s="59">
        <f ca="1">AVERAGE(OFFSET($EN$3,0,0,'Données projet'!$E$15+1,1))-AVERAGE(OFFSET($H$3,0,0,'Données projet'!$E$15+1,1))</f>
        <v>217.10418688911096</v>
      </c>
      <c r="EP194" s="59">
        <f t="shared" si="154"/>
        <v>105.90631421515786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145.19188637714888</v>
      </c>
      <c r="T195" s="59">
        <f t="shared" si="142"/>
        <v>169.74069292032493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8.943446713767525E-2</v>
      </c>
      <c r="AA195" s="21">
        <f>EXP(-LN(2)/25)*AA194+(1-EXP(-LN(2)/25))/(LN(2)/25)*Calculateur!V195*Calculateur!X195*VLOOKUP('Données projet'!$B$9,Paramètres!$A$1:$I$89,3,0)*0.475*44/12</f>
        <v>9.6966621579261461E-2</v>
      </c>
      <c r="AB195" s="21">
        <f>EXP(-LN(2)/2)*AB194+(1-EXP(-LN(2)/2))/(LN(2)/2)*V195*Y195*VLOOKUP('Données projet'!$B$9,Paramètres!$A$1:$I$89,3,0)*0.475*44/12</f>
        <v>1.6731889355984375E-24</v>
      </c>
      <c r="AC195" s="22">
        <f t="shared" si="163"/>
        <v>0.18640108871693672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-2.8421709430404007E-14</v>
      </c>
      <c r="AJ195" s="13">
        <f>AI195*VLOOKUP('Données projet'!$B$10,Paramètres!$A$1:$I$89,3,0)*VLOOKUP('Données projet'!$B$10,Paramètres!$A$1:$I$89,5,0)</f>
        <v>-2.4829205358400945E-14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254.24072778190163</v>
      </c>
      <c r="AO195" s="59">
        <f t="shared" si="144"/>
        <v>356.78706780980383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0.12422845212543067</v>
      </c>
      <c r="AV195" s="21">
        <f>EXP(-LN(2)/25)*AV194+(1-EXP(-LN(2)/25))/(LN(2)/25)*Calculateur!AQ195*Calculateur!AS195*VLOOKUP('Données projet'!$B$10,Paramètres!$A$1:$I$89,3,0)*0.475*44/12</f>
        <v>0.19820403590286892</v>
      </c>
      <c r="AW195" s="21">
        <f>EXP(-LN(2)/2)*AW194+(1-EXP(-LN(2)/2))/(LN(2)/2)*AQ195*AT195*VLOOKUP('Données projet'!$B$10,Paramètres!$A$1:$I$89,3,0)*0.475*44/12</f>
        <v>1.148540562150331E-23</v>
      </c>
      <c r="AX195" s="21">
        <f t="shared" si="166"/>
        <v>0.3224324880282996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-2.7193891583010558E-13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246.59447135626942</v>
      </c>
      <c r="BJ195" s="59">
        <f t="shared" si="146"/>
        <v>262.00382544285367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0.14394741330714184</v>
      </c>
      <c r="BR195" s="21">
        <f>EXP(-LN(2)/2)*BR194+(1-EXP(-LN(2)/2))/(LN(2)/2)*BL195*BO195*VLOOKUP('Données projet'!$B$11,Paramètres!$A$1:$I$89,3,0)*0.475*44/12</f>
        <v>9.8142332179584062E-24</v>
      </c>
      <c r="BS195" s="22">
        <f t="shared" si="169"/>
        <v>0.14394741330714184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1.0286385077051818E-13</v>
      </c>
      <c r="CA195" s="13">
        <f t="shared" si="170"/>
        <v>1.5402366592183556E-12</v>
      </c>
      <c r="CB195" s="20">
        <f t="shared" si="171"/>
        <v>2.8617333882306215E-12</v>
      </c>
      <c r="CC195" s="59">
        <f t="shared" si="119"/>
        <v>293.33333333333616</v>
      </c>
      <c r="CD195" s="59">
        <f ca="1">AVERAGE(OFFSET($CC$3,0,0,'Données projet'!$E$12+1,1))-AVERAGE(OFFSET($H$3,0,0,'Données projet'!$E$12+1,1))</f>
        <v>169.62156467157178</v>
      </c>
      <c r="CE195" s="59">
        <f t="shared" si="148"/>
        <v>85.631326020763254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4.6111381379887463E-14</v>
      </c>
      <c r="CV195" s="13">
        <f t="shared" si="173"/>
        <v>7.5804141040779151E-13</v>
      </c>
      <c r="CW195" s="20">
        <f t="shared" si="174"/>
        <v>1.4005661123635408E-12</v>
      </c>
      <c r="CX195" s="59">
        <f t="shared" si="122"/>
        <v>293.33333333333474</v>
      </c>
      <c r="CY195" s="59">
        <f ca="1">AVERAGE(OFFSET($CX$3,0,0,'Données projet'!$E$13+1,1))-AVERAGE(OFFSET($H$3,0,0,'Données projet'!$E$13+1,1))</f>
        <v>234.59657655504111</v>
      </c>
      <c r="CZ195" s="59">
        <f t="shared" si="150"/>
        <v>285.10598666479211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9.5295023967661138E-2</v>
      </c>
      <c r="DH195" s="21">
        <f>EXP(-LN(2)/2)*DH194+(1-EXP(-LN(2)/2))/(LN(2)/2)*DB195*DE195*VLOOKUP('Données projet'!$B$13,Paramètres!$A$1:$I$89,3,0)*0.475*44/12</f>
        <v>4.5381483148422865E-24</v>
      </c>
      <c r="DI195" s="22">
        <f t="shared" si="175"/>
        <v>9.5295023967661138E-2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1.1368683772161603E-13</v>
      </c>
      <c r="DP195" s="17">
        <f>DO195*VLOOKUP('Données projet'!$B$14,Paramètres!$A$1:$I$89,3,0)*VLOOKUP('Données projet'!$B$14,Paramètres!$A$1:$I$89,5,0)</f>
        <v>1.0995790944434703E-13</v>
      </c>
      <c r="DQ195" s="13">
        <f t="shared" si="176"/>
        <v>1.6337280948049956E-12</v>
      </c>
      <c r="DR195" s="20">
        <f t="shared" si="177"/>
        <v>3.036919790734272E-12</v>
      </c>
      <c r="DS195" s="59">
        <f t="shared" si="125"/>
        <v>293.33333333333633</v>
      </c>
      <c r="DT195" s="59">
        <f ca="1">AVERAGE(OFFSET($DS$3,0,0,'Données projet'!$E$14+1,1))-AVERAGE(OFFSET($H$3,0,0,'Données projet'!$E$14+1,1))</f>
        <v>186.90852124957956</v>
      </c>
      <c r="DU195" s="59">
        <f t="shared" si="152"/>
        <v>93.013797128776446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1.1368683772161603E-13</v>
      </c>
      <c r="EK195" s="17">
        <f>EJ195*VLOOKUP('Données projet'!$B$15,Paramètres!$A$1:$I$89,3,0)*VLOOKUP('Données projet'!$B$15,Paramètres!$A$1:$I$89,5,0)</f>
        <v>1.223725121235475E-13</v>
      </c>
      <c r="EL195" s="13">
        <f t="shared" si="179"/>
        <v>1.7956824466038182E-12</v>
      </c>
      <c r="EM195" s="20">
        <f t="shared" si="180"/>
        <v>3.3406123864501612E-12</v>
      </c>
      <c r="EN195" s="59">
        <f t="shared" si="128"/>
        <v>293.33333333333667</v>
      </c>
      <c r="EO195" s="59">
        <f ca="1">AVERAGE(OFFSET($EN$3,0,0,'Données projet'!$E$15+1,1))-AVERAGE(OFFSET($H$3,0,0,'Données projet'!$E$15+1,1))</f>
        <v>217.10418688911096</v>
      </c>
      <c r="EP195" s="59">
        <f t="shared" si="154"/>
        <v>105.90631421515786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145.19188637714888</v>
      </c>
      <c r="T196" s="59">
        <f t="shared" si="142"/>
        <v>169.74069292032493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8.7680711786744067E-2</v>
      </c>
      <c r="AA196" s="21">
        <f>EXP(-LN(2)/25)*AA195+(1-EXP(-LN(2)/25))/(LN(2)/25)*Calculateur!V196*Calculateur!X196*VLOOKUP('Données projet'!$B$9,Paramètres!$A$1:$I$89,3,0)*0.475*44/12</f>
        <v>9.4315064212923544E-2</v>
      </c>
      <c r="AB196" s="21">
        <f>EXP(-LN(2)/2)*AB195+(1-EXP(-LN(2)/2))/(LN(2)/2)*V196*Y196*VLOOKUP('Données projet'!$B$9,Paramètres!$A$1:$I$89,3,0)*0.475*44/12</f>
        <v>1.1831232425679567E-24</v>
      </c>
      <c r="AC196" s="22">
        <f t="shared" si="163"/>
        <v>0.1819957759996676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-2.8421709430404007E-14</v>
      </c>
      <c r="AJ196" s="13">
        <f>AI196*VLOOKUP('Données projet'!$B$10,Paramètres!$A$1:$I$89,3,0)*VLOOKUP('Données projet'!$B$10,Paramètres!$A$1:$I$89,5,0)</f>
        <v>-2.4829205358400945E-14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254.24072778190163</v>
      </c>
      <c r="AO196" s="59">
        <f t="shared" si="144"/>
        <v>356.78706780980383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0.12179240795112492</v>
      </c>
      <c r="AV196" s="21">
        <f>EXP(-LN(2)/25)*AV195+(1-EXP(-LN(2)/25))/(LN(2)/25)*Calculateur!AQ196*Calculateur!AS196*VLOOKUP('Données projet'!$B$10,Paramètres!$A$1:$I$89,3,0)*0.475*44/12</f>
        <v>0.19278413611800771</v>
      </c>
      <c r="AW196" s="21">
        <f>EXP(-LN(2)/2)*AW195+(1-EXP(-LN(2)/2))/(LN(2)/2)*AQ196*AT196*VLOOKUP('Données projet'!$B$10,Paramètres!$A$1:$I$89,3,0)*0.475*44/12</f>
        <v>8.1214081996430835E-24</v>
      </c>
      <c r="AX196" s="21">
        <f t="shared" si="166"/>
        <v>0.3145765440691326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-2.7193891583010558E-13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246.59447135626942</v>
      </c>
      <c r="BJ196" s="59">
        <f t="shared" si="146"/>
        <v>262.00382544285367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0.14001116372039257</v>
      </c>
      <c r="BR196" s="21">
        <f>EXP(-LN(2)/2)*BR195+(1-EXP(-LN(2)/2))/(LN(2)/2)*BL196*BO196*VLOOKUP('Données projet'!$B$11,Paramètres!$A$1:$I$89,3,0)*0.475*44/12</f>
        <v>6.9397108605646607E-24</v>
      </c>
      <c r="BS196" s="22">
        <f t="shared" si="169"/>
        <v>0.14001116372039257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1.0286385077051818E-13</v>
      </c>
      <c r="CA196" s="13">
        <f t="shared" si="170"/>
        <v>1.5402366592183556E-12</v>
      </c>
      <c r="CB196" s="20">
        <f t="shared" si="171"/>
        <v>2.8617333882306215E-12</v>
      </c>
      <c r="CC196" s="59">
        <f t="shared" ref="CC196:CC203" si="195">CB196+(BT196+BU196)*44/12</f>
        <v>293.33333333333616</v>
      </c>
      <c r="CD196" s="59">
        <f ca="1">AVERAGE(OFFSET($CC$3,0,0,'Données projet'!$E$12+1,1))-AVERAGE(OFFSET($H$3,0,0,'Données projet'!$E$12+1,1))</f>
        <v>169.62156467157178</v>
      </c>
      <c r="CE196" s="59">
        <f t="shared" si="148"/>
        <v>85.631326020763254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4.6111381379887463E-14</v>
      </c>
      <c r="CV196" s="13">
        <f t="shared" si="173"/>
        <v>7.5804141040779151E-13</v>
      </c>
      <c r="CW196" s="20">
        <f t="shared" si="174"/>
        <v>1.4005661123635408E-12</v>
      </c>
      <c r="CX196" s="59">
        <f t="shared" ref="CX196:CX203" si="196">CW196+(CO196+CP196)*44/12</f>
        <v>293.33333333333474</v>
      </c>
      <c r="CY196" s="59">
        <f ca="1">AVERAGE(OFFSET($CX$3,0,0,'Données projet'!$E$13+1,1))-AVERAGE(OFFSET($H$3,0,0,'Données projet'!$E$13+1,1))</f>
        <v>234.59657655504111</v>
      </c>
      <c r="CZ196" s="59">
        <f t="shared" si="150"/>
        <v>285.10598666479211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9.2689176525917932E-2</v>
      </c>
      <c r="DH196" s="21">
        <f>EXP(-LN(2)/2)*DH195+(1-EXP(-LN(2)/2))/(LN(2)/2)*DB196*DE196*VLOOKUP('Données projet'!$B$13,Paramètres!$A$1:$I$89,3,0)*0.475*44/12</f>
        <v>3.2089554474552841E-24</v>
      </c>
      <c r="DI196" s="22">
        <f t="shared" si="175"/>
        <v>9.2689176525917932E-2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1.1368683772161603E-13</v>
      </c>
      <c r="DP196" s="17">
        <f>DO196*VLOOKUP('Données projet'!$B$14,Paramètres!$A$1:$I$89,3,0)*VLOOKUP('Données projet'!$B$14,Paramètres!$A$1:$I$89,5,0)</f>
        <v>1.0995790944434703E-13</v>
      </c>
      <c r="DQ196" s="13">
        <f t="shared" si="176"/>
        <v>1.6337280948049956E-12</v>
      </c>
      <c r="DR196" s="20">
        <f t="shared" si="177"/>
        <v>3.036919790734272E-12</v>
      </c>
      <c r="DS196" s="59">
        <f t="shared" ref="DS196:DS203" si="197">DR196+(DJ196+DK196)*44/12</f>
        <v>293.33333333333633</v>
      </c>
      <c r="DT196" s="59">
        <f ca="1">AVERAGE(OFFSET($DS$3,0,0,'Données projet'!$E$14+1,1))-AVERAGE(OFFSET($H$3,0,0,'Données projet'!$E$14+1,1))</f>
        <v>186.90852124957956</v>
      </c>
      <c r="DU196" s="59">
        <f t="shared" si="152"/>
        <v>93.013797128776446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1.1368683772161603E-13</v>
      </c>
      <c r="EK196" s="17">
        <f>EJ196*VLOOKUP('Données projet'!$B$15,Paramètres!$A$1:$I$89,3,0)*VLOOKUP('Données projet'!$B$15,Paramètres!$A$1:$I$89,5,0)</f>
        <v>1.223725121235475E-13</v>
      </c>
      <c r="EL196" s="13">
        <f t="shared" si="179"/>
        <v>1.7956824466038182E-12</v>
      </c>
      <c r="EM196" s="20">
        <f t="shared" si="180"/>
        <v>3.3406123864501612E-12</v>
      </c>
      <c r="EN196" s="59">
        <f t="shared" ref="EN196:EN203" si="198">EM196+(EE196+EF196)*44/12</f>
        <v>293.33333333333667</v>
      </c>
      <c r="EO196" s="59">
        <f ca="1">AVERAGE(OFFSET($EN$3,0,0,'Données projet'!$E$15+1,1))-AVERAGE(OFFSET($H$3,0,0,'Données projet'!$E$15+1,1))</f>
        <v>217.10418688911096</v>
      </c>
      <c r="EP196" s="59">
        <f t="shared" si="154"/>
        <v>105.90631421515786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145.19188637714888</v>
      </c>
      <c r="T197" s="59">
        <f t="shared" ref="T197:T203" si="204">$T$3</f>
        <v>169.74069292032493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8.5961346508559494E-2</v>
      </c>
      <c r="AA197" s="21">
        <f>EXP(-LN(2)/25)*AA196+(1-EXP(-LN(2)/25))/(LN(2)/25)*Calculateur!V197*Calculateur!X197*VLOOKUP('Données projet'!$B$9,Paramètres!$A$1:$I$89,3,0)*0.475*44/12</f>
        <v>9.1736013822207488E-2</v>
      </c>
      <c r="AB197" s="21">
        <f>EXP(-LN(2)/2)*AB196+(1-EXP(-LN(2)/2))/(LN(2)/2)*V197*Y197*VLOOKUP('Données projet'!$B$9,Paramètres!$A$1:$I$89,3,0)*0.475*44/12</f>
        <v>8.3659446779921877E-25</v>
      </c>
      <c r="AC197" s="22">
        <f t="shared" si="163"/>
        <v>0.177697360330767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-2.8421709430404007E-14</v>
      </c>
      <c r="AJ197" s="13">
        <f>AI197*VLOOKUP('Données projet'!$B$10,Paramètres!$A$1:$I$89,3,0)*VLOOKUP('Données projet'!$B$10,Paramètres!$A$1:$I$89,5,0)</f>
        <v>-2.4829205358400945E-14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254.24072778190163</v>
      </c>
      <c r="AO197" s="59">
        <f t="shared" ref="AO197:AO203" si="205">$AO$3</f>
        <v>356.78706780980383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0.11940413311723708</v>
      </c>
      <c r="AV197" s="21">
        <f>EXP(-LN(2)/25)*AV196+(1-EXP(-LN(2)/25))/(LN(2)/25)*Calculateur!AQ197*Calculateur!AS197*VLOOKUP('Données projet'!$B$10,Paramètres!$A$1:$I$89,3,0)*0.475*44/12</f>
        <v>0.18751244377778367</v>
      </c>
      <c r="AW197" s="21">
        <f>EXP(-LN(2)/2)*AW196+(1-EXP(-LN(2)/2))/(LN(2)/2)*AQ197*AT197*VLOOKUP('Données projet'!$B$10,Paramètres!$A$1:$I$89,3,0)*0.475*44/12</f>
        <v>5.7427028107516548E-24</v>
      </c>
      <c r="AX197" s="21">
        <f t="shared" si="166"/>
        <v>0.30691657689502072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-2.7193891583010558E-13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246.59447135626942</v>
      </c>
      <c r="BJ197" s="59">
        <f t="shared" ref="BJ197:BJ203" si="206">$BJ$3</f>
        <v>262.00382544285367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0.13618255108559132</v>
      </c>
      <c r="BR197" s="21">
        <f>EXP(-LN(2)/2)*BR196+(1-EXP(-LN(2)/2))/(LN(2)/2)*BL197*BO197*VLOOKUP('Données projet'!$B$11,Paramètres!$A$1:$I$89,3,0)*0.475*44/12</f>
        <v>4.9071166089792031E-24</v>
      </c>
      <c r="BS197" s="22">
        <f t="shared" si="169"/>
        <v>0.13618255108559132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1.0286385077051818E-13</v>
      </c>
      <c r="CA197" s="13">
        <f t="shared" si="170"/>
        <v>1.5402366592183556E-12</v>
      </c>
      <c r="CB197" s="20">
        <f t="shared" si="171"/>
        <v>2.8617333882306215E-12</v>
      </c>
      <c r="CC197" s="59">
        <f t="shared" si="195"/>
        <v>293.33333333333616</v>
      </c>
      <c r="CD197" s="59">
        <f ca="1">AVERAGE(OFFSET($CC$3,0,0,'Données projet'!$E$12+1,1))-AVERAGE(OFFSET($H$3,0,0,'Données projet'!$E$12+1,1))</f>
        <v>169.62156467157178</v>
      </c>
      <c r="CE197" s="59">
        <f t="shared" ref="CE197:CE203" si="207">$CE$3</f>
        <v>85.631326020763254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4.6111381379887463E-14</v>
      </c>
      <c r="CV197" s="13">
        <f t="shared" si="173"/>
        <v>7.5804141040779151E-13</v>
      </c>
      <c r="CW197" s="20">
        <f t="shared" si="174"/>
        <v>1.4005661123635408E-12</v>
      </c>
      <c r="CX197" s="59">
        <f t="shared" si="196"/>
        <v>293.33333333333474</v>
      </c>
      <c r="CY197" s="59">
        <f ca="1">AVERAGE(OFFSET($CX$3,0,0,'Données projet'!$E$13+1,1))-AVERAGE(OFFSET($H$3,0,0,'Données projet'!$E$13+1,1))</f>
        <v>234.59657655504111</v>
      </c>
      <c r="CZ197" s="59">
        <f t="shared" ref="CZ197:CZ203" si="208">$CZ$3</f>
        <v>285.10598666479211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9.0154586119504762E-2</v>
      </c>
      <c r="DH197" s="21">
        <f>EXP(-LN(2)/2)*DH196+(1-EXP(-LN(2)/2))/(LN(2)/2)*DB197*DE197*VLOOKUP('Données projet'!$B$13,Paramètres!$A$1:$I$89,3,0)*0.475*44/12</f>
        <v>2.2690741574211432E-24</v>
      </c>
      <c r="DI197" s="22">
        <f t="shared" si="175"/>
        <v>9.0154586119504762E-2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1.1368683772161603E-13</v>
      </c>
      <c r="DP197" s="17">
        <f>DO197*VLOOKUP('Données projet'!$B$14,Paramètres!$A$1:$I$89,3,0)*VLOOKUP('Données projet'!$B$14,Paramètres!$A$1:$I$89,5,0)</f>
        <v>1.0995790944434703E-13</v>
      </c>
      <c r="DQ197" s="13">
        <f t="shared" si="176"/>
        <v>1.6337280948049956E-12</v>
      </c>
      <c r="DR197" s="20">
        <f t="shared" si="177"/>
        <v>3.036919790734272E-12</v>
      </c>
      <c r="DS197" s="59">
        <f t="shared" si="197"/>
        <v>293.33333333333633</v>
      </c>
      <c r="DT197" s="59">
        <f ca="1">AVERAGE(OFFSET($DS$3,0,0,'Données projet'!$E$14+1,1))-AVERAGE(OFFSET($H$3,0,0,'Données projet'!$E$14+1,1))</f>
        <v>186.90852124957956</v>
      </c>
      <c r="DU197" s="59">
        <f t="shared" ref="DU197:DU203" si="209">$DU$3</f>
        <v>93.013797128776446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1.1368683772161603E-13</v>
      </c>
      <c r="EK197" s="17">
        <f>EJ197*VLOOKUP('Données projet'!$B$15,Paramètres!$A$1:$I$89,3,0)*VLOOKUP('Données projet'!$B$15,Paramètres!$A$1:$I$89,5,0)</f>
        <v>1.223725121235475E-13</v>
      </c>
      <c r="EL197" s="13">
        <f t="shared" si="179"/>
        <v>1.7956824466038182E-12</v>
      </c>
      <c r="EM197" s="20">
        <f t="shared" si="180"/>
        <v>3.3406123864501612E-12</v>
      </c>
      <c r="EN197" s="59">
        <f t="shared" si="198"/>
        <v>293.33333333333667</v>
      </c>
      <c r="EO197" s="59">
        <f ca="1">AVERAGE(OFFSET($EN$3,0,0,'Données projet'!$E$15+1,1))-AVERAGE(OFFSET($H$3,0,0,'Données projet'!$E$15+1,1))</f>
        <v>217.10418688911096</v>
      </c>
      <c r="EP197" s="59">
        <f t="shared" ref="EP197:EP203" si="210">$EP$3</f>
        <v>105.90631421515786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145.19188637714888</v>
      </c>
      <c r="T198" s="59">
        <f t="shared" si="204"/>
        <v>169.74069292032493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8.4275696934770855E-2</v>
      </c>
      <c r="AA198" s="21">
        <f>EXP(-LN(2)/25)*AA197+(1-EXP(-LN(2)/25))/(LN(2)/25)*Calculateur!V198*Calculateur!X198*VLOOKUP('Données projet'!$B$9,Paramètres!$A$1:$I$89,3,0)*0.475*44/12</f>
        <v>8.9227487700051927E-2</v>
      </c>
      <c r="AB198" s="21">
        <f>EXP(-LN(2)/2)*AB197+(1-EXP(-LN(2)/2))/(LN(2)/2)*V198*Y198*VLOOKUP('Données projet'!$B$9,Paramètres!$A$1:$I$89,3,0)*0.475*44/12</f>
        <v>5.9156162128397837E-25</v>
      </c>
      <c r="AC198" s="22">
        <f t="shared" si="163"/>
        <v>0.17350318463482278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-2.8421709430404007E-14</v>
      </c>
      <c r="AJ198" s="13">
        <f>AI198*VLOOKUP('Données projet'!$B$10,Paramètres!$A$1:$I$89,3,0)*VLOOKUP('Données projet'!$B$10,Paramètres!$A$1:$I$89,5,0)</f>
        <v>-2.4829205358400945E-14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254.24072778190163</v>
      </c>
      <c r="AO198" s="59">
        <f t="shared" si="205"/>
        <v>356.78706780980383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0.11706269089613797</v>
      </c>
      <c r="AV198" s="21">
        <f>EXP(-LN(2)/25)*AV197+(1-EXP(-LN(2)/25))/(LN(2)/25)*Calculateur!AQ198*Calculateur!AS198*VLOOKUP('Données projet'!$B$10,Paramètres!$A$1:$I$89,3,0)*0.475*44/12</f>
        <v>0.18238490614182931</v>
      </c>
      <c r="AW198" s="21">
        <f>EXP(-LN(2)/2)*AW197+(1-EXP(-LN(2)/2))/(LN(2)/2)*AQ198*AT198*VLOOKUP('Données projet'!$B$10,Paramètres!$A$1:$I$89,3,0)*0.475*44/12</f>
        <v>4.0607040998215418E-24</v>
      </c>
      <c r="AX198" s="21">
        <f t="shared" si="166"/>
        <v>0.29944759703796731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-2.7193891583010558E-13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246.59447135626942</v>
      </c>
      <c r="BJ198" s="59">
        <f t="shared" si="206"/>
        <v>262.00382544285367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0.13245863206462671</v>
      </c>
      <c r="BR198" s="21">
        <f>EXP(-LN(2)/2)*BR197+(1-EXP(-LN(2)/2))/(LN(2)/2)*BL198*BO198*VLOOKUP('Données projet'!$B$11,Paramètres!$A$1:$I$89,3,0)*0.475*44/12</f>
        <v>3.4698554302823304E-24</v>
      </c>
      <c r="BS198" s="22">
        <f t="shared" si="169"/>
        <v>0.13245863206462671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1.0286385077051818E-13</v>
      </c>
      <c r="CA198" s="13">
        <f t="shared" si="170"/>
        <v>1.5402366592183556E-12</v>
      </c>
      <c r="CB198" s="20">
        <f t="shared" si="171"/>
        <v>2.8617333882306215E-12</v>
      </c>
      <c r="CC198" s="59">
        <f t="shared" si="195"/>
        <v>293.33333333333616</v>
      </c>
      <c r="CD198" s="59">
        <f ca="1">AVERAGE(OFFSET($CC$3,0,0,'Données projet'!$E$12+1,1))-AVERAGE(OFFSET($H$3,0,0,'Données projet'!$E$12+1,1))</f>
        <v>169.62156467157178</v>
      </c>
      <c r="CE198" s="59">
        <f t="shared" si="207"/>
        <v>85.631326020763254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4.6111381379887463E-14</v>
      </c>
      <c r="CV198" s="13">
        <f t="shared" si="173"/>
        <v>7.5804141040779151E-13</v>
      </c>
      <c r="CW198" s="20">
        <f t="shared" si="174"/>
        <v>1.4005661123635408E-12</v>
      </c>
      <c r="CX198" s="59">
        <f t="shared" si="196"/>
        <v>293.33333333333474</v>
      </c>
      <c r="CY198" s="59">
        <f ca="1">AVERAGE(OFFSET($CX$3,0,0,'Données projet'!$E$13+1,1))-AVERAGE(OFFSET($H$3,0,0,'Données projet'!$E$13+1,1))</f>
        <v>234.59657655504111</v>
      </c>
      <c r="CZ198" s="59">
        <f t="shared" si="208"/>
        <v>285.10598666479211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8.7689304221043277E-2</v>
      </c>
      <c r="DH198" s="21">
        <f>EXP(-LN(2)/2)*DH197+(1-EXP(-LN(2)/2))/(LN(2)/2)*DB198*DE198*VLOOKUP('Données projet'!$B$13,Paramètres!$A$1:$I$89,3,0)*0.475*44/12</f>
        <v>1.604477723727642E-24</v>
      </c>
      <c r="DI198" s="22">
        <f t="shared" si="175"/>
        <v>8.7689304221043277E-2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1.1368683772161603E-13</v>
      </c>
      <c r="DP198" s="17">
        <f>DO198*VLOOKUP('Données projet'!$B$14,Paramètres!$A$1:$I$89,3,0)*VLOOKUP('Données projet'!$B$14,Paramètres!$A$1:$I$89,5,0)</f>
        <v>1.0995790944434703E-13</v>
      </c>
      <c r="DQ198" s="13">
        <f t="shared" si="176"/>
        <v>1.6337280948049956E-12</v>
      </c>
      <c r="DR198" s="20">
        <f t="shared" si="177"/>
        <v>3.036919790734272E-12</v>
      </c>
      <c r="DS198" s="59">
        <f t="shared" si="197"/>
        <v>293.33333333333633</v>
      </c>
      <c r="DT198" s="59">
        <f ca="1">AVERAGE(OFFSET($DS$3,0,0,'Données projet'!$E$14+1,1))-AVERAGE(OFFSET($H$3,0,0,'Données projet'!$E$14+1,1))</f>
        <v>186.90852124957956</v>
      </c>
      <c r="DU198" s="59">
        <f t="shared" si="209"/>
        <v>93.013797128776446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1.1368683772161603E-13</v>
      </c>
      <c r="EK198" s="17">
        <f>EJ198*VLOOKUP('Données projet'!$B$15,Paramètres!$A$1:$I$89,3,0)*VLOOKUP('Données projet'!$B$15,Paramètres!$A$1:$I$89,5,0)</f>
        <v>1.223725121235475E-13</v>
      </c>
      <c r="EL198" s="13">
        <f t="shared" si="179"/>
        <v>1.7956824466038182E-12</v>
      </c>
      <c r="EM198" s="20">
        <f t="shared" si="180"/>
        <v>3.3406123864501612E-12</v>
      </c>
      <c r="EN198" s="59">
        <f t="shared" si="198"/>
        <v>293.33333333333667</v>
      </c>
      <c r="EO198" s="59">
        <f ca="1">AVERAGE(OFFSET($EN$3,0,0,'Données projet'!$E$15+1,1))-AVERAGE(OFFSET($H$3,0,0,'Données projet'!$E$15+1,1))</f>
        <v>217.10418688911096</v>
      </c>
      <c r="EP198" s="59">
        <f t="shared" si="210"/>
        <v>105.90631421515786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145.19188637714888</v>
      </c>
      <c r="T199" s="59">
        <f t="shared" si="204"/>
        <v>169.74069292032493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8.2623101920979491E-2</v>
      </c>
      <c r="AA199" s="21">
        <f>EXP(-LN(2)/25)*AA198+(1-EXP(-LN(2)/25))/(LN(2)/25)*Calculateur!V199*Calculateur!X199*VLOOKUP('Données projet'!$B$9,Paramètres!$A$1:$I$89,3,0)*0.475*44/12</f>
        <v>8.6787557356624356E-2</v>
      </c>
      <c r="AB199" s="21">
        <f>EXP(-LN(2)/2)*AB198+(1-EXP(-LN(2)/2))/(LN(2)/2)*V199*Y199*VLOOKUP('Données projet'!$B$9,Paramètres!$A$1:$I$89,3,0)*0.475*44/12</f>
        <v>4.1829723389960939E-25</v>
      </c>
      <c r="AC199" s="22">
        <f t="shared" si="163"/>
        <v>0.16941065927760385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-2.8421709430404007E-14</v>
      </c>
      <c r="AJ199" s="13">
        <f>AI199*VLOOKUP('Données projet'!$B$10,Paramètres!$A$1:$I$89,3,0)*VLOOKUP('Données projet'!$B$10,Paramètres!$A$1:$I$89,5,0)</f>
        <v>-2.4829205358400945E-14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254.24072778190163</v>
      </c>
      <c r="AO199" s="59">
        <f t="shared" si="205"/>
        <v>356.78706780980383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0.11476716292885586</v>
      </c>
      <c r="AV199" s="21">
        <f>EXP(-LN(2)/25)*AV198+(1-EXP(-LN(2)/25))/(LN(2)/25)*Calculateur!AQ199*Calculateur!AS199*VLOOKUP('Données projet'!$B$10,Paramètres!$A$1:$I$89,3,0)*0.475*44/12</f>
        <v>0.17739758129217562</v>
      </c>
      <c r="AW199" s="21">
        <f>EXP(-LN(2)/2)*AW198+(1-EXP(-LN(2)/2))/(LN(2)/2)*AQ199*AT199*VLOOKUP('Données projet'!$B$10,Paramètres!$A$1:$I$89,3,0)*0.475*44/12</f>
        <v>2.8713514053758274E-24</v>
      </c>
      <c r="AX199" s="21">
        <f t="shared" si="166"/>
        <v>0.29216474422103145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-2.7193891583010558E-13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246.59447135626942</v>
      </c>
      <c r="BJ199" s="59">
        <f t="shared" si="206"/>
        <v>262.00382544285367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0.12883654380512277</v>
      </c>
      <c r="BR199" s="21">
        <f>EXP(-LN(2)/2)*BR198+(1-EXP(-LN(2)/2))/(LN(2)/2)*BL199*BO199*VLOOKUP('Données projet'!$B$11,Paramètres!$A$1:$I$89,3,0)*0.475*44/12</f>
        <v>2.4535583044896015E-24</v>
      </c>
      <c r="BS199" s="22">
        <f t="shared" si="169"/>
        <v>0.12883654380512277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1.0286385077051818E-13</v>
      </c>
      <c r="CA199" s="13">
        <f t="shared" si="170"/>
        <v>1.5402366592183556E-12</v>
      </c>
      <c r="CB199" s="20">
        <f t="shared" si="171"/>
        <v>2.8617333882306215E-12</v>
      </c>
      <c r="CC199" s="59">
        <f t="shared" si="195"/>
        <v>293.33333333333616</v>
      </c>
      <c r="CD199" s="59">
        <f ca="1">AVERAGE(OFFSET($CC$3,0,0,'Données projet'!$E$12+1,1))-AVERAGE(OFFSET($H$3,0,0,'Données projet'!$E$12+1,1))</f>
        <v>169.62156467157178</v>
      </c>
      <c r="CE199" s="59">
        <f t="shared" si="207"/>
        <v>85.631326020763254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4.6111381379887463E-14</v>
      </c>
      <c r="CV199" s="13">
        <f t="shared" si="173"/>
        <v>7.5804141040779151E-13</v>
      </c>
      <c r="CW199" s="20">
        <f t="shared" si="174"/>
        <v>1.4005661123635408E-12</v>
      </c>
      <c r="CX199" s="59">
        <f t="shared" si="196"/>
        <v>293.33333333333474</v>
      </c>
      <c r="CY199" s="59">
        <f ca="1">AVERAGE(OFFSET($CX$3,0,0,'Données projet'!$E$13+1,1))-AVERAGE(OFFSET($H$3,0,0,'Données projet'!$E$13+1,1))</f>
        <v>234.59657655504111</v>
      </c>
      <c r="CZ199" s="59">
        <f t="shared" si="208"/>
        <v>285.10598666479211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8.5291435585738762E-2</v>
      </c>
      <c r="DH199" s="21">
        <f>EXP(-LN(2)/2)*DH198+(1-EXP(-LN(2)/2))/(LN(2)/2)*DB199*DE199*VLOOKUP('Données projet'!$B$13,Paramètres!$A$1:$I$89,3,0)*0.475*44/12</f>
        <v>1.1345370787105716E-24</v>
      </c>
      <c r="DI199" s="22">
        <f t="shared" si="175"/>
        <v>8.5291435585738762E-2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1.1368683772161603E-13</v>
      </c>
      <c r="DP199" s="17">
        <f>DO199*VLOOKUP('Données projet'!$B$14,Paramètres!$A$1:$I$89,3,0)*VLOOKUP('Données projet'!$B$14,Paramètres!$A$1:$I$89,5,0)</f>
        <v>1.0995790944434703E-13</v>
      </c>
      <c r="DQ199" s="13">
        <f t="shared" si="176"/>
        <v>1.6337280948049956E-12</v>
      </c>
      <c r="DR199" s="20">
        <f t="shared" si="177"/>
        <v>3.036919790734272E-12</v>
      </c>
      <c r="DS199" s="59">
        <f t="shared" si="197"/>
        <v>293.33333333333633</v>
      </c>
      <c r="DT199" s="59">
        <f ca="1">AVERAGE(OFFSET($DS$3,0,0,'Données projet'!$E$14+1,1))-AVERAGE(OFFSET($H$3,0,0,'Données projet'!$E$14+1,1))</f>
        <v>186.90852124957956</v>
      </c>
      <c r="DU199" s="59">
        <f t="shared" si="209"/>
        <v>93.013797128776446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1.1368683772161603E-13</v>
      </c>
      <c r="EK199" s="17">
        <f>EJ199*VLOOKUP('Données projet'!$B$15,Paramètres!$A$1:$I$89,3,0)*VLOOKUP('Données projet'!$B$15,Paramètres!$A$1:$I$89,5,0)</f>
        <v>1.223725121235475E-13</v>
      </c>
      <c r="EL199" s="13">
        <f t="shared" si="179"/>
        <v>1.7956824466038182E-12</v>
      </c>
      <c r="EM199" s="20">
        <f t="shared" si="180"/>
        <v>3.3406123864501612E-12</v>
      </c>
      <c r="EN199" s="59">
        <f t="shared" si="198"/>
        <v>293.33333333333667</v>
      </c>
      <c r="EO199" s="59">
        <f ca="1">AVERAGE(OFFSET($EN$3,0,0,'Données projet'!$E$15+1,1))-AVERAGE(OFFSET($H$3,0,0,'Données projet'!$E$15+1,1))</f>
        <v>217.10418688911096</v>
      </c>
      <c r="EP199" s="59">
        <f t="shared" si="210"/>
        <v>105.90631421515786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145.19188637714888</v>
      </c>
      <c r="T200" s="59">
        <f t="shared" si="204"/>
        <v>169.74069292032493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8.1002913287425149E-2</v>
      </c>
      <c r="AA200" s="21">
        <f>EXP(-LN(2)/25)*AA199+(1-EXP(-LN(2)/25))/(LN(2)/25)*Calculateur!V200*Calculateur!X200*VLOOKUP('Données projet'!$B$9,Paramètres!$A$1:$I$89,3,0)*0.475*44/12</f>
        <v>8.4414347036748175E-2</v>
      </c>
      <c r="AB200" s="21">
        <f>EXP(-LN(2)/2)*AB199+(1-EXP(-LN(2)/2))/(LN(2)/2)*V200*Y200*VLOOKUP('Données projet'!$B$9,Paramètres!$A$1:$I$89,3,0)*0.475*44/12</f>
        <v>2.9578081064198919E-25</v>
      </c>
      <c r="AC200" s="22">
        <f t="shared" si="163"/>
        <v>0.16541726032417331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-2.8421709430404007E-14</v>
      </c>
      <c r="AJ200" s="13">
        <f>AI200*VLOOKUP('Données projet'!$B$10,Paramètres!$A$1:$I$89,3,0)*VLOOKUP('Données projet'!$B$10,Paramètres!$A$1:$I$89,5,0)</f>
        <v>-2.4829205358400945E-14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254.24072778190163</v>
      </c>
      <c r="AO200" s="59">
        <f t="shared" si="205"/>
        <v>356.78706780980383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0.11251664886487835</v>
      </c>
      <c r="AV200" s="21">
        <f>EXP(-LN(2)/25)*AV199+(1-EXP(-LN(2)/25))/(LN(2)/25)*Calculateur!AQ200*Calculateur!AS200*VLOOKUP('Données projet'!$B$10,Paramètres!$A$1:$I$89,3,0)*0.475*44/12</f>
        <v>0.17254663510280771</v>
      </c>
      <c r="AW200" s="21">
        <f>EXP(-LN(2)/2)*AW199+(1-EXP(-LN(2)/2))/(LN(2)/2)*AQ200*AT200*VLOOKUP('Données projet'!$B$10,Paramètres!$A$1:$I$89,3,0)*0.475*44/12</f>
        <v>2.0303520499107709E-24</v>
      </c>
      <c r="AX200" s="21">
        <f t="shared" si="166"/>
        <v>0.28506328396768604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-2.7193891583010558E-13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246.59447135626942</v>
      </c>
      <c r="BJ200" s="59">
        <f t="shared" si="206"/>
        <v>262.00382544285367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0.1253135017395523</v>
      </c>
      <c r="BR200" s="21">
        <f>EXP(-LN(2)/2)*BR199+(1-EXP(-LN(2)/2))/(LN(2)/2)*BL200*BO200*VLOOKUP('Données projet'!$B$11,Paramètres!$A$1:$I$89,3,0)*0.475*44/12</f>
        <v>1.7349277151411652E-24</v>
      </c>
      <c r="BS200" s="22">
        <f t="shared" si="169"/>
        <v>0.1253135017395523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1.0286385077051818E-13</v>
      </c>
      <c r="CA200" s="13">
        <f t="shared" si="170"/>
        <v>1.5402366592183556E-12</v>
      </c>
      <c r="CB200" s="20">
        <f t="shared" si="171"/>
        <v>2.8617333882306215E-12</v>
      </c>
      <c r="CC200" s="59">
        <f t="shared" si="195"/>
        <v>293.33333333333616</v>
      </c>
      <c r="CD200" s="59">
        <f ca="1">AVERAGE(OFFSET($CC$3,0,0,'Données projet'!$E$12+1,1))-AVERAGE(OFFSET($H$3,0,0,'Données projet'!$E$12+1,1))</f>
        <v>169.62156467157178</v>
      </c>
      <c r="CE200" s="59">
        <f t="shared" si="207"/>
        <v>85.631326020763254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4.6111381379887463E-14</v>
      </c>
      <c r="CV200" s="13">
        <f t="shared" si="173"/>
        <v>7.5804141040779151E-13</v>
      </c>
      <c r="CW200" s="20">
        <f t="shared" si="174"/>
        <v>1.4005661123635408E-12</v>
      </c>
      <c r="CX200" s="59">
        <f t="shared" si="196"/>
        <v>293.33333333333474</v>
      </c>
      <c r="CY200" s="59">
        <f ca="1">AVERAGE(OFFSET($CX$3,0,0,'Données projet'!$E$13+1,1))-AVERAGE(OFFSET($H$3,0,0,'Données projet'!$E$13+1,1))</f>
        <v>234.59657655504111</v>
      </c>
      <c r="CZ200" s="59">
        <f t="shared" si="208"/>
        <v>285.10598666479211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8.2959136794365076E-2</v>
      </c>
      <c r="DH200" s="21">
        <f>EXP(-LN(2)/2)*DH199+(1-EXP(-LN(2)/2))/(LN(2)/2)*DB200*DE200*VLOOKUP('Données projet'!$B$13,Paramètres!$A$1:$I$89,3,0)*0.475*44/12</f>
        <v>8.0223886186382102E-25</v>
      </c>
      <c r="DI200" s="22">
        <f t="shared" si="175"/>
        <v>8.2959136794365076E-2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1.1368683772161603E-13</v>
      </c>
      <c r="DP200" s="17">
        <f>DO200*VLOOKUP('Données projet'!$B$14,Paramètres!$A$1:$I$89,3,0)*VLOOKUP('Données projet'!$B$14,Paramètres!$A$1:$I$89,5,0)</f>
        <v>1.0995790944434703E-13</v>
      </c>
      <c r="DQ200" s="13">
        <f t="shared" si="176"/>
        <v>1.6337280948049956E-12</v>
      </c>
      <c r="DR200" s="20">
        <f t="shared" si="177"/>
        <v>3.036919790734272E-12</v>
      </c>
      <c r="DS200" s="59">
        <f t="shared" si="197"/>
        <v>293.33333333333633</v>
      </c>
      <c r="DT200" s="59">
        <f ca="1">AVERAGE(OFFSET($DS$3,0,0,'Données projet'!$E$14+1,1))-AVERAGE(OFFSET($H$3,0,0,'Données projet'!$E$14+1,1))</f>
        <v>186.90852124957956</v>
      </c>
      <c r="DU200" s="59">
        <f t="shared" si="209"/>
        <v>93.013797128776446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1.1368683772161603E-13</v>
      </c>
      <c r="EK200" s="17">
        <f>EJ200*VLOOKUP('Données projet'!$B$15,Paramètres!$A$1:$I$89,3,0)*VLOOKUP('Données projet'!$B$15,Paramètres!$A$1:$I$89,5,0)</f>
        <v>1.223725121235475E-13</v>
      </c>
      <c r="EL200" s="13">
        <f t="shared" si="179"/>
        <v>1.7956824466038182E-12</v>
      </c>
      <c r="EM200" s="20">
        <f t="shared" si="180"/>
        <v>3.3406123864501612E-12</v>
      </c>
      <c r="EN200" s="59">
        <f t="shared" si="198"/>
        <v>293.33333333333667</v>
      </c>
      <c r="EO200" s="59">
        <f ca="1">AVERAGE(OFFSET($EN$3,0,0,'Données projet'!$E$15+1,1))-AVERAGE(OFFSET($H$3,0,0,'Données projet'!$E$15+1,1))</f>
        <v>217.10418688911096</v>
      </c>
      <c r="EP200" s="59">
        <f t="shared" si="210"/>
        <v>105.90631421515786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145.19188637714888</v>
      </c>
      <c r="T201" s="59">
        <f t="shared" si="204"/>
        <v>169.74069292032493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7.9414495564757326E-2</v>
      </c>
      <c r="AA201" s="21">
        <f>EXP(-LN(2)/25)*AA200+(1-EXP(-LN(2)/25))/(LN(2)/25)*Calculateur!V201*Calculateur!X201*VLOOKUP('Données projet'!$B$9,Paramètres!$A$1:$I$89,3,0)*0.475*44/12</f>
        <v>8.2106032277870722E-2</v>
      </c>
      <c r="AB201" s="21">
        <f>EXP(-LN(2)/2)*AB200+(1-EXP(-LN(2)/2))/(LN(2)/2)*V201*Y201*VLOOKUP('Données projet'!$B$9,Paramètres!$A$1:$I$89,3,0)*0.475*44/12</f>
        <v>2.0914861694980469E-25</v>
      </c>
      <c r="AC201" s="22">
        <f t="shared" si="163"/>
        <v>0.16152052784262805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-2.8421709430404007E-14</v>
      </c>
      <c r="AJ201" s="13">
        <f>AI201*VLOOKUP('Données projet'!$B$10,Paramètres!$A$1:$I$89,3,0)*VLOOKUP('Données projet'!$B$10,Paramètres!$A$1:$I$89,5,0)</f>
        <v>-2.4829205358400945E-14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254.24072778190163</v>
      </c>
      <c r="AO201" s="59">
        <f t="shared" si="205"/>
        <v>356.78706780980383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0.1103102660090174</v>
      </c>
      <c r="AV201" s="21">
        <f>EXP(-LN(2)/25)*AV200+(1-EXP(-LN(2)/25))/(LN(2)/25)*Calculateur!AQ201*Calculateur!AS201*VLOOKUP('Données projet'!$B$10,Paramètres!$A$1:$I$89,3,0)*0.475*44/12</f>
        <v>0.16782833829208826</v>
      </c>
      <c r="AW201" s="21">
        <f>EXP(-LN(2)/2)*AW200+(1-EXP(-LN(2)/2))/(LN(2)/2)*AQ201*AT201*VLOOKUP('Données projet'!$B$10,Paramètres!$A$1:$I$89,3,0)*0.475*44/12</f>
        <v>1.4356757026879137E-24</v>
      </c>
      <c r="AX201" s="21">
        <f t="shared" si="166"/>
        <v>0.27813860430110565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-2.7193891583010558E-13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246.59447135626942</v>
      </c>
      <c r="BJ201" s="59">
        <f t="shared" si="206"/>
        <v>262.00382544285367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0.1218867974445336</v>
      </c>
      <c r="BR201" s="21">
        <f>EXP(-LN(2)/2)*BR200+(1-EXP(-LN(2)/2))/(LN(2)/2)*BL201*BO201*VLOOKUP('Données projet'!$B$11,Paramètres!$A$1:$I$89,3,0)*0.475*44/12</f>
        <v>1.2267791522448008E-24</v>
      </c>
      <c r="BS201" s="22">
        <f t="shared" si="169"/>
        <v>0.1218867974445336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1.0286385077051818E-13</v>
      </c>
      <c r="CA201" s="13">
        <f t="shared" si="170"/>
        <v>1.5402366592183556E-12</v>
      </c>
      <c r="CB201" s="20">
        <f t="shared" si="171"/>
        <v>2.8617333882306215E-12</v>
      </c>
      <c r="CC201" s="59">
        <f t="shared" si="195"/>
        <v>293.33333333333616</v>
      </c>
      <c r="CD201" s="59">
        <f ca="1">AVERAGE(OFFSET($CC$3,0,0,'Données projet'!$E$12+1,1))-AVERAGE(OFFSET($H$3,0,0,'Données projet'!$E$12+1,1))</f>
        <v>169.62156467157178</v>
      </c>
      <c r="CE201" s="59">
        <f t="shared" si="207"/>
        <v>85.631326020763254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4.6111381379887463E-14</v>
      </c>
      <c r="CV201" s="13">
        <f t="shared" si="173"/>
        <v>7.5804141040779151E-13</v>
      </c>
      <c r="CW201" s="20">
        <f t="shared" si="174"/>
        <v>1.4005661123635408E-12</v>
      </c>
      <c r="CX201" s="59">
        <f t="shared" si="196"/>
        <v>293.33333333333474</v>
      </c>
      <c r="CY201" s="59">
        <f ca="1">AVERAGE(OFFSET($CX$3,0,0,'Données projet'!$E$13+1,1))-AVERAGE(OFFSET($H$3,0,0,'Données projet'!$E$13+1,1))</f>
        <v>234.59657655504111</v>
      </c>
      <c r="CZ201" s="59">
        <f t="shared" si="208"/>
        <v>285.10598666479211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8.0690614836091759E-2</v>
      </c>
      <c r="DH201" s="21">
        <f>EXP(-LN(2)/2)*DH200+(1-EXP(-LN(2)/2))/(LN(2)/2)*DB201*DE201*VLOOKUP('Données projet'!$B$13,Paramètres!$A$1:$I$89,3,0)*0.475*44/12</f>
        <v>5.6726853935528581E-25</v>
      </c>
      <c r="DI201" s="22">
        <f t="shared" si="175"/>
        <v>8.0690614836091759E-2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1.1368683772161603E-13</v>
      </c>
      <c r="DP201" s="17">
        <f>DO201*VLOOKUP('Données projet'!$B$14,Paramètres!$A$1:$I$89,3,0)*VLOOKUP('Données projet'!$B$14,Paramètres!$A$1:$I$89,5,0)</f>
        <v>1.0995790944434703E-13</v>
      </c>
      <c r="DQ201" s="13">
        <f t="shared" si="176"/>
        <v>1.6337280948049956E-12</v>
      </c>
      <c r="DR201" s="20">
        <f t="shared" si="177"/>
        <v>3.036919790734272E-12</v>
      </c>
      <c r="DS201" s="59">
        <f t="shared" si="197"/>
        <v>293.33333333333633</v>
      </c>
      <c r="DT201" s="59">
        <f ca="1">AVERAGE(OFFSET($DS$3,0,0,'Données projet'!$E$14+1,1))-AVERAGE(OFFSET($H$3,0,0,'Données projet'!$E$14+1,1))</f>
        <v>186.90852124957956</v>
      </c>
      <c r="DU201" s="59">
        <f t="shared" si="209"/>
        <v>93.013797128776446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1.1368683772161603E-13</v>
      </c>
      <c r="EK201" s="17">
        <f>EJ201*VLOOKUP('Données projet'!$B$15,Paramètres!$A$1:$I$89,3,0)*VLOOKUP('Données projet'!$B$15,Paramètres!$A$1:$I$89,5,0)</f>
        <v>1.223725121235475E-13</v>
      </c>
      <c r="EL201" s="13">
        <f t="shared" si="179"/>
        <v>1.7956824466038182E-12</v>
      </c>
      <c r="EM201" s="20">
        <f t="shared" si="180"/>
        <v>3.3406123864501612E-12</v>
      </c>
      <c r="EN201" s="59">
        <f t="shared" si="198"/>
        <v>293.33333333333667</v>
      </c>
      <c r="EO201" s="59">
        <f ca="1">AVERAGE(OFFSET($EN$3,0,0,'Données projet'!$E$15+1,1))-AVERAGE(OFFSET($H$3,0,0,'Données projet'!$E$15+1,1))</f>
        <v>217.10418688911096</v>
      </c>
      <c r="EP201" s="59">
        <f t="shared" si="210"/>
        <v>105.90631421515786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145.19188637714888</v>
      </c>
      <c r="T202" s="59">
        <f t="shared" si="204"/>
        <v>169.74069292032493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7.7857225744791869E-2</v>
      </c>
      <c r="AA202" s="21">
        <f>EXP(-LN(2)/25)*AA201+(1-EXP(-LN(2)/25))/(LN(2)/25)*Calculateur!V202*Calculateur!X202*VLOOKUP('Données projet'!$B$9,Paramètres!$A$1:$I$89,3,0)*0.475*44/12</f>
        <v>7.9860838507463769E-2</v>
      </c>
      <c r="AB202" s="21">
        <f>EXP(-LN(2)/2)*AB201+(1-EXP(-LN(2)/2))/(LN(2)/2)*V202*Y202*VLOOKUP('Données projet'!$B$9,Paramètres!$A$1:$I$89,3,0)*0.475*44/12</f>
        <v>1.4789040532099459E-25</v>
      </c>
      <c r="AC202" s="22">
        <f t="shared" si="163"/>
        <v>0.15771806425225565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-2.8421709430404007E-14</v>
      </c>
      <c r="AJ202" s="13">
        <f>AI202*VLOOKUP('Données projet'!$B$10,Paramètres!$A$1:$I$89,3,0)*VLOOKUP('Données projet'!$B$10,Paramètres!$A$1:$I$89,5,0)</f>
        <v>-2.4829205358400945E-14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254.24072778190163</v>
      </c>
      <c r="AO202" s="59">
        <f t="shared" si="205"/>
        <v>356.78706780980383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0.10814714897519923</v>
      </c>
      <c r="AV202" s="21">
        <f>EXP(-LN(2)/25)*AV201+(1-EXP(-LN(2)/25))/(LN(2)/25)*Calculateur!AQ202*Calculateur!AS202*VLOOKUP('Données projet'!$B$10,Paramètres!$A$1:$I$89,3,0)*0.475*44/12</f>
        <v>0.16323906355578238</v>
      </c>
      <c r="AW202" s="21">
        <f>EXP(-LN(2)/2)*AW201+(1-EXP(-LN(2)/2))/(LN(2)/2)*AQ202*AT202*VLOOKUP('Données projet'!$B$10,Paramètres!$A$1:$I$89,3,0)*0.475*44/12</f>
        <v>1.0151760249553854E-24</v>
      </c>
      <c r="AX202" s="21">
        <f t="shared" si="166"/>
        <v>0.27138621253098161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-2.7193891583010558E-13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246.59447135626942</v>
      </c>
      <c r="BJ202" s="59">
        <f t="shared" si="206"/>
        <v>262.00382544285367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0.11855379655866473</v>
      </c>
      <c r="BR202" s="21">
        <f>EXP(-LN(2)/2)*BR201+(1-EXP(-LN(2)/2))/(LN(2)/2)*BL202*BO202*VLOOKUP('Données projet'!$B$11,Paramètres!$A$1:$I$89,3,0)*0.475*44/12</f>
        <v>8.6746385757058259E-25</v>
      </c>
      <c r="BS202" s="22">
        <f t="shared" si="169"/>
        <v>0.11855379655866473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1.0286385077051818E-13</v>
      </c>
      <c r="CA202" s="13">
        <f t="shared" si="170"/>
        <v>1.5402366592183556E-12</v>
      </c>
      <c r="CB202" s="20">
        <f t="shared" si="171"/>
        <v>2.8617333882306215E-12</v>
      </c>
      <c r="CC202" s="59">
        <f t="shared" si="195"/>
        <v>293.33333333333616</v>
      </c>
      <c r="CD202" s="59">
        <f ca="1">AVERAGE(OFFSET($CC$3,0,0,'Données projet'!$E$12+1,1))-AVERAGE(OFFSET($H$3,0,0,'Données projet'!$E$12+1,1))</f>
        <v>169.62156467157178</v>
      </c>
      <c r="CE202" s="59">
        <f t="shared" si="207"/>
        <v>85.631326020763254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4.6111381379887463E-14</v>
      </c>
      <c r="CV202" s="13">
        <f t="shared" si="173"/>
        <v>7.5804141040779151E-13</v>
      </c>
      <c r="CW202" s="20">
        <f t="shared" si="174"/>
        <v>1.4005661123635408E-12</v>
      </c>
      <c r="CX202" s="59">
        <f t="shared" si="196"/>
        <v>293.33333333333474</v>
      </c>
      <c r="CY202" s="59">
        <f ca="1">AVERAGE(OFFSET($CX$3,0,0,'Données projet'!$E$13+1,1))-AVERAGE(OFFSET($H$3,0,0,'Données projet'!$E$13+1,1))</f>
        <v>234.59657655504111</v>
      </c>
      <c r="CZ202" s="59">
        <f t="shared" si="208"/>
        <v>285.10598666479211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7.8484125730063817E-2</v>
      </c>
      <c r="DH202" s="21">
        <f>EXP(-LN(2)/2)*DH201+(1-EXP(-LN(2)/2))/(LN(2)/2)*DB202*DE202*VLOOKUP('Données projet'!$B$13,Paramètres!$A$1:$I$89,3,0)*0.475*44/12</f>
        <v>4.0111943093191051E-25</v>
      </c>
      <c r="DI202" s="22">
        <f t="shared" si="175"/>
        <v>7.8484125730063817E-2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1.1368683772161603E-13</v>
      </c>
      <c r="DP202" s="17">
        <f>DO202*VLOOKUP('Données projet'!$B$14,Paramètres!$A$1:$I$89,3,0)*VLOOKUP('Données projet'!$B$14,Paramètres!$A$1:$I$89,5,0)</f>
        <v>1.0995790944434703E-13</v>
      </c>
      <c r="DQ202" s="13">
        <f t="shared" si="176"/>
        <v>1.6337280948049956E-12</v>
      </c>
      <c r="DR202" s="20">
        <f t="shared" si="177"/>
        <v>3.036919790734272E-12</v>
      </c>
      <c r="DS202" s="59">
        <f t="shared" si="197"/>
        <v>293.33333333333633</v>
      </c>
      <c r="DT202" s="59">
        <f ca="1">AVERAGE(OFFSET($DS$3,0,0,'Données projet'!$E$14+1,1))-AVERAGE(OFFSET($H$3,0,0,'Données projet'!$E$14+1,1))</f>
        <v>186.90852124957956</v>
      </c>
      <c r="DU202" s="59">
        <f t="shared" si="209"/>
        <v>93.013797128776446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1.1368683772161603E-13</v>
      </c>
      <c r="EK202" s="17">
        <f>EJ202*VLOOKUP('Données projet'!$B$15,Paramètres!$A$1:$I$89,3,0)*VLOOKUP('Données projet'!$B$15,Paramètres!$A$1:$I$89,5,0)</f>
        <v>1.223725121235475E-13</v>
      </c>
      <c r="EL202" s="13">
        <f t="shared" si="179"/>
        <v>1.7956824466038182E-12</v>
      </c>
      <c r="EM202" s="20">
        <f t="shared" si="180"/>
        <v>3.3406123864501612E-12</v>
      </c>
      <c r="EN202" s="59">
        <f t="shared" si="198"/>
        <v>293.33333333333667</v>
      </c>
      <c r="EO202" s="59">
        <f ca="1">AVERAGE(OFFSET($EN$3,0,0,'Données projet'!$E$15+1,1))-AVERAGE(OFFSET($H$3,0,0,'Données projet'!$E$15+1,1))</f>
        <v>217.10418688911096</v>
      </c>
      <c r="EP202" s="59">
        <f t="shared" si="210"/>
        <v>105.90631421515786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145.19188637714888</v>
      </c>
      <c r="T203" s="59">
        <f t="shared" si="204"/>
        <v>169.74069292032493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7.6330493036155134E-2</v>
      </c>
      <c r="AA203" s="21">
        <f>EXP(-LN(2)/25)*AA202+(1-EXP(-LN(2)/25))/(LN(2)/25)*Calculateur!V203*Calculateur!X203*VLOOKUP('Données projet'!$B$9,Paramètres!$A$1:$I$89,3,0)*0.475*44/12</f>
        <v>7.7677039678778204E-2</v>
      </c>
      <c r="AB203" s="21">
        <f>EXP(-LN(2)/2)*AB202+(1-EXP(-LN(2)/2))/(LN(2)/2)*V203*Y203*VLOOKUP('Données projet'!$B$9,Paramètres!$A$1:$I$89,3,0)*0.475*44/12</f>
        <v>1.0457430847490235E-25</v>
      </c>
      <c r="AC203" s="22">
        <f t="shared" si="163"/>
        <v>0.15400753271493334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-2.8421709430404007E-14</v>
      </c>
      <c r="AJ203" s="13">
        <f>AI203*VLOOKUP('Données projet'!$B$10,Paramètres!$A$1:$I$89,3,0)*VLOOKUP('Données projet'!$B$10,Paramètres!$A$1:$I$89,5,0)</f>
        <v>-2.4829205358400945E-14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254.24072778190163</v>
      </c>
      <c r="AO203" s="59">
        <f t="shared" si="205"/>
        <v>356.78706780980383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0.10602644934704311</v>
      </c>
      <c r="AV203" s="21">
        <f>EXP(-LN(2)/25)*AV202+(1-EXP(-LN(2)/25))/(LN(2)/25)*Calculateur!AQ203*Calculateur!AS203*VLOOKUP('Données projet'!$B$10,Paramètres!$A$1:$I$89,3,0)*0.475*44/12</f>
        <v>0.15877528277848024</v>
      </c>
      <c r="AW203" s="21">
        <f>EXP(-LN(2)/2)*AW202+(1-EXP(-LN(2)/2))/(LN(2)/2)*AQ203*AT203*VLOOKUP('Données projet'!$B$10,Paramètres!$A$1:$I$89,3,0)*0.475*44/12</f>
        <v>7.1783785134395685E-25</v>
      </c>
      <c r="AX203" s="21">
        <f t="shared" si="166"/>
        <v>0.26480173212552338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-2.7193891583010558E-13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246.59447135626942</v>
      </c>
      <c r="BJ203" s="59">
        <f t="shared" si="206"/>
        <v>262.00382544285367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0.11531193675729484</v>
      </c>
      <c r="BR203" s="21">
        <f>EXP(-LN(2)/2)*BR202+(1-EXP(-LN(2)/2))/(LN(2)/2)*BL203*BO203*VLOOKUP('Données projet'!$B$11,Paramètres!$A$1:$I$89,3,0)*0.475*44/12</f>
        <v>6.1338957612240039E-25</v>
      </c>
      <c r="BS203" s="22">
        <f t="shared" si="169"/>
        <v>0.11531193675729484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1.0286385077051818E-13</v>
      </c>
      <c r="CA203" s="13">
        <f t="shared" si="170"/>
        <v>1.5402366592183556E-12</v>
      </c>
      <c r="CB203" s="20">
        <f t="shared" si="171"/>
        <v>2.8617333882306215E-12</v>
      </c>
      <c r="CC203" s="59">
        <f t="shared" si="195"/>
        <v>293.33333333333616</v>
      </c>
      <c r="CD203" s="59">
        <f ca="1">AVERAGE(OFFSET($CC$3,0,0,'Données projet'!$E$12+1,1))-AVERAGE(OFFSET($H$3,0,0,'Données projet'!$E$12+1,1))</f>
        <v>169.62156467157178</v>
      </c>
      <c r="CE203" s="59">
        <f t="shared" si="207"/>
        <v>85.631326020763254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4.6111381379887463E-14</v>
      </c>
      <c r="CV203" s="13">
        <f t="shared" si="173"/>
        <v>7.5804141040779151E-13</v>
      </c>
      <c r="CW203" s="20">
        <f t="shared" si="174"/>
        <v>1.4005661123635408E-12</v>
      </c>
      <c r="CX203" s="59">
        <f t="shared" si="196"/>
        <v>293.33333333333474</v>
      </c>
      <c r="CY203" s="59">
        <f ca="1">AVERAGE(OFFSET($CX$3,0,0,'Données projet'!$E$13+1,1))-AVERAGE(OFFSET($H$3,0,0,'Données projet'!$E$13+1,1))</f>
        <v>234.59657655504111</v>
      </c>
      <c r="CZ203" s="59">
        <f t="shared" si="208"/>
        <v>285.10598666479211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7.6337973184674432E-2</v>
      </c>
      <c r="DH203" s="21">
        <f>EXP(-LN(2)/2)*DH202+(1-EXP(-LN(2)/2))/(LN(2)/2)*DB203*DE203*VLOOKUP('Données projet'!$B$13,Paramètres!$A$1:$I$89,3,0)*0.475*44/12</f>
        <v>2.8363426967764291E-25</v>
      </c>
      <c r="DI203" s="22">
        <f t="shared" si="175"/>
        <v>7.6337973184674432E-2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1.1368683772161603E-13</v>
      </c>
      <c r="DP203" s="17">
        <f>DO203*VLOOKUP('Données projet'!$B$14,Paramètres!$A$1:$I$89,3,0)*VLOOKUP('Données projet'!$B$14,Paramètres!$A$1:$I$89,5,0)</f>
        <v>1.0995790944434703E-13</v>
      </c>
      <c r="DQ203" s="13">
        <f t="shared" si="176"/>
        <v>1.6337280948049956E-12</v>
      </c>
      <c r="DR203" s="20">
        <f t="shared" si="177"/>
        <v>3.036919790734272E-12</v>
      </c>
      <c r="DS203" s="59">
        <f t="shared" si="197"/>
        <v>293.33333333333633</v>
      </c>
      <c r="DT203" s="59">
        <f ca="1">AVERAGE(OFFSET($DS$3,0,0,'Données projet'!$E$14+1,1))-AVERAGE(OFFSET($H$3,0,0,'Données projet'!$E$14+1,1))</f>
        <v>186.90852124957956</v>
      </c>
      <c r="DU203" s="59">
        <f t="shared" si="209"/>
        <v>93.013797128776446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1.1368683772161603E-13</v>
      </c>
      <c r="EK203" s="17">
        <f>EJ203*VLOOKUP('Données projet'!$B$15,Paramètres!$A$1:$I$89,3,0)*VLOOKUP('Données projet'!$B$15,Paramètres!$A$1:$I$89,5,0)</f>
        <v>1.223725121235475E-13</v>
      </c>
      <c r="EL203" s="13">
        <f t="shared" si="179"/>
        <v>1.7956824466038182E-12</v>
      </c>
      <c r="EM203" s="20">
        <f t="shared" si="180"/>
        <v>3.3406123864501612E-12</v>
      </c>
      <c r="EN203" s="59">
        <f t="shared" si="198"/>
        <v>293.33333333333667</v>
      </c>
      <c r="EO203" s="59">
        <f ca="1">AVERAGE(OFFSET($EN$3,0,0,'Données projet'!$E$15+1,1))-AVERAGE(OFFSET($H$3,0,0,'Données projet'!$E$15+1,1))</f>
        <v>217.10418688911096</v>
      </c>
      <c r="EP203" s="59">
        <f t="shared" si="210"/>
        <v>105.90631421515786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1.3076604860118306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1.2765231539157764</v>
      </c>
      <c r="BA205" s="82">
        <f>EXP(LN('Données projet'!B88)/'Données projet'!A88)</f>
        <v>1.2530028811664373</v>
      </c>
      <c r="BV205" s="82">
        <f>EXP(LN('Données projet'!B114)/'Données projet'!A114)</f>
        <v>1.1457367676485573</v>
      </c>
      <c r="CQ205" s="82">
        <f>EXP(LN('Données projet'!B140)/'Données projet'!A140)</f>
        <v>1.2557008269631629</v>
      </c>
      <c r="DL205" s="82">
        <f>EXP(LN('Données projet'!B166)/'Données projet'!A166)</f>
        <v>1.1457367676485573</v>
      </c>
      <c r="EG205" s="82">
        <f>EXP(LN('Données projet'!B192)/'Données projet'!A192)</f>
        <v>1.1457367676485573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40" sqref="K4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5.1396100000000002</v>
      </c>
      <c r="C6" s="147">
        <f ca="1">IF(OR('Données projet'!B9="",'Données projet'!C9="",'Données projet'!C9=0%),0,Calculateur!S3)</f>
        <v>145.19188637714888</v>
      </c>
      <c r="D6" s="147">
        <f>IF(OR('Données projet'!B9="",'Données projet'!C9="",'Données projet'!C9=0%),0,Calculateur!T3)</f>
        <v>169.74069292032493</v>
      </c>
      <c r="E6" s="147">
        <f ca="1">MIN(C6,D6)</f>
        <v>145.19188637714888</v>
      </c>
      <c r="F6" s="147">
        <f ca="1">E6*B6</f>
        <v>746.22967114285814</v>
      </c>
      <c r="G6" s="147">
        <f ca="1">F6*(100%-'Données projet'!$C$24)*(100%-'Données projet'!$C$25)*(100%-'Données projet'!$C$26)*(100%-'Données projet'!$C$27)</f>
        <v>604.44603362571513</v>
      </c>
      <c r="H6" s="148">
        <f>IF(OR('Données projet'!B9="",'Données projet'!C9="",'Données projet'!C9=0%),0,AVERAGE(Calculateur!$AC$3:$AC$33)*B6)</f>
        <v>23.060978546051409</v>
      </c>
      <c r="I6" s="149">
        <f>H6*(100%-'Données projet'!$C$24)*(100%-'Données projet'!$C$25)*(100%-'Données projet'!$C$26)*(100%-'Données projet'!$C$27)</f>
        <v>18.679392622301641</v>
      </c>
      <c r="J6" s="150">
        <f>IF(OR('Données projet'!B9="",'Données projet'!C9="",'Données projet'!C9=0%),0,SUM(Calculateur!$V$3:$V$33)*VLOOKUP('Données projet'!$B$9,Paramètres!$A$1:$I$89,9,0)*B6)</f>
        <v>197.10404350000002</v>
      </c>
      <c r="K6" s="151">
        <f>J6*(100%-'Données projet'!$C$24)*(100%-'Données projet'!$C$25)*(100%-'Données projet'!$C$26)*(100%-'Données projet'!$C$27)</f>
        <v>159.65427523500003</v>
      </c>
      <c r="L6" s="152">
        <f ca="1">G6+I6+K6</f>
        <v>782.77970148301677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1.1537900000000001</v>
      </c>
      <c r="C7" s="147">
        <f ca="1">IF(OR('Données projet'!B10="",'Données projet'!C10="",'Données projet'!C10=0%),0,Calculateur!AN3)</f>
        <v>254.24072778190163</v>
      </c>
      <c r="D7" s="147">
        <f>IF(OR('Données projet'!B10="",'Données projet'!C10="",'Données projet'!C10=0%),0,Calculateur!AO3)</f>
        <v>356.78706780980383</v>
      </c>
      <c r="E7" s="147">
        <f t="shared" ref="E7:E15" ca="1" si="0">MIN(C7,D7)</f>
        <v>254.24072778190163</v>
      </c>
      <c r="F7" s="147">
        <f t="shared" ref="F7:F15" ca="1" si="1">E7*B7</f>
        <v>293.34040930748029</v>
      </c>
      <c r="G7" s="147">
        <f ca="1">F7*(100%-'Données projet'!$C$24)*(100%-'Données projet'!$C$25)*(100%-'Données projet'!$C$26)*(100%-'Données projet'!$C$27)</f>
        <v>237.60573153905904</v>
      </c>
      <c r="H7" s="155">
        <f>IF(OR('Données projet'!B10="",'Données projet'!C10="",'Données projet'!C10=0%),0,AVERAGE(Calculateur!$AX$3:$AX$33)*B7)</f>
        <v>4.7788497028481149</v>
      </c>
      <c r="I7" s="149">
        <f>H7*(100%-'Données projet'!$C$24)*(100%-'Données projet'!$C$25)*(100%-'Données projet'!$C$26)*(100%-'Données projet'!$C$27)</f>
        <v>3.8708682593069734</v>
      </c>
      <c r="J7" s="150">
        <f>IF(OR('Données projet'!B10="",'Données projet'!C10="",'Données projet'!C10=0%),0,SUM(Calculateur!$AQ$3:$AQ$33)*VLOOKUP('Données projet'!$B$10,Paramètres!$A$1:$I$89,9,0)*B7)</f>
        <v>35.767490000000002</v>
      </c>
      <c r="K7" s="151">
        <f>J7*(100%-'Données projet'!$C$24)*(100%-'Données projet'!$C$25)*(100%-'Données projet'!$C$26)*(100%-'Données projet'!$C$27)</f>
        <v>28.971666900000002</v>
      </c>
      <c r="L7" s="152">
        <f t="shared" ref="L7:L15" ca="1" si="2">G7+I7+K7</f>
        <v>270.44826669836601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taeda</v>
      </c>
      <c r="B8" s="154">
        <f>'Données projet'!D11</f>
        <v>1.4684600000000003</v>
      </c>
      <c r="C8" s="147">
        <f ca="1">IF(OR('Données projet'!B11="",'Données projet'!C11="",'Données projet'!C11=0%),0,Calculateur!BI3)</f>
        <v>246.59447135626942</v>
      </c>
      <c r="D8" s="147">
        <f>IF(OR('Données projet'!B11="",'Données projet'!C11="",'Données projet'!C11=0%),0,Calculateur!BJ3)</f>
        <v>262.00382544285367</v>
      </c>
      <c r="E8" s="147">
        <f t="shared" ca="1" si="0"/>
        <v>246.59447135626942</v>
      </c>
      <c r="F8" s="147">
        <f t="shared" ca="1" si="1"/>
        <v>362.11411740782745</v>
      </c>
      <c r="G8" s="147">
        <f ca="1">F8*(100%-'Données projet'!$C$24)*(100%-'Données projet'!$C$25)*(100%-'Données projet'!$C$26)*(100%-'Données projet'!$C$27)</f>
        <v>293.31243510034022</v>
      </c>
      <c r="H8" s="155">
        <f>IF(OR('Données projet'!B11="",'Données projet'!C11="",'Données projet'!C11=0%),0,AVERAGE(Calculateur!$BS$3:$BS$33)*B8)</f>
        <v>2.1155631146667266</v>
      </c>
      <c r="I8" s="149">
        <f>H8*(100%-'Données projet'!$C$24)*(100%-'Données projet'!$C$25)*(100%-'Données projet'!$C$26)*(100%-'Données projet'!$C$27)</f>
        <v>1.7136061228800488</v>
      </c>
      <c r="J8" s="150">
        <f>IF(OR('Données projet'!B11="",'Données projet'!C11="",'Données projet'!C11=0%),0,SUM(Calculateur!$BL$3:$BL$33)*VLOOKUP('Données projet'!$B$11,Paramètres!$A$1:$I$89,9,0)*B8)</f>
        <v>46.094959400000008</v>
      </c>
      <c r="K8" s="151">
        <f>J8*(100%-'Données projet'!$C$24)*(100%-'Données projet'!$C$25)*(100%-'Données projet'!$C$26)*(100%-'Données projet'!$C$27)</f>
        <v>37.336917114000009</v>
      </c>
      <c r="L8" s="152">
        <f t="shared" ca="1" si="2"/>
        <v>332.36295833722028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sessile</v>
      </c>
      <c r="B9" s="154">
        <f>'Données projet'!D12</f>
        <v>2.20269</v>
      </c>
      <c r="C9" s="147">
        <f ca="1">IF(OR('Données projet'!B12="",'Données projet'!C12="",'Données projet'!C12=0%),0,Calculateur!CD3)</f>
        <v>169.62156467157178</v>
      </c>
      <c r="D9" s="147">
        <f>IF(OR('Données projet'!B12="",'Données projet'!C12="",'Données projet'!C12=0%),0,Calculateur!CE3)</f>
        <v>85.631326020763254</v>
      </c>
      <c r="E9" s="147">
        <f t="shared" ca="1" si="0"/>
        <v>85.631326020763254</v>
      </c>
      <c r="F9" s="147">
        <f t="shared" ca="1" si="1"/>
        <v>188.61926551267501</v>
      </c>
      <c r="G9" s="147">
        <f ca="1">F9*(100%-'Données projet'!$C$24)*(100%-'Données projet'!$C$25)*(100%-'Données projet'!$C$26)*(100%-'Données projet'!$C$27)</f>
        <v>152.78160506526677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152.78160506526677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Bouleau verruqueux</v>
      </c>
      <c r="B10" s="154">
        <f>'Données projet'!D13</f>
        <v>0.31467000000000001</v>
      </c>
      <c r="C10" s="147">
        <f ca="1">IF(OR('Données projet'!B13="",'Données projet'!C13="",'Données projet'!C13=0%),0,Calculateur!CY3)</f>
        <v>234.59657655504111</v>
      </c>
      <c r="D10" s="147">
        <f>IF(OR('Données projet'!B13="",'Données projet'!C13="",'Données projet'!C13=0%),0,Calculateur!CZ3)</f>
        <v>285.10598666479211</v>
      </c>
      <c r="E10" s="147">
        <f t="shared" ca="1" si="0"/>
        <v>234.59657655504111</v>
      </c>
      <c r="F10" s="147">
        <f t="shared" ca="1" si="1"/>
        <v>73.820504744574791</v>
      </c>
      <c r="G10" s="147">
        <f ca="1">F10*(100%-'Données projet'!$C$24)*(100%-'Données projet'!$C$25)*(100%-'Données projet'!$C$26)*(100%-'Données projet'!$C$27)</f>
        <v>59.794608843105586</v>
      </c>
      <c r="H10" s="155">
        <f>IF(OR('Données projet'!B13="",'Données projet'!C13="",'Données projet'!C13=0%),0,AVERAGE(Calculateur!$DI$3:$DI$33)*B10)</f>
        <v>0.84509146175882588</v>
      </c>
      <c r="I10" s="149">
        <f>H10*(100%-'Données projet'!$C$24)*(100%-'Données projet'!$C$25)*(100%-'Données projet'!$C$26)*(100%-'Données projet'!$C$27)</f>
        <v>0.68452408402464904</v>
      </c>
      <c r="J10" s="150">
        <f>IF(OR('Données projet'!B13="",'Données projet'!C13="",'Données projet'!C13=0%),0,SUM(Calculateur!$DB$3:$DB$33)*VLOOKUP('Données projet'!$B$13,Paramètres!$A$1:$I$89,9,0)*B10)</f>
        <v>7.7880824999999998</v>
      </c>
      <c r="K10" s="151">
        <f>J10*(100%-'Données projet'!$C$24)*(100%-'Données projet'!$C$25)*(100%-'Données projet'!$C$26)*(100%-'Données projet'!$C$27)</f>
        <v>6.3083468250000001</v>
      </c>
      <c r="L10" s="152">
        <f t="shared" ca="1" si="2"/>
        <v>66.787479752130238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Alisier torminal</v>
      </c>
      <c r="B11" s="154">
        <f>'Données projet'!D14</f>
        <v>0.10489000000000001</v>
      </c>
      <c r="C11" s="147">
        <f ca="1">IF(OR('Données projet'!B14="",'Données projet'!C14="",'Données projet'!C14=0%),0,Calculateur!DT3)</f>
        <v>186.90852124957956</v>
      </c>
      <c r="D11" s="147">
        <f>IF(OR('Données projet'!B14="",'Données projet'!C14="",'Données projet'!C14=0%),0,Calculateur!DU3)</f>
        <v>93.013797128776446</v>
      </c>
      <c r="E11" s="147">
        <f t="shared" ca="1" si="0"/>
        <v>93.013797128776446</v>
      </c>
      <c r="F11" s="147">
        <f t="shared" ca="1" si="1"/>
        <v>9.7562171808373623</v>
      </c>
      <c r="G11" s="147">
        <f ca="1">F11*(100%-'Données projet'!$C$24)*(100%-'Données projet'!$C$25)*(100%-'Données projet'!$C$26)*(100%-'Données projet'!$C$27)</f>
        <v>7.9025359164782634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7.9025359164782634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Cormier</v>
      </c>
      <c r="B12" s="154">
        <f>'Données projet'!D15</f>
        <v>0.10489000000000001</v>
      </c>
      <c r="C12" s="147">
        <f ca="1">IF(OR('Données projet'!B15="",'Données projet'!C15="",'Données projet'!C15=0%),0,Calculateur!EO3)</f>
        <v>217.10418688911096</v>
      </c>
      <c r="D12" s="147">
        <f>IF(OR('Données projet'!B15="",'Données projet'!C15="",'Données projet'!C15=0%),0,Calculateur!EP3)</f>
        <v>105.90631421515786</v>
      </c>
      <c r="E12" s="147">
        <f t="shared" ca="1" si="0"/>
        <v>105.90631421515786</v>
      </c>
      <c r="F12" s="147">
        <f t="shared" ca="1" si="1"/>
        <v>11.10851329802791</v>
      </c>
      <c r="G12" s="147">
        <f ca="1">F12*(100%-'Données projet'!$C$24)*(100%-'Données projet'!$C$25)*(100%-'Données projet'!$C$26)*(100%-'Données projet'!$C$27)</f>
        <v>8.9978957714026073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8.9978957714026073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1684.988698594281</v>
      </c>
      <c r="G16" s="166">
        <f t="shared" ca="1" si="3"/>
        <v>1364.8408458613678</v>
      </c>
      <c r="H16" s="167">
        <f t="shared" si="3"/>
        <v>30.800482825325076</v>
      </c>
      <c r="I16" s="167">
        <f t="shared" si="3"/>
        <v>24.948391088513311</v>
      </c>
      <c r="J16" s="168">
        <f t="shared" si="3"/>
        <v>286.75457540000002</v>
      </c>
      <c r="K16" s="168">
        <f t="shared" si="3"/>
        <v>232.27120607400005</v>
      </c>
      <c r="L16" s="169">
        <f t="shared" ca="1" si="3"/>
        <v>1622.0604430238809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taeda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Bouleau verruqueux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6" zoomScale="80" zoomScaleNormal="80" workbookViewId="0">
      <selection activeCell="T26" sqref="T26:V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189.09933852873434</v>
      </c>
      <c r="U10" s="178">
        <f>'Données projet'!D9</f>
        <v>5.1396100000000002</v>
      </c>
      <c r="V10" s="177">
        <f>U10*T10</f>
        <v>971.89685129566828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-1528.0366611644681</v>
      </c>
      <c r="U11" s="178">
        <f>'Données projet'!D10</f>
        <v>1.1537900000000001</v>
      </c>
      <c r="V11" s="177">
        <f t="shared" ref="V11" si="0">U11*T11</f>
        <v>-1763.0334192849518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taeda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-384.6701023794767</v>
      </c>
      <c r="U12" s="178">
        <f>'Données projet'!D11</f>
        <v>1.4684600000000003</v>
      </c>
      <c r="V12" s="177">
        <f t="shared" ref="V12:V19" si="1">U12*T12</f>
        <v>-564.87265854016653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-2108.6171990910316</v>
      </c>
      <c r="U13" s="178">
        <f>'Données projet'!D12</f>
        <v>2.20269</v>
      </c>
      <c r="V13" s="177">
        <f t="shared" si="1"/>
        <v>-4644.6300182658242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Bouleau verruqueux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-726.52233610331575</v>
      </c>
      <c r="U14" s="178">
        <f>'Données projet'!D13</f>
        <v>0.31467000000000001</v>
      </c>
      <c r="V14" s="177">
        <f t="shared" si="1"/>
        <v>-228.61478350163037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-2860.6171990910316</v>
      </c>
      <c r="U15" s="178">
        <f>'Données projet'!D14</f>
        <v>0.10489000000000001</v>
      </c>
      <c r="V15" s="177">
        <f t="shared" si="1"/>
        <v>-300.05013801265835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>Cormier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-3228.6171990910316</v>
      </c>
      <c r="U16" s="178">
        <f>'Données projet'!D15</f>
        <v>0.10489000000000001</v>
      </c>
      <c r="V16" s="177">
        <f t="shared" si="1"/>
        <v>-338.64965801265834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1120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3200.0000000000045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467+302</f>
        <v>769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400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-25992.276696658344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16</v>
      </c>
      <c r="B24" s="181">
        <f>'Données projet'!D37</f>
        <v>8</v>
      </c>
      <c r="C24" s="193">
        <v>8</v>
      </c>
      <c r="D24" s="182">
        <f t="shared" ref="D24:D42" si="2">B24*C24</f>
        <v>64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992.15797582082837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14</v>
      </c>
      <c r="C25" s="193">
        <v>8</v>
      </c>
      <c r="D25" s="182">
        <f t="shared" si="2"/>
        <v>112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-26984.434672479172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24</v>
      </c>
      <c r="B26" s="181">
        <f>'Données projet'!D39</f>
        <v>20</v>
      </c>
      <c r="C26" s="193">
        <v>15</v>
      </c>
      <c r="D26" s="182">
        <f t="shared" si="2"/>
        <v>300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28</v>
      </c>
      <c r="B27" s="181">
        <f>'Données projet'!D40</f>
        <v>23</v>
      </c>
      <c r="C27" s="193">
        <v>15</v>
      </c>
      <c r="D27" s="182">
        <f t="shared" si="2"/>
        <v>345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34</v>
      </c>
      <c r="B28" s="181">
        <f>'Données projet'!D41</f>
        <v>38</v>
      </c>
      <c r="C28" s="193">
        <v>15</v>
      </c>
      <c r="D28" s="182">
        <f t="shared" si="2"/>
        <v>570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31</v>
      </c>
      <c r="C29" s="193">
        <v>20</v>
      </c>
      <c r="D29" s="182">
        <f t="shared" si="2"/>
        <v>620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46</v>
      </c>
      <c r="B30" s="181">
        <f>'Données projet'!D43</f>
        <v>23</v>
      </c>
      <c r="C30" s="193">
        <v>30</v>
      </c>
      <c r="D30" s="182">
        <f t="shared" si="2"/>
        <v>690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54</v>
      </c>
      <c r="B31" s="181">
        <f>'Données projet'!D44</f>
        <v>22</v>
      </c>
      <c r="C31" s="193">
        <v>35</v>
      </c>
      <c r="D31" s="182">
        <f t="shared" si="2"/>
        <v>770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62</v>
      </c>
      <c r="B32" s="181">
        <f>'Données projet'!D45</f>
        <v>241</v>
      </c>
      <c r="C32" s="193">
        <v>40</v>
      </c>
      <c r="D32" s="182">
        <f t="shared" si="2"/>
        <v>9640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2160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50</v>
      </c>
      <c r="C54" s="191">
        <v>8</v>
      </c>
      <c r="D54" s="179">
        <f>B54*C54</f>
        <v>400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74</v>
      </c>
      <c r="C55" s="191">
        <v>8</v>
      </c>
      <c r="D55" s="179">
        <f t="shared" ref="D55:D73" si="4">B55*C55</f>
        <v>592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69</v>
      </c>
      <c r="C56" s="191">
        <v>8</v>
      </c>
      <c r="D56" s="179">
        <f t="shared" si="4"/>
        <v>552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59</v>
      </c>
      <c r="C57" s="191">
        <v>12</v>
      </c>
      <c r="D57" s="179">
        <f t="shared" si="4"/>
        <v>708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47</v>
      </c>
      <c r="C58" s="191">
        <v>18</v>
      </c>
      <c r="D58" s="179">
        <f t="shared" si="4"/>
        <v>846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37</v>
      </c>
      <c r="C59" s="191">
        <v>25</v>
      </c>
      <c r="D59" s="179">
        <f t="shared" si="4"/>
        <v>925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28</v>
      </c>
      <c r="C60" s="191">
        <v>30</v>
      </c>
      <c r="D60" s="179">
        <f t="shared" si="4"/>
        <v>840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248</v>
      </c>
      <c r="C61" s="191">
        <v>35</v>
      </c>
      <c r="D61" s="179">
        <f t="shared" si="4"/>
        <v>8680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taeda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1104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3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70</v>
      </c>
      <c r="C86" s="191">
        <v>8</v>
      </c>
      <c r="D86" s="179">
        <f t="shared" ref="D86:D104" si="6">B86*C86</f>
        <v>560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70</v>
      </c>
      <c r="C87" s="191">
        <v>8</v>
      </c>
      <c r="D87" s="179">
        <f t="shared" si="6"/>
        <v>560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70</v>
      </c>
      <c r="C88" s="191">
        <v>15</v>
      </c>
      <c r="D88" s="179">
        <f t="shared" si="6"/>
        <v>1050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57</v>
      </c>
      <c r="C89" s="191">
        <v>15</v>
      </c>
      <c r="D89" s="179">
        <f t="shared" si="6"/>
        <v>855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44</v>
      </c>
      <c r="C90" s="191">
        <v>15</v>
      </c>
      <c r="D90" s="179">
        <f t="shared" si="6"/>
        <v>660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450</v>
      </c>
      <c r="C91" s="191">
        <v>20</v>
      </c>
      <c r="D91" s="179">
        <f t="shared" si="6"/>
        <v>9000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>
        <v>30</v>
      </c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>
        <v>35</v>
      </c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>
        <v>40</v>
      </c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2592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25</v>
      </c>
      <c r="B116" s="181">
        <f>'Données projet'!D114</f>
        <v>0</v>
      </c>
      <c r="C116" s="191">
        <v>8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0</v>
      </c>
      <c r="C117" s="191">
        <v>12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27</v>
      </c>
      <c r="C118" s="191">
        <v>15</v>
      </c>
      <c r="D118" s="179">
        <f t="shared" si="8"/>
        <v>405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14</v>
      </c>
      <c r="C119" s="191">
        <v>20</v>
      </c>
      <c r="D119" s="179">
        <f t="shared" si="8"/>
        <v>280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28</v>
      </c>
      <c r="C120" s="191">
        <v>25</v>
      </c>
      <c r="D120" s="179">
        <f t="shared" si="8"/>
        <v>700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28</v>
      </c>
      <c r="C121" s="191">
        <v>30</v>
      </c>
      <c r="D121" s="179">
        <f t="shared" si="8"/>
        <v>840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28</v>
      </c>
      <c r="C122" s="191">
        <v>35</v>
      </c>
      <c r="D122" s="179">
        <f t="shared" si="8"/>
        <v>980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28</v>
      </c>
      <c r="C123" s="191">
        <v>40</v>
      </c>
      <c r="D123" s="179">
        <f t="shared" si="8"/>
        <v>1120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28</v>
      </c>
      <c r="C124" s="191">
        <v>50</v>
      </c>
      <c r="D124" s="179">
        <f t="shared" si="8"/>
        <v>1400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27</v>
      </c>
      <c r="C125" s="191">
        <v>60</v>
      </c>
      <c r="D125" s="179">
        <f t="shared" si="8"/>
        <v>1620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234</v>
      </c>
      <c r="C126" s="191">
        <v>180</v>
      </c>
      <c r="D126" s="179">
        <f t="shared" si="8"/>
        <v>42120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Bouleau verruqueux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2400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43</v>
      </c>
      <c r="C147" s="191">
        <v>10</v>
      </c>
      <c r="D147" s="182">
        <f>B147*C147</f>
        <v>430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56</v>
      </c>
      <c r="C148" s="191">
        <v>20</v>
      </c>
      <c r="D148" s="182">
        <f t="shared" ref="D148:D166" si="10">B148*C148</f>
        <v>1120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56</v>
      </c>
      <c r="C149" s="191">
        <v>30</v>
      </c>
      <c r="D149" s="182">
        <f t="shared" si="10"/>
        <v>1680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39</v>
      </c>
      <c r="C150" s="191">
        <v>40</v>
      </c>
      <c r="D150" s="182">
        <f t="shared" si="10"/>
        <v>1560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25</v>
      </c>
      <c r="C151" s="191">
        <v>50</v>
      </c>
      <c r="D151" s="182">
        <f t="shared" si="10"/>
        <v>1250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21</v>
      </c>
      <c r="C152" s="191">
        <v>60</v>
      </c>
      <c r="D152" s="182">
        <f t="shared" si="10"/>
        <v>1260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284</v>
      </c>
      <c r="C153" s="191">
        <v>70</v>
      </c>
      <c r="D153" s="182">
        <f t="shared" si="10"/>
        <v>19880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v>70</v>
      </c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3344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25</v>
      </c>
      <c r="B178" s="181">
        <f>'Données projet'!D166</f>
        <v>0</v>
      </c>
      <c r="C178" s="193">
        <v>8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0</v>
      </c>
      <c r="C179" s="193">
        <v>12</v>
      </c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27</v>
      </c>
      <c r="C180" s="193">
        <v>15</v>
      </c>
      <c r="D180" s="179">
        <f t="shared" si="11"/>
        <v>405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14</v>
      </c>
      <c r="C181" s="193">
        <v>20</v>
      </c>
      <c r="D181" s="179">
        <f t="shared" si="11"/>
        <v>280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28</v>
      </c>
      <c r="C182" s="193">
        <v>25</v>
      </c>
      <c r="D182" s="179">
        <f t="shared" si="11"/>
        <v>700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28</v>
      </c>
      <c r="C183" s="193">
        <v>30</v>
      </c>
      <c r="D183" s="179">
        <f t="shared" si="11"/>
        <v>840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28</v>
      </c>
      <c r="C184" s="193">
        <v>35</v>
      </c>
      <c r="D184" s="179">
        <f t="shared" si="11"/>
        <v>980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90</v>
      </c>
      <c r="B185" s="181">
        <f>'Données projet'!D173</f>
        <v>28</v>
      </c>
      <c r="C185" s="193">
        <v>40</v>
      </c>
      <c r="D185" s="179">
        <f t="shared" si="11"/>
        <v>1120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100</v>
      </c>
      <c r="B186" s="181">
        <f>'Données projet'!D174</f>
        <v>28</v>
      </c>
      <c r="C186" s="193">
        <v>50</v>
      </c>
      <c r="D186" s="179">
        <f t="shared" si="11"/>
        <v>1400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110</v>
      </c>
      <c r="B187" s="181">
        <f>'Données projet'!D175</f>
        <v>27</v>
      </c>
      <c r="C187" s="193">
        <v>60</v>
      </c>
      <c r="D187" s="179">
        <f t="shared" si="11"/>
        <v>1620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120</v>
      </c>
      <c r="B188" s="181">
        <f>'Données projet'!D176</f>
        <v>234</v>
      </c>
      <c r="C188" s="193">
        <v>180</v>
      </c>
      <c r="D188" s="179">
        <f t="shared" si="11"/>
        <v>42120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3712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25</v>
      </c>
      <c r="B209" s="181">
        <f>'Données projet'!D192</f>
        <v>0</v>
      </c>
      <c r="C209" s="193">
        <v>8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0</v>
      </c>
      <c r="C210" s="193">
        <v>12</v>
      </c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27</v>
      </c>
      <c r="C211" s="193">
        <v>15</v>
      </c>
      <c r="D211" s="179">
        <f t="shared" si="12"/>
        <v>405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14</v>
      </c>
      <c r="C212" s="193">
        <v>20</v>
      </c>
      <c r="D212" s="179">
        <f t="shared" si="12"/>
        <v>280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28</v>
      </c>
      <c r="C213" s="193">
        <v>25</v>
      </c>
      <c r="D213" s="179">
        <f t="shared" si="12"/>
        <v>700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28</v>
      </c>
      <c r="C214" s="193">
        <v>30</v>
      </c>
      <c r="D214" s="179">
        <f t="shared" si="12"/>
        <v>840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28</v>
      </c>
      <c r="C215" s="193">
        <v>35</v>
      </c>
      <c r="D215" s="179">
        <f t="shared" si="12"/>
        <v>980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90</v>
      </c>
      <c r="B216" s="181">
        <f>'Données projet'!D199</f>
        <v>28</v>
      </c>
      <c r="C216" s="193">
        <v>40</v>
      </c>
      <c r="D216" s="179">
        <f t="shared" si="12"/>
        <v>1120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100</v>
      </c>
      <c r="B217" s="181">
        <f>'Données projet'!D200</f>
        <v>28</v>
      </c>
      <c r="C217" s="193">
        <v>50</v>
      </c>
      <c r="D217" s="179">
        <f t="shared" si="12"/>
        <v>1400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110</v>
      </c>
      <c r="B218" s="181">
        <f>'Données projet'!D201</f>
        <v>27</v>
      </c>
      <c r="C218" s="193">
        <v>60</v>
      </c>
      <c r="D218" s="179">
        <f t="shared" si="12"/>
        <v>1620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120</v>
      </c>
      <c r="B219" s="181">
        <f>'Données projet'!D202</f>
        <v>234</v>
      </c>
      <c r="C219" s="193">
        <v>180</v>
      </c>
      <c r="D219" s="179">
        <f t="shared" si="12"/>
        <v>42120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dcterms:created xsi:type="dcterms:W3CDTF">2021-02-01T08:22:39Z</dcterms:created>
  <dcterms:modified xsi:type="dcterms:W3CDTF">2023-01-06T11:47:38Z</dcterms:modified>
</cp:coreProperties>
</file>