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Val de Seine-Normandie\LBC 2022 Bizou\"/>
    </mc:Choice>
  </mc:AlternateContent>
  <xr:revisionPtr revIDLastSave="0" documentId="13_ncr:1_{08CE11EC-958F-4CAE-A524-DCE4282B3EC5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2" i="1" l="1"/>
  <c r="B146" i="1"/>
  <c r="D146" i="1" s="1"/>
  <c r="B70" i="1"/>
  <c r="B69" i="1"/>
  <c r="B68" i="1"/>
  <c r="B67" i="1"/>
  <c r="B66" i="1"/>
  <c r="B65" i="1"/>
  <c r="B64" i="1"/>
  <c r="B63" i="1"/>
  <c r="B121" i="1"/>
  <c r="D121" i="1" s="1"/>
  <c r="D120" i="1"/>
  <c r="D119" i="1"/>
  <c r="D118" i="1"/>
  <c r="D117" i="1"/>
  <c r="D116" i="1"/>
  <c r="D115" i="1"/>
  <c r="B98" i="1" l="1"/>
  <c r="D98" i="1" s="1"/>
  <c r="D97" i="1"/>
  <c r="D96" i="1"/>
  <c r="D95" i="1"/>
  <c r="D94" i="1"/>
  <c r="D93" i="1"/>
  <c r="D92" i="1"/>
  <c r="D91" i="1"/>
  <c r="D90" i="1"/>
  <c r="D89" i="1"/>
  <c r="B42" i="1"/>
  <c r="D42" i="1" s="1"/>
  <c r="D41" i="1"/>
  <c r="D40" i="1"/>
  <c r="D39" i="1"/>
  <c r="D38" i="1"/>
  <c r="D37" i="1"/>
  <c r="D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EG205" i="2"/>
  <c r="DL205" i="2"/>
  <c r="P33" i="6" l="1"/>
  <c r="CQ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192" i="1"/>
  <c r="I166" i="1"/>
  <c r="I140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193" i="1"/>
  <c r="CR3" i="2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O13" i="2"/>
  <c r="BB13" i="2"/>
  <c r="DL13" i="2"/>
  <c r="BK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L23" i="2"/>
  <c r="CF23" i="2"/>
  <c r="CG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W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ER33" i="2"/>
  <c r="J12" i="4" s="1"/>
  <c r="K12" i="4" s="1"/>
  <c r="DV33" i="2"/>
  <c r="DM33" i="2"/>
  <c r="DA33" i="2"/>
  <c r="GH33" i="2"/>
  <c r="J14" i="4" s="1"/>
  <c r="K14" i="4" s="1"/>
  <c r="FL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O33" i="2"/>
  <c r="BK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ER43" i="2"/>
  <c r="DM43" i="2"/>
  <c r="DV43" i="2"/>
  <c r="DA43" i="2"/>
  <c r="CQ43" i="2"/>
  <c r="BL43" i="2"/>
  <c r="CF43" i="2"/>
  <c r="BB43" i="2"/>
  <c r="CG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ER53" i="2"/>
  <c r="DV53" i="2"/>
  <c r="DM53" i="2"/>
  <c r="DA53" i="2"/>
  <c r="EU53" i="2"/>
  <c r="EG53" i="2"/>
  <c r="DW53" i="2"/>
  <c r="DB53" i="2"/>
  <c r="GH53" i="2"/>
  <c r="FL53" i="2"/>
  <c r="DZ53" i="2"/>
  <c r="DE53" i="2"/>
  <c r="DL53" i="2"/>
  <c r="CQ53" i="2"/>
  <c r="CG53" i="2"/>
  <c r="BO53" i="2"/>
  <c r="BK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ER63" i="2"/>
  <c r="DM63" i="2"/>
  <c r="DV63" i="2"/>
  <c r="BL63" i="2"/>
  <c r="CQ63" i="2"/>
  <c r="CF63" i="2"/>
  <c r="BB63" i="2"/>
  <c r="DA63" i="2"/>
  <c r="CG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EQ73" i="2"/>
  <c r="EH73" i="2"/>
  <c r="CJ73" i="2"/>
  <c r="HB73" i="2"/>
  <c r="GS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O73" i="2"/>
  <c r="BK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W155" i="2"/>
  <c r="EA155" i="2"/>
  <c r="ED154" i="2"/>
  <c r="DI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FS156" i="2" l="1"/>
  <c r="EX156" i="2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EC157" i="2"/>
  <c r="EB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D161" i="2" s="1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EC162" i="2"/>
  <c r="DI161" i="2"/>
  <c r="EB162" i="2"/>
  <c r="HH162" i="2"/>
  <c r="HG162" i="2"/>
  <c r="FS162" i="2"/>
  <c r="AU162" i="2"/>
  <c r="EX162" i="2"/>
  <c r="EY162" i="2" s="1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S164" i="2"/>
  <c r="DI163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D165" i="2" s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EX167" i="2"/>
  <c r="EC167" i="2"/>
  <c r="EA167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W168" i="2"/>
  <c r="EB168" i="2"/>
  <c r="DI167" i="2"/>
  <c r="DG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EW178" i="2"/>
  <c r="EA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A179" i="2"/>
  <c r="ED179" i="2" s="1"/>
  <c r="DF179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EA185" i="2"/>
  <c r="EB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FR186" i="2"/>
  <c r="EW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EC192" i="2"/>
  <c r="ED192" i="2" s="1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FQ194" i="2"/>
  <c r="EA194" i="2"/>
  <c r="ED194" i="2" s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FQ195" i="2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Y196" i="2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B199" i="2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CS6" i="2" a="1"/>
  <c r="CS6" i="2" s="1"/>
  <c r="CS5" i="2" a="1"/>
  <c r="CS5" i="2" s="1"/>
  <c r="CT5" i="2" s="1"/>
  <c r="AX199" i="2"/>
  <c r="EW202" i="2" l="1"/>
  <c r="EY201" i="2"/>
  <c r="FR202" i="2"/>
  <c r="EX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144" i="2" s="1" a="1"/>
  <c r="FD144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68" i="2" a="1"/>
  <c r="BC68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29" i="2" a="1"/>
  <c r="EI29" i="2" s="1"/>
  <c r="EI145" i="2" a="1"/>
  <c r="EI145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55" i="2" a="1"/>
  <c r="BC55" i="2" s="1"/>
  <c r="BC164" i="2" a="1"/>
  <c r="BC164" i="2" s="1"/>
  <c r="BC7" i="2" a="1"/>
  <c r="BC7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AX200" i="2"/>
  <c r="EI178" i="2" l="1" a="1"/>
  <c r="EI178" i="2" s="1"/>
  <c r="EI153" i="2" a="1"/>
  <c r="EI153" i="2" s="1"/>
  <c r="FD137" i="2" a="1"/>
  <c r="FD137" i="2" s="1"/>
  <c r="FD159" i="2" a="1"/>
  <c r="FD159" i="2" s="1"/>
  <c r="EI162" i="2" a="1"/>
  <c r="EI162" i="2" s="1"/>
  <c r="EI150" i="2" a="1"/>
  <c r="EI150" i="2" s="1"/>
  <c r="EI106" i="2" a="1"/>
  <c r="EI106" i="2" s="1"/>
  <c r="EI166" i="2" a="1"/>
  <c r="EI166" i="2" s="1"/>
  <c r="EI198" i="2" a="1"/>
  <c r="EI198" i="2" s="1"/>
  <c r="FD107" i="2" a="1"/>
  <c r="FD107" i="2" s="1"/>
  <c r="FD167" i="2" a="1"/>
  <c r="FD167" i="2" s="1"/>
  <c r="FD131" i="2" a="1"/>
  <c r="FD131" i="2" s="1"/>
  <c r="FD187" i="2" a="1"/>
  <c r="FD187" i="2" s="1"/>
  <c r="FD189" i="2" a="1"/>
  <c r="FD189" i="2" s="1"/>
  <c r="FD194" i="2" a="1"/>
  <c r="FD194" i="2" s="1"/>
  <c r="FD188" i="2" a="1"/>
  <c r="FD188" i="2" s="1"/>
  <c r="FD160" i="2" a="1"/>
  <c r="FD160" i="2" s="1"/>
  <c r="FR203" i="2"/>
  <c r="FT203" i="2" s="1"/>
  <c r="EY202" i="2"/>
  <c r="BC151" i="2" a="1"/>
  <c r="BC151" i="2" s="1"/>
  <c r="BC192" i="2" a="1"/>
  <c r="BC192" i="2" s="1"/>
  <c r="BC47" i="2" a="1"/>
  <c r="BC47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185" i="2" a="1"/>
  <c r="BC185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I203" i="2" s="1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159" i="2" a="1"/>
  <c r="BX159" i="2" s="1"/>
  <c r="BX152" i="2" a="1"/>
  <c r="BX152" i="2" s="1"/>
  <c r="BX155" i="2" a="1"/>
  <c r="BX155" i="2" s="1"/>
  <c r="BX117" i="2" a="1"/>
  <c r="BX117" i="2" s="1"/>
  <c r="BX96" i="2" a="1"/>
  <c r="BX96" i="2" s="1"/>
  <c r="BX158" i="2" a="1"/>
  <c r="BX158" i="2" s="1"/>
  <c r="BX142" i="2" a="1"/>
  <c r="BX142" i="2" s="1"/>
  <c r="BX125" i="2" a="1"/>
  <c r="BX125" i="2" s="1"/>
  <c r="BX163" i="2" a="1"/>
  <c r="BX163" i="2" s="1"/>
  <c r="BX100" i="2" a="1"/>
  <c r="BX100" i="2" s="1"/>
  <c r="BX177" i="2" a="1"/>
  <c r="BX177" i="2" s="1"/>
  <c r="BX157" i="2" a="1"/>
  <c r="BX157" i="2" s="1"/>
  <c r="BX136" i="2" a="1"/>
  <c r="BX136" i="2" s="1"/>
  <c r="BX182" i="2" a="1"/>
  <c r="BX182" i="2" s="1"/>
  <c r="BX110" i="2" a="1"/>
  <c r="BX110" i="2" s="1"/>
  <c r="BX197" i="2" a="1"/>
  <c r="BX197" i="2" s="1"/>
  <c r="BX146" i="2" a="1"/>
  <c r="BX146" i="2" s="1"/>
  <c r="BX171" i="2" a="1"/>
  <c r="BX171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D86" i="2" a="1"/>
  <c r="FD86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38" i="2" a="1"/>
  <c r="FD138" i="2" s="1"/>
  <c r="FD176" i="2" a="1"/>
  <c r="FD176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136" i="2" a="1"/>
  <c r="FD136" i="2" s="1"/>
  <c r="FD100" i="2" a="1"/>
  <c r="FD100" i="2" s="1"/>
  <c r="FD148" i="2" a="1"/>
  <c r="FD148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AH63" i="2" a="1"/>
  <c r="AH63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126" i="2" a="1"/>
  <c r="FD12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98" i="2" a="1"/>
  <c r="FD98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172" i="2" a="1"/>
  <c r="FD172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Y52" i="2" a="1"/>
  <c r="FY52" i="2" s="1"/>
  <c r="AH40" i="2" a="1"/>
  <c r="AH40" i="2" s="1"/>
  <c r="AH148" i="2" a="1"/>
  <c r="AH148" i="2" s="1"/>
  <c r="GT23" i="2" a="1"/>
  <c r="GT23" i="2" s="1"/>
  <c r="BX104" i="2" a="1"/>
  <c r="BX104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101" i="2" a="1"/>
  <c r="FD101" i="2" s="1"/>
  <c r="FY199" i="2" a="1"/>
  <c r="FY199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111" i="2" a="1"/>
  <c r="FD111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87" i="2" a="1"/>
  <c r="FD87" i="2" s="1"/>
  <c r="FD198" i="2" a="1"/>
  <c r="FD198" i="2" s="1"/>
  <c r="FD92" i="2" a="1"/>
  <c r="FD92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C16" i="2" a="1"/>
  <c r="BC16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123" i="2" a="1"/>
  <c r="FD123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EJ9" i="2" l="1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EJ10" i="2" l="1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EJ11" i="2" l="1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EJ12" i="2" l="1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EJ13" i="2" l="1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EJ14" i="2" l="1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EJ15" i="2" l="1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EJ16" i="2" l="1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EJ17" i="2" l="1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EJ18" i="2" l="1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EJ19" i="2" l="1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EJ20" i="2" l="1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EJ21" i="2" l="1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EJ22" i="2" l="1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EJ23" i="2" l="1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EJ24" i="2" l="1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EJ25" i="2" l="1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EJ26" i="2" l="1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EJ27" i="2" l="1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EJ28" i="2" l="1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EJ29" i="2" l="1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EJ30" i="2" l="1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EJ31" i="2" l="1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EJ32" i="2" l="1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EJ33" i="2" l="1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EJ34" i="2" l="1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EJ36" i="2" l="1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EJ37" i="2" l="1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EJ38" i="2" l="1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EJ39" i="2" l="1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EJ40" i="2" l="1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EJ41" i="2" l="1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EJ42" i="2" l="1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EJ43" i="2" l="1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EJ44" i="2" l="1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EJ45" i="2" l="1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EJ46" i="2" l="1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EJ47" i="2" l="1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EJ48" i="2" l="1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EJ49" i="2" l="1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EJ50" i="2" l="1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EJ51" i="2" l="1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EJ52" i="2" l="1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EJ53" i="2" l="1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EJ54" i="2" l="1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EJ55" i="2" l="1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EJ56" i="2" l="1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EJ57" i="2" l="1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EJ58" i="2" l="1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EJ59" i="2" l="1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EJ60" i="2" l="1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EJ61" i="2" l="1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EJ62" i="2" l="1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EJ63" i="2" l="1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EJ64" i="2" l="1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EJ66" i="2" l="1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EJ67" i="2" l="1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EJ68" i="2" l="1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EJ69" i="2" l="1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EJ70" i="2" l="1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EJ71" i="2" l="1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EJ72" i="2" l="1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EJ73" i="2" l="1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EJ74" i="2" l="1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EJ75" i="2" l="1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EJ76" i="2" l="1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EJ77" i="2" l="1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EJ78" i="2" l="1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EJ79" i="2" l="1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EJ80" i="2" l="1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EJ81" i="2" l="1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EJ82" i="2" l="1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EJ83" i="2" l="1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EJ84" i="2" l="1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EJ85" i="2" l="1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EJ86" i="2" l="1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EJ87" i="2" l="1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EJ88" i="2" l="1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EJ89" i="2" l="1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EJ90" i="2" l="1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EJ91" i="2" l="1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EJ92" i="2" l="1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EJ93" i="2" l="1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EJ94" i="2" l="1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EJ95" i="2" l="1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EJ96" i="2" l="1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EJ97" i="2" l="1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EJ98" i="2" l="1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EJ99" i="2" l="1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EJ100" i="2" l="1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EJ101" i="2" l="1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EJ102" i="2" l="1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EJ103" i="2" l="1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EJ104" i="2" l="1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EJ106" i="2" l="1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EJ107" i="2" l="1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EJ108" i="2" l="1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EJ109" i="2" l="1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EJ110" i="2" l="1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EJ111" i="2" l="1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EJ112" i="2" l="1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EJ113" i="2" l="1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EJ114" i="2" l="1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EJ115" i="2" l="1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EJ116" i="2" l="1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EJ117" i="2" l="1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EJ118" i="2" l="1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EJ119" i="2" l="1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EJ120" i="2" l="1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EJ121" i="2" l="1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EJ122" i="2" l="1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EJ123" i="2" l="1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EJ124" i="2" l="1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EJ125" i="2" l="1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EJ126" i="2" l="1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EJ127" i="2" l="1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EJ128" i="2" l="1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EJ129" i="2" l="1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EJ130" i="2" l="1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EJ131" i="2" l="1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EJ132" i="2" l="1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EJ133" i="2" l="1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EJ134" i="2" l="1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EJ135" i="2" l="1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EJ136" i="2" l="1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EJ137" i="2" l="1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EJ138" i="2" l="1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EJ139" i="2" l="1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EJ140" i="2" l="1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EJ141" i="2" l="1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EJ142" i="2" l="1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EJ143" i="2" l="1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EJ144" i="2" l="1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EJ145" i="2" l="1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EJ146" i="2" l="1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EJ147" i="2" l="1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EJ148" i="2" l="1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EJ149" i="2" l="1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EJ150" i="2" l="1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EJ151" i="2" l="1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EJ152" i="2" l="1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EJ153" i="2" l="1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EJ154" i="2" l="1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EJ155" i="2" l="1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EJ156" i="2" l="1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EJ157" i="2" l="1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EJ158" i="2" l="1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EJ159" i="2" l="1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EJ160" i="2" l="1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EJ161" i="2" l="1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EJ162" i="2" l="1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EJ163" i="2" l="1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EJ164" i="2" l="1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EJ165" i="2" l="1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EJ166" i="2" l="1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EJ167" i="2" l="1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EJ168" i="2" l="1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EJ169" i="2" l="1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EJ170" i="2" l="1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EJ171" i="2" l="1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EJ172" i="2" l="1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EJ173" i="2" l="1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EJ174" i="2" l="1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EJ175" i="2" l="1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EJ176" i="2" l="1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EJ177" i="2" l="1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EJ178" i="2" l="1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EJ179" i="2" l="1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EJ180" i="2" l="1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EJ181" i="2" l="1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EJ182" i="2" l="1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EJ183" i="2" l="1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EJ184" i="2" l="1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EJ185" i="2" l="1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EJ186" i="2" l="1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EJ187" i="2" l="1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EJ188" i="2" l="1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EJ189" i="2" l="1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EJ190" i="2" l="1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EJ191" i="2" l="1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EJ193" i="2" l="1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EJ194" i="2" l="1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EJ195" i="2" l="1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EJ196" i="2" l="1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EJ197" i="2" l="1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EJ198" i="2" l="1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EJ199" i="2" l="1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EJ200" i="2" l="1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EJ201" i="2" l="1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EJ202" i="2" l="1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EJ203" i="2" l="1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36" i="2" l="1"/>
  <c r="BI127" i="2"/>
  <c r="BI154" i="2"/>
  <c r="BI140" i="2"/>
  <c r="BI20" i="2"/>
  <c r="BI158" i="2"/>
  <c r="BI111" i="2"/>
  <c r="BI168" i="2"/>
  <c r="BI104" i="2"/>
  <c r="BI91" i="2"/>
  <c r="BI97" i="2"/>
  <c r="BI34" i="2"/>
  <c r="BI198" i="2"/>
  <c r="BI191" i="2"/>
  <c r="BI163" i="2"/>
  <c r="BI112" i="2"/>
  <c r="BI47" i="2"/>
  <c r="BI159" i="2"/>
  <c r="BI109" i="2"/>
  <c r="BI57" i="2"/>
  <c r="BI45" i="2"/>
  <c r="BI82" i="2"/>
  <c r="BI22" i="2"/>
  <c r="BI160" i="2"/>
  <c r="BI128" i="2"/>
  <c r="BI149" i="2"/>
  <c r="BI7" i="2"/>
  <c r="BI12" i="2"/>
  <c r="BI40" i="2"/>
  <c r="BI26" i="2"/>
  <c r="BI63" i="2"/>
  <c r="BI24" i="2"/>
  <c r="BI43" i="2"/>
  <c r="BI170" i="2"/>
  <c r="BI95" i="2"/>
  <c r="BI102" i="2"/>
  <c r="BI177" i="2"/>
  <c r="BI142" i="2"/>
  <c r="BI136" i="2"/>
  <c r="BI80" i="2"/>
  <c r="BI60" i="2"/>
  <c r="BI117" i="2"/>
  <c r="BI133" i="2"/>
  <c r="BI70" i="2"/>
  <c r="BI172" i="2"/>
  <c r="BI178" i="2"/>
  <c r="BI107" i="2"/>
  <c r="BI184" i="2"/>
  <c r="BI131" i="2"/>
  <c r="BI201" i="2"/>
  <c r="BI105" i="2"/>
  <c r="BI151" i="2"/>
  <c r="BI183" i="2"/>
  <c r="BI48" i="2"/>
  <c r="BI173" i="2"/>
  <c r="BI76" i="2"/>
  <c r="BI152" i="2"/>
  <c r="BI197" i="2"/>
  <c r="BI51" i="2"/>
  <c r="BI101" i="2"/>
  <c r="BI193" i="2"/>
  <c r="BI175" i="2"/>
  <c r="BI68" i="2"/>
  <c r="BI35" i="2"/>
  <c r="BI137" i="2"/>
  <c r="BI93" i="2"/>
  <c r="BI53" i="2"/>
  <c r="BI114" i="2"/>
  <c r="BI99" i="2"/>
  <c r="BI164" i="2"/>
  <c r="BI33" i="2"/>
  <c r="BI46" i="2"/>
  <c r="BI61" i="2"/>
  <c r="BI87" i="2"/>
  <c r="BI59" i="2"/>
  <c r="BI77" i="2"/>
  <c r="BI106" i="2"/>
  <c r="BI150" i="2"/>
  <c r="BI79" i="2"/>
  <c r="BI153" i="2"/>
  <c r="BI100" i="2"/>
  <c r="BI145" i="2"/>
  <c r="BI179" i="2"/>
  <c r="BI8" i="2"/>
  <c r="BI17" i="2"/>
  <c r="BI141" i="2"/>
  <c r="BI126" i="2"/>
  <c r="BI31" i="2"/>
  <c r="BI120" i="2"/>
  <c r="BI4" i="2"/>
  <c r="BI202" i="2"/>
  <c r="BI180" i="2"/>
  <c r="BI9" i="2"/>
  <c r="BI14" i="2"/>
  <c r="BI194" i="2"/>
  <c r="BI62" i="2"/>
  <c r="BI113" i="2"/>
  <c r="BI86" i="2"/>
  <c r="BI187" i="2"/>
  <c r="BI132" i="2"/>
  <c r="BI96" i="2"/>
  <c r="BI78" i="2"/>
  <c r="BI39" i="2"/>
  <c r="BI64" i="2"/>
  <c r="BI30" i="2"/>
  <c r="BI92" i="2"/>
  <c r="BI166" i="2"/>
  <c r="BI84" i="2"/>
  <c r="BI189" i="2"/>
  <c r="BI190" i="2"/>
  <c r="BI27" i="2"/>
  <c r="BI103" i="2"/>
  <c r="BI85" i="2"/>
  <c r="BI11" i="2"/>
  <c r="BI83" i="2"/>
  <c r="BI121" i="2"/>
  <c r="BI66" i="2"/>
  <c r="BI144" i="2"/>
  <c r="BI196" i="2"/>
  <c r="BI129" i="2"/>
  <c r="BI147" i="2"/>
  <c r="BI199" i="2"/>
  <c r="BI65" i="2"/>
  <c r="BI135" i="2"/>
  <c r="BI73" i="2"/>
  <c r="BI162" i="2"/>
  <c r="BI90" i="2"/>
  <c r="BI165" i="2"/>
  <c r="BI71" i="2"/>
  <c r="BI155" i="2"/>
  <c r="BI125" i="2"/>
  <c r="BI6" i="2"/>
  <c r="BI21" i="2"/>
  <c r="BI38" i="2"/>
  <c r="BI54" i="2"/>
  <c r="BI25" i="2"/>
  <c r="BI176" i="2"/>
  <c r="BI56" i="2"/>
  <c r="BI5" i="2"/>
  <c r="BI169" i="2"/>
  <c r="BI44" i="2"/>
  <c r="BI185" i="2"/>
  <c r="BI94" i="2"/>
  <c r="BI174" i="2"/>
  <c r="BI69" i="2"/>
  <c r="BI72" i="2"/>
  <c r="BI28" i="2"/>
  <c r="BI124" i="2"/>
  <c r="BI52" i="2"/>
  <c r="BI123" i="2"/>
  <c r="BI118" i="2"/>
  <c r="BI42" i="2"/>
  <c r="BI23" i="2"/>
  <c r="BI16" i="2"/>
  <c r="BI157" i="2"/>
  <c r="BI13" i="2"/>
  <c r="BI134" i="2"/>
  <c r="BI15" i="2"/>
  <c r="BI110" i="2"/>
  <c r="BI89" i="2"/>
  <c r="BI98" i="2"/>
  <c r="BI10" i="2"/>
  <c r="BI67" i="2"/>
  <c r="BI171" i="2"/>
  <c r="BI19" i="2"/>
  <c r="BI58" i="2"/>
  <c r="BI41" i="2"/>
  <c r="BI203" i="2"/>
  <c r="BI75" i="2"/>
  <c r="BI18" i="2"/>
  <c r="BI156" i="2"/>
  <c r="BI3" i="2"/>
  <c r="C8" i="4" s="1"/>
  <c r="E8" i="4" s="1"/>
  <c r="F8" i="4" s="1"/>
  <c r="G8" i="4" s="1"/>
  <c r="L8" i="4" s="1"/>
  <c r="BI192" i="2"/>
  <c r="BI161" i="2"/>
  <c r="BI119" i="2"/>
  <c r="BI186" i="2"/>
  <c r="BI49" i="2"/>
  <c r="BI195" i="2"/>
  <c r="BI143" i="2"/>
  <c r="BI50" i="2"/>
  <c r="BI181" i="2"/>
  <c r="BI37" i="2"/>
  <c r="BI188" i="2"/>
  <c r="BI130" i="2"/>
  <c r="BI167" i="2"/>
  <c r="BI88" i="2"/>
  <c r="BI148" i="2"/>
  <c r="BI200" i="2"/>
  <c r="BI139" i="2"/>
  <c r="BI32" i="2"/>
  <c r="BI115" i="2"/>
  <c r="BI146" i="2"/>
  <c r="BI182" i="2"/>
  <c r="BI29" i="2"/>
  <c r="BI74" i="2"/>
  <c r="BI81" i="2"/>
  <c r="BI116" i="2"/>
  <c r="BI108" i="2"/>
  <c r="BI55" i="2"/>
  <c r="BI122" i="2"/>
  <c r="BI138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FB28" i="2" l="1"/>
  <c r="FB73" i="2"/>
  <c r="FB53" i="2"/>
  <c r="FB63" i="2"/>
  <c r="FB43" i="2"/>
  <c r="FB33" i="2"/>
  <c r="I221" i="1"/>
  <c r="I224" i="1"/>
  <c r="FC83" i="2" s="1"/>
  <c r="I220" i="1"/>
  <c r="FC33" i="2" s="1"/>
  <c r="FC43" i="2"/>
  <c r="I222" i="1"/>
  <c r="FC63" i="2" s="1"/>
  <c r="I223" i="1"/>
  <c r="FC48" i="2" s="1"/>
  <c r="I219" i="1"/>
  <c r="FB205" i="2"/>
  <c r="I218" i="1"/>
  <c r="FC73" i="2" l="1"/>
  <c r="FC53" i="2"/>
  <c r="FC38" i="2"/>
  <c r="FC28" i="2"/>
  <c r="FC25" i="2"/>
  <c r="FD32" i="2" a="1"/>
  <c r="FD32" i="2" s="1"/>
  <c r="FD46" i="2" a="1"/>
  <c r="FD46" i="2" s="1"/>
  <c r="FD51" i="2" a="1"/>
  <c r="FD51" i="2" s="1"/>
  <c r="FD50" i="2" a="1"/>
  <c r="FD50" i="2" s="1"/>
  <c r="FD54" i="2" a="1"/>
  <c r="FD54" i="2" s="1"/>
  <c r="FD59" i="2" a="1"/>
  <c r="FD59" i="2" s="1"/>
  <c r="FD57" i="2" a="1"/>
  <c r="FD57" i="2" s="1"/>
  <c r="FD62" i="2" a="1"/>
  <c r="FD62" i="2" s="1"/>
  <c r="FD56" i="2" a="1"/>
  <c r="FD56" i="2" s="1"/>
  <c r="FD61" i="2" a="1"/>
  <c r="FD61" i="2" s="1"/>
  <c r="FD63" i="2" a="1"/>
  <c r="FD63" i="2" s="1"/>
  <c r="FD65" i="2" a="1"/>
  <c r="FD65" i="2" s="1"/>
  <c r="FD75" i="2" a="1"/>
  <c r="FD75" i="2" s="1"/>
  <c r="FD79" i="2" a="1"/>
  <c r="FD79" i="2" s="1"/>
  <c r="FD77" i="2" a="1"/>
  <c r="FD77" i="2" s="1"/>
  <c r="FD82" i="2" a="1"/>
  <c r="FD82" i="2" s="1"/>
  <c r="FD74" i="2" a="1"/>
  <c r="FD74" i="2" s="1"/>
  <c r="FD80" i="2" a="1"/>
  <c r="FD80" i="2" s="1"/>
  <c r="FD73" i="2" a="1"/>
  <c r="FD73" i="2" s="1"/>
  <c r="FD76" i="2" a="1"/>
  <c r="FD76" i="2" s="1"/>
  <c r="FD78" i="2" a="1"/>
  <c r="FD78" i="2" s="1"/>
  <c r="FD81" i="2" a="1"/>
  <c r="FD81" i="2" s="1"/>
  <c r="FD83" i="2" a="1"/>
  <c r="FD83" i="2" s="1"/>
  <c r="FD67" i="2" a="1"/>
  <c r="FD67" i="2" s="1"/>
  <c r="FD40" i="2" a="1"/>
  <c r="FD40" i="2" s="1"/>
  <c r="FD31" i="2" a="1"/>
  <c r="FD31" i="2" s="1"/>
  <c r="FD70" i="2" a="1"/>
  <c r="FD70" i="2" s="1"/>
  <c r="FD66" i="2" a="1"/>
  <c r="FD66" i="2" s="1"/>
  <c r="FD37" i="2" a="1"/>
  <c r="FD37" i="2" s="1"/>
  <c r="FD72" i="2" a="1"/>
  <c r="FD72" i="2" s="1"/>
  <c r="FD29" i="2" a="1"/>
  <c r="FD29" i="2" s="1"/>
  <c r="FD69" i="2" a="1"/>
  <c r="FD69" i="2" s="1"/>
  <c r="FD64" i="2" a="1"/>
  <c r="FD64" i="2" s="1"/>
  <c r="FD43" i="2" a="1"/>
  <c r="FD43" i="2" s="1"/>
  <c r="FD30" i="2" a="1"/>
  <c r="FD30" i="2" s="1"/>
  <c r="FD68" i="2" a="1"/>
  <c r="FD68" i="2" s="1"/>
  <c r="FD33" i="2" a="1"/>
  <c r="FD33" i="2" s="1"/>
  <c r="FD71" i="2" a="1"/>
  <c r="FD71" i="2" s="1"/>
  <c r="FD35" i="2" a="1"/>
  <c r="FD35" i="2" s="1"/>
  <c r="FD16" i="2" a="1"/>
  <c r="FD16" i="2" s="1"/>
  <c r="FD5" i="2" a="1"/>
  <c r="FD5" i="2" s="1"/>
  <c r="FD19" i="2" a="1"/>
  <c r="FD19" i="2" s="1"/>
  <c r="FD14" i="2" a="1"/>
  <c r="FD14" i="2" s="1"/>
  <c r="FD18" i="2" a="1"/>
  <c r="FD18" i="2" s="1"/>
  <c r="FD28" i="2" a="1"/>
  <c r="FD28" i="2" s="1"/>
  <c r="FD27" i="2" a="1"/>
  <c r="FD27" i="2" s="1"/>
  <c r="FD24" i="2" a="1"/>
  <c r="FD24" i="2" s="1"/>
  <c r="FD13" i="2" a="1"/>
  <c r="FD13" i="2" s="1"/>
  <c r="FD25" i="2" a="1"/>
  <c r="FD25" i="2" s="1"/>
  <c r="FD26" i="2" a="1"/>
  <c r="FD26" i="2" s="1"/>
  <c r="FD10" i="2" a="1"/>
  <c r="FD10" i="2" s="1"/>
  <c r="FD12" i="2" a="1"/>
  <c r="FD12" i="2" s="1"/>
  <c r="FD4" i="2" a="1"/>
  <c r="FD4" i="2" s="1"/>
  <c r="FE4" i="2" s="1"/>
  <c r="FD9" i="2" a="1"/>
  <c r="FD9" i="2" s="1"/>
  <c r="FD23" i="2" a="1"/>
  <c r="FD23" i="2" s="1"/>
  <c r="FD8" i="2" a="1"/>
  <c r="FD8" i="2" s="1"/>
  <c r="FD7" i="2" a="1"/>
  <c r="FD7" i="2" s="1"/>
  <c r="FD6" i="2" a="1"/>
  <c r="FD6" i="2" s="1"/>
  <c r="FD15" i="2" a="1"/>
  <c r="FD15" i="2" s="1"/>
  <c r="FD11" i="2" a="1"/>
  <c r="FD11" i="2" s="1"/>
  <c r="FD21" i="2" a="1"/>
  <c r="FD21" i="2" s="1"/>
  <c r="FD22" i="2" a="1"/>
  <c r="FD22" i="2" s="1"/>
  <c r="FD17" i="2" a="1"/>
  <c r="FD17" i="2" s="1"/>
  <c r="FD20" i="2" a="1"/>
  <c r="FD20" i="2" s="1"/>
  <c r="FD60" i="2" a="1"/>
  <c r="FD60" i="2" s="1"/>
  <c r="FD34" i="2" a="1"/>
  <c r="FD34" i="2" s="1"/>
  <c r="FD52" i="2" a="1"/>
  <c r="FD52" i="2" s="1"/>
  <c r="FD42" i="2" a="1"/>
  <c r="FD42" i="2" s="1"/>
  <c r="FD49" i="2" a="1"/>
  <c r="FD49" i="2" s="1"/>
  <c r="FD47" i="2" a="1"/>
  <c r="FD47" i="2" s="1"/>
  <c r="FD53" i="2" a="1"/>
  <c r="FD53" i="2" s="1"/>
  <c r="FD44" i="2" a="1"/>
  <c r="FD44" i="2" s="1"/>
  <c r="FD55" i="2" a="1"/>
  <c r="FD55" i="2" s="1"/>
  <c r="FD38" i="2" a="1"/>
  <c r="FD38" i="2" s="1"/>
  <c r="FD48" i="2" a="1"/>
  <c r="FD48" i="2" s="1"/>
  <c r="FD41" i="2" a="1"/>
  <c r="FD41" i="2" s="1"/>
  <c r="FD36" i="2" a="1"/>
  <c r="FD36" i="2" s="1"/>
  <c r="FD45" i="2" a="1"/>
  <c r="FD45" i="2" s="1"/>
  <c r="FD58" i="2" a="1"/>
  <c r="FD58" i="2" s="1"/>
  <c r="FD39" i="2" a="1"/>
  <c r="FD39" i="2" s="1"/>
  <c r="FE5" i="2" l="1"/>
  <c r="FF4" i="2"/>
  <c r="FG4" i="2" l="1"/>
  <c r="FH4" i="2" s="1"/>
  <c r="FI4" i="2" s="1"/>
  <c r="FF5" i="2"/>
  <c r="FE6" i="2"/>
  <c r="FG5" i="2" l="1"/>
  <c r="FH5" i="2" s="1"/>
  <c r="FI5" i="2" s="1"/>
  <c r="FE7" i="2"/>
  <c r="FF6" i="2"/>
  <c r="FF7" i="2" l="1"/>
  <c r="FE8" i="2"/>
  <c r="FG6" i="2"/>
  <c r="FH6" i="2" s="1"/>
  <c r="FI6" i="2" s="1"/>
  <c r="FF8" i="2" l="1"/>
  <c r="FE9" i="2"/>
  <c r="FG7" i="2"/>
  <c r="FH7" i="2" s="1"/>
  <c r="FI7" i="2" s="1"/>
  <c r="FF9" i="2" l="1"/>
  <c r="FE10" i="2"/>
  <c r="FG8" i="2"/>
  <c r="FH8" i="2" s="1"/>
  <c r="FI8" i="2" s="1"/>
  <c r="FE11" i="2" l="1"/>
  <c r="FF10" i="2"/>
  <c r="FG9" i="2"/>
  <c r="FH9" i="2" s="1"/>
  <c r="FI9" i="2" s="1"/>
  <c r="FG10" i="2" l="1"/>
  <c r="FH10" i="2" s="1"/>
  <c r="FI10" i="2" s="1"/>
  <c r="FE12" i="2"/>
  <c r="FF11" i="2"/>
  <c r="FG11" i="2" l="1"/>
  <c r="FH11" i="2" s="1"/>
  <c r="FI11" i="2" s="1"/>
  <c r="FE13" i="2"/>
  <c r="FF12" i="2"/>
  <c r="FG12" i="2" l="1"/>
  <c r="FH12" i="2" s="1"/>
  <c r="FI12" i="2" s="1"/>
  <c r="FE14" i="2"/>
  <c r="FF13" i="2"/>
  <c r="FG13" i="2" l="1"/>
  <c r="FH13" i="2" s="1"/>
  <c r="FI13" i="2" s="1"/>
  <c r="FF14" i="2"/>
  <c r="FE15" i="2"/>
  <c r="FF15" i="2" l="1"/>
  <c r="FE16" i="2"/>
  <c r="FG14" i="2"/>
  <c r="FH14" i="2" s="1"/>
  <c r="FI14" i="2" s="1"/>
  <c r="FF16" i="2" l="1"/>
  <c r="FE17" i="2"/>
  <c r="FG15" i="2"/>
  <c r="FH15" i="2" s="1"/>
  <c r="FI15" i="2" s="1"/>
  <c r="FF17" i="2" l="1"/>
  <c r="FE18" i="2"/>
  <c r="FG16" i="2"/>
  <c r="FH16" i="2" s="1"/>
  <c r="FI16" i="2" s="1"/>
  <c r="FE19" i="2" l="1"/>
  <c r="FF18" i="2"/>
  <c r="FG17" i="2"/>
  <c r="FH17" i="2" s="1"/>
  <c r="FI17" i="2" s="1"/>
  <c r="FG18" i="2" l="1"/>
  <c r="FH18" i="2" s="1"/>
  <c r="FI18" i="2" s="1"/>
  <c r="FF19" i="2"/>
  <c r="FE20" i="2"/>
  <c r="FG19" i="2" l="1"/>
  <c r="FH19" i="2" s="1"/>
  <c r="FI19" i="2" s="1"/>
  <c r="FE21" i="2"/>
  <c r="FF20" i="2"/>
  <c r="FF21" i="2" l="1"/>
  <c r="FE22" i="2"/>
  <c r="FG20" i="2"/>
  <c r="FH20" i="2" s="1"/>
  <c r="FI20" i="2" s="1"/>
  <c r="FF22" i="2" l="1"/>
  <c r="FE23" i="2"/>
  <c r="FG21" i="2"/>
  <c r="FH21" i="2" s="1"/>
  <c r="FI21" i="2" s="1"/>
  <c r="FE24" i="2" l="1"/>
  <c r="FF23" i="2"/>
  <c r="FG22" i="2"/>
  <c r="FH22" i="2" s="1"/>
  <c r="FI22" i="2" s="1"/>
  <c r="FG23" i="2" l="1"/>
  <c r="FH23" i="2" s="1"/>
  <c r="FI23" i="2" s="1"/>
  <c r="FF24" i="2"/>
  <c r="FE25" i="2"/>
  <c r="FG24" i="2" l="1"/>
  <c r="FH24" i="2" s="1"/>
  <c r="FI24" i="2" s="1"/>
  <c r="FE26" i="2"/>
  <c r="FF25" i="2"/>
  <c r="FG25" i="2" l="1"/>
  <c r="FH25" i="2" s="1"/>
  <c r="FI25" i="2" s="1"/>
  <c r="FE27" i="2"/>
  <c r="FF26" i="2"/>
  <c r="FG26" i="2" l="1"/>
  <c r="FH26" i="2" s="1"/>
  <c r="FI26" i="2" s="1"/>
  <c r="FF27" i="2"/>
  <c r="FE28" i="2"/>
  <c r="FF28" i="2" l="1"/>
  <c r="FE29" i="2"/>
  <c r="FG27" i="2"/>
  <c r="FH27" i="2" s="1"/>
  <c r="FI27" i="2" s="1"/>
  <c r="FF29" i="2" l="1"/>
  <c r="FE30" i="2"/>
  <c r="FG28" i="2"/>
  <c r="FH28" i="2" s="1"/>
  <c r="FI28" i="2" s="1"/>
  <c r="FF30" i="2" l="1"/>
  <c r="FE31" i="2"/>
  <c r="FG29" i="2"/>
  <c r="FH29" i="2" s="1"/>
  <c r="FI29" i="2" s="1"/>
  <c r="FF31" i="2" l="1"/>
  <c r="FE32" i="2"/>
  <c r="FG30" i="2"/>
  <c r="FH30" i="2" s="1"/>
  <c r="FI30" i="2" s="1"/>
  <c r="FF32" i="2" l="1"/>
  <c r="FE33" i="2"/>
  <c r="FG31" i="2"/>
  <c r="FH31" i="2" s="1"/>
  <c r="FI31" i="2" s="1"/>
  <c r="FF33" i="2" l="1"/>
  <c r="FE34" i="2"/>
  <c r="FG32" i="2"/>
  <c r="FH32" i="2" s="1"/>
  <c r="FI32" i="2" s="1"/>
  <c r="FF34" i="2" l="1"/>
  <c r="FE35" i="2"/>
  <c r="FG33" i="2"/>
  <c r="FH33" i="2" s="1"/>
  <c r="FI33" i="2" s="1"/>
  <c r="FK3" i="2" s="1"/>
  <c r="D13" i="4" l="1"/>
  <c r="FK126" i="2"/>
  <c r="FK110" i="2"/>
  <c r="FK87" i="2"/>
  <c r="FK149" i="2"/>
  <c r="FK165" i="2"/>
  <c r="FK108" i="2"/>
  <c r="FK61" i="2"/>
  <c r="FK106" i="2"/>
  <c r="FK112" i="2"/>
  <c r="FK115" i="2"/>
  <c r="FK37" i="2"/>
  <c r="FK23" i="2"/>
  <c r="FK197" i="2"/>
  <c r="FK160" i="2"/>
  <c r="FK29" i="2"/>
  <c r="FK14" i="2"/>
  <c r="FK171" i="2"/>
  <c r="FK100" i="2"/>
  <c r="FK178" i="2"/>
  <c r="FK54" i="2"/>
  <c r="FK9" i="2"/>
  <c r="FK127" i="2"/>
  <c r="FK33" i="2"/>
  <c r="FK143" i="2"/>
  <c r="FK123" i="2"/>
  <c r="FK21" i="2"/>
  <c r="FK163" i="2"/>
  <c r="FK176" i="2"/>
  <c r="FK136" i="2"/>
  <c r="FK125" i="2"/>
  <c r="FK121" i="2"/>
  <c r="FK55" i="2"/>
  <c r="FK99" i="2"/>
  <c r="FK192" i="2"/>
  <c r="FK199" i="2"/>
  <c r="FK159" i="2"/>
  <c r="FK94" i="2"/>
  <c r="FK145" i="2"/>
  <c r="FK48" i="2"/>
  <c r="FK50" i="2"/>
  <c r="FK41" i="2"/>
  <c r="FK198" i="2"/>
  <c r="FK40" i="2"/>
  <c r="FK15" i="2"/>
  <c r="FK164" i="2"/>
  <c r="FK97" i="2"/>
  <c r="FK124" i="2"/>
  <c r="FK7" i="2"/>
  <c r="FK101" i="2"/>
  <c r="FK16" i="2"/>
  <c r="FK140" i="2"/>
  <c r="FK122" i="2"/>
  <c r="FK43" i="2"/>
  <c r="FK27" i="2"/>
  <c r="FK114" i="2"/>
  <c r="FK147" i="2"/>
  <c r="FK91" i="2"/>
  <c r="FK96" i="2"/>
  <c r="FK138" i="2"/>
  <c r="FK203" i="2"/>
  <c r="FK65" i="2"/>
  <c r="FK58" i="2"/>
  <c r="FK133" i="2"/>
  <c r="FK71" i="2"/>
  <c r="FK174" i="2"/>
  <c r="FK30" i="2"/>
  <c r="FK179" i="2"/>
  <c r="FK18" i="2"/>
  <c r="FK64" i="2"/>
  <c r="FK161" i="2"/>
  <c r="FK42" i="2"/>
  <c r="FK146" i="2"/>
  <c r="FK20" i="2"/>
  <c r="FK25" i="2"/>
  <c r="FK26" i="2"/>
  <c r="FK117" i="2"/>
  <c r="FK158" i="2"/>
  <c r="FK85" i="2"/>
  <c r="FK169" i="2"/>
  <c r="FK157" i="2"/>
  <c r="FK44" i="2"/>
  <c r="FK73" i="2"/>
  <c r="FK191" i="2"/>
  <c r="FK202" i="2"/>
  <c r="FK177" i="2"/>
  <c r="FK109" i="2"/>
  <c r="FK118" i="2"/>
  <c r="FK45" i="2"/>
  <c r="FK168" i="2"/>
  <c r="FK5" i="2"/>
  <c r="FK34" i="2"/>
  <c r="FK59" i="2"/>
  <c r="FK38" i="2"/>
  <c r="FK187" i="2"/>
  <c r="FK186" i="2"/>
  <c r="FK62" i="2"/>
  <c r="FK79" i="2"/>
  <c r="FK103" i="2"/>
  <c r="FK36" i="2"/>
  <c r="FK111" i="2"/>
  <c r="FK90" i="2"/>
  <c r="FK76" i="2"/>
  <c r="FK89" i="2"/>
  <c r="FK77" i="2"/>
  <c r="FK137" i="2"/>
  <c r="FK13" i="2"/>
  <c r="FK173" i="2"/>
  <c r="FK150" i="2"/>
  <c r="FK78" i="2"/>
  <c r="FK10" i="2"/>
  <c r="FK92" i="2"/>
  <c r="FK170" i="2"/>
  <c r="FK56" i="2"/>
  <c r="FK47" i="2"/>
  <c r="FK156" i="2"/>
  <c r="FK166" i="2"/>
  <c r="FK148" i="2"/>
  <c r="FK12" i="2"/>
  <c r="FK128" i="2"/>
  <c r="FK81" i="2"/>
  <c r="FK193" i="2"/>
  <c r="FK57" i="2"/>
  <c r="FK98" i="2"/>
  <c r="FK24" i="2"/>
  <c r="FK49" i="2"/>
  <c r="FK172" i="2"/>
  <c r="FK88" i="2"/>
  <c r="FK105" i="2"/>
  <c r="FK144" i="2"/>
  <c r="FK28" i="2"/>
  <c r="FK75" i="2"/>
  <c r="FK86" i="2"/>
  <c r="FK135" i="2"/>
  <c r="FK181" i="2"/>
  <c r="FK194" i="2"/>
  <c r="FK74" i="2"/>
  <c r="FK60" i="2"/>
  <c r="FK132" i="2"/>
  <c r="FK52" i="2"/>
  <c r="FK153" i="2"/>
  <c r="FK104" i="2"/>
  <c r="FK32" i="2"/>
  <c r="FK116" i="2"/>
  <c r="FK82" i="2"/>
  <c r="FK83" i="2"/>
  <c r="FK22" i="2"/>
  <c r="FK72" i="2"/>
  <c r="FK93" i="2"/>
  <c r="FK4" i="2"/>
  <c r="FK134" i="2"/>
  <c r="FK131" i="2"/>
  <c r="FK53" i="2"/>
  <c r="FK95" i="2"/>
  <c r="FK6" i="2"/>
  <c r="FK120" i="2"/>
  <c r="FK201" i="2"/>
  <c r="FK80" i="2"/>
  <c r="FK200" i="2"/>
  <c r="FK188" i="2"/>
  <c r="FK63" i="2"/>
  <c r="FK184" i="2"/>
  <c r="FK107" i="2"/>
  <c r="FK19" i="2"/>
  <c r="FK142" i="2"/>
  <c r="FK66" i="2"/>
  <c r="FK84" i="2"/>
  <c r="FK155" i="2"/>
  <c r="FK152" i="2"/>
  <c r="FK17" i="2"/>
  <c r="FK69" i="2"/>
  <c r="FK129" i="2"/>
  <c r="FK67" i="2"/>
  <c r="FK175" i="2"/>
  <c r="FK139" i="2"/>
  <c r="FK119" i="2"/>
  <c r="FK180" i="2"/>
  <c r="FK70" i="2"/>
  <c r="FK183" i="2"/>
  <c r="FK113" i="2"/>
  <c r="FK151" i="2"/>
  <c r="FK154" i="2"/>
  <c r="FK182" i="2"/>
  <c r="FK196" i="2"/>
  <c r="FK39" i="2"/>
  <c r="FK185" i="2"/>
  <c r="FK46" i="2"/>
  <c r="FK51" i="2"/>
  <c r="FK8" i="2"/>
  <c r="FK162" i="2"/>
  <c r="FK189" i="2"/>
  <c r="FK102" i="2"/>
  <c r="FK195" i="2"/>
  <c r="FK190" i="2"/>
  <c r="FK68" i="2"/>
  <c r="FK35" i="2"/>
  <c r="FK167" i="2"/>
  <c r="FK31" i="2"/>
  <c r="FK141" i="2"/>
  <c r="FK11" i="2"/>
  <c r="FK130" i="2"/>
  <c r="FF35" i="2"/>
  <c r="FE36" i="2"/>
  <c r="FG34" i="2"/>
  <c r="FH34" i="2" s="1"/>
  <c r="FI34" i="2" s="1"/>
  <c r="FF36" i="2" l="1"/>
  <c r="FE37" i="2"/>
  <c r="FG35" i="2"/>
  <c r="FH35" i="2" s="1"/>
  <c r="FI35" i="2" s="1"/>
  <c r="FF37" i="2" l="1"/>
  <c r="FE38" i="2"/>
  <c r="FG36" i="2"/>
  <c r="FH36" i="2" s="1"/>
  <c r="FI36" i="2" s="1"/>
  <c r="FF38" i="2" l="1"/>
  <c r="FE39" i="2"/>
  <c r="FG37" i="2"/>
  <c r="FH37" i="2" s="1"/>
  <c r="FI37" i="2" s="1"/>
  <c r="FF39" i="2" l="1"/>
  <c r="FE40" i="2"/>
  <c r="FG38" i="2"/>
  <c r="FH38" i="2" s="1"/>
  <c r="FI38" i="2" s="1"/>
  <c r="FF40" i="2" l="1"/>
  <c r="FE41" i="2"/>
  <c r="FG39" i="2"/>
  <c r="FH39" i="2" s="1"/>
  <c r="FI39" i="2" s="1"/>
  <c r="FF41" i="2" l="1"/>
  <c r="FE42" i="2"/>
  <c r="FG40" i="2"/>
  <c r="FH40" i="2" s="1"/>
  <c r="FI40" i="2" s="1"/>
  <c r="FF42" i="2" l="1"/>
  <c r="FE43" i="2"/>
  <c r="FG41" i="2"/>
  <c r="FH41" i="2" s="1"/>
  <c r="FI41" i="2" s="1"/>
  <c r="FF43" i="2" l="1"/>
  <c r="FE44" i="2"/>
  <c r="FG42" i="2"/>
  <c r="FH42" i="2" s="1"/>
  <c r="FI42" i="2" s="1"/>
  <c r="FF44" i="2" l="1"/>
  <c r="FE45" i="2"/>
  <c r="FG43" i="2"/>
  <c r="FH43" i="2" s="1"/>
  <c r="FI43" i="2" s="1"/>
  <c r="FF45" i="2" l="1"/>
  <c r="FE46" i="2"/>
  <c r="FG44" i="2"/>
  <c r="FH44" i="2" s="1"/>
  <c r="FI44" i="2" s="1"/>
  <c r="FF46" i="2" l="1"/>
  <c r="FE47" i="2"/>
  <c r="FG45" i="2"/>
  <c r="FH45" i="2" s="1"/>
  <c r="FI45" i="2" s="1"/>
  <c r="FF47" i="2" l="1"/>
  <c r="FE48" i="2"/>
  <c r="FG46" i="2"/>
  <c r="FH46" i="2" s="1"/>
  <c r="FI46" i="2" s="1"/>
  <c r="FF48" i="2" l="1"/>
  <c r="FE49" i="2"/>
  <c r="FG47" i="2"/>
  <c r="FH47" i="2" s="1"/>
  <c r="FI47" i="2" s="1"/>
  <c r="FF49" i="2" l="1"/>
  <c r="FE50" i="2"/>
  <c r="FG48" i="2"/>
  <c r="FH48" i="2" s="1"/>
  <c r="FI48" i="2" s="1"/>
  <c r="FF50" i="2" l="1"/>
  <c r="FE51" i="2"/>
  <c r="FG49" i="2"/>
  <c r="FH49" i="2" s="1"/>
  <c r="FI49" i="2" s="1"/>
  <c r="FF51" i="2" l="1"/>
  <c r="FE52" i="2"/>
  <c r="FG50" i="2"/>
  <c r="FH50" i="2" s="1"/>
  <c r="FI50" i="2" s="1"/>
  <c r="FF52" i="2" l="1"/>
  <c r="FE53" i="2"/>
  <c r="FG51" i="2"/>
  <c r="FH51" i="2" s="1"/>
  <c r="FI51" i="2" s="1"/>
  <c r="FF53" i="2" l="1"/>
  <c r="FE54" i="2"/>
  <c r="FG52" i="2"/>
  <c r="FH52" i="2" s="1"/>
  <c r="FI52" i="2" s="1"/>
  <c r="FF54" i="2" l="1"/>
  <c r="FE55" i="2"/>
  <c r="FG53" i="2"/>
  <c r="FH53" i="2" s="1"/>
  <c r="FI53" i="2" s="1"/>
  <c r="FF55" i="2" l="1"/>
  <c r="FE56" i="2"/>
  <c r="FG54" i="2"/>
  <c r="FH54" i="2" s="1"/>
  <c r="FI54" i="2" s="1"/>
  <c r="FF56" i="2" l="1"/>
  <c r="FE57" i="2"/>
  <c r="FG55" i="2"/>
  <c r="FH55" i="2" s="1"/>
  <c r="FI55" i="2" s="1"/>
  <c r="FF57" i="2" l="1"/>
  <c r="FE58" i="2"/>
  <c r="FG56" i="2"/>
  <c r="FH56" i="2" s="1"/>
  <c r="FI56" i="2" s="1"/>
  <c r="FF58" i="2" l="1"/>
  <c r="FE59" i="2"/>
  <c r="FG57" i="2"/>
  <c r="FH57" i="2" s="1"/>
  <c r="FI57" i="2" s="1"/>
  <c r="FF59" i="2" l="1"/>
  <c r="FE60" i="2"/>
  <c r="FG58" i="2"/>
  <c r="FH58" i="2" s="1"/>
  <c r="FI58" i="2" s="1"/>
  <c r="FF60" i="2" l="1"/>
  <c r="FE61" i="2"/>
  <c r="FG59" i="2"/>
  <c r="FH59" i="2" s="1"/>
  <c r="FI59" i="2" s="1"/>
  <c r="FF61" i="2" l="1"/>
  <c r="FE62" i="2"/>
  <c r="FG60" i="2"/>
  <c r="FH60" i="2" s="1"/>
  <c r="FI60" i="2" s="1"/>
  <c r="FF62" i="2" l="1"/>
  <c r="FE63" i="2"/>
  <c r="FG61" i="2"/>
  <c r="FH61" i="2" s="1"/>
  <c r="FI61" i="2" s="1"/>
  <c r="FF63" i="2" l="1"/>
  <c r="FE64" i="2"/>
  <c r="FG62" i="2"/>
  <c r="FH62" i="2" s="1"/>
  <c r="FI62" i="2" s="1"/>
  <c r="FF64" i="2" l="1"/>
  <c r="FE65" i="2"/>
  <c r="FG63" i="2"/>
  <c r="FH63" i="2" s="1"/>
  <c r="FI63" i="2" s="1"/>
  <c r="FF65" i="2" l="1"/>
  <c r="FE66" i="2"/>
  <c r="FG64" i="2"/>
  <c r="FH64" i="2" s="1"/>
  <c r="FI64" i="2" s="1"/>
  <c r="FF66" i="2" l="1"/>
  <c r="FE67" i="2"/>
  <c r="FG65" i="2"/>
  <c r="FH65" i="2" s="1"/>
  <c r="FI65" i="2" s="1"/>
  <c r="FF67" i="2" l="1"/>
  <c r="FE68" i="2"/>
  <c r="FG66" i="2"/>
  <c r="FH66" i="2" s="1"/>
  <c r="FI66" i="2" s="1"/>
  <c r="FF68" i="2" l="1"/>
  <c r="FE69" i="2"/>
  <c r="FG67" i="2"/>
  <c r="FH67" i="2" s="1"/>
  <c r="FI67" i="2" s="1"/>
  <c r="FF69" i="2" l="1"/>
  <c r="FE70" i="2"/>
  <c r="FG68" i="2"/>
  <c r="FH68" i="2" s="1"/>
  <c r="FI68" i="2" s="1"/>
  <c r="FF70" i="2" l="1"/>
  <c r="FE71" i="2"/>
  <c r="FG69" i="2"/>
  <c r="FH69" i="2" s="1"/>
  <c r="FI69" i="2" s="1"/>
  <c r="FF71" i="2" l="1"/>
  <c r="FE72" i="2"/>
  <c r="FG70" i="2"/>
  <c r="FH70" i="2" s="1"/>
  <c r="FI70" i="2" s="1"/>
  <c r="FG71" i="2" l="1"/>
  <c r="FH71" i="2" s="1"/>
  <c r="FI71" i="2" s="1"/>
  <c r="FF72" i="2"/>
  <c r="FE73" i="2"/>
  <c r="FF73" i="2" l="1"/>
  <c r="FE74" i="2"/>
  <c r="FG72" i="2"/>
  <c r="FH72" i="2" s="1"/>
  <c r="FI72" i="2" s="1"/>
  <c r="FF74" i="2" l="1"/>
  <c r="FE75" i="2"/>
  <c r="FG73" i="2"/>
  <c r="FH73" i="2" s="1"/>
  <c r="FI73" i="2" s="1"/>
  <c r="FF75" i="2" l="1"/>
  <c r="FE76" i="2"/>
  <c r="FG74" i="2"/>
  <c r="FH74" i="2" s="1"/>
  <c r="FI74" i="2" s="1"/>
  <c r="FF76" i="2" l="1"/>
  <c r="FE77" i="2"/>
  <c r="FG75" i="2"/>
  <c r="FH75" i="2" s="1"/>
  <c r="FI75" i="2" s="1"/>
  <c r="FF77" i="2" l="1"/>
  <c r="FE78" i="2"/>
  <c r="FG76" i="2"/>
  <c r="FH76" i="2" s="1"/>
  <c r="FI76" i="2" s="1"/>
  <c r="FF78" i="2" l="1"/>
  <c r="FE79" i="2"/>
  <c r="FG77" i="2"/>
  <c r="FH77" i="2" s="1"/>
  <c r="FI77" i="2" s="1"/>
  <c r="FF79" i="2" l="1"/>
  <c r="FE80" i="2"/>
  <c r="FG78" i="2"/>
  <c r="FH78" i="2" s="1"/>
  <c r="FI78" i="2" s="1"/>
  <c r="FF80" i="2" l="1"/>
  <c r="FE81" i="2"/>
  <c r="FG79" i="2"/>
  <c r="FH79" i="2" s="1"/>
  <c r="FI79" i="2" s="1"/>
  <c r="FF81" i="2" l="1"/>
  <c r="FE82" i="2"/>
  <c r="FG80" i="2"/>
  <c r="FH80" i="2" s="1"/>
  <c r="FI80" i="2" s="1"/>
  <c r="FF82" i="2" l="1"/>
  <c r="FE83" i="2"/>
  <c r="FG81" i="2"/>
  <c r="FH81" i="2" s="1"/>
  <c r="FI81" i="2" s="1"/>
  <c r="FF83" i="2" l="1"/>
  <c r="FE84" i="2"/>
  <c r="FG82" i="2"/>
  <c r="FH82" i="2" s="1"/>
  <c r="FI82" i="2" s="1"/>
  <c r="FF84" i="2" l="1"/>
  <c r="FE85" i="2"/>
  <c r="FG83" i="2"/>
  <c r="FH83" i="2" s="1"/>
  <c r="FI83" i="2" s="1"/>
  <c r="FJ150" i="2" l="1"/>
  <c r="FJ31" i="2"/>
  <c r="FJ36" i="2"/>
  <c r="FJ28" i="2"/>
  <c r="FJ194" i="2"/>
  <c r="FJ7" i="2"/>
  <c r="FJ71" i="2"/>
  <c r="FJ186" i="2"/>
  <c r="FJ182" i="2"/>
  <c r="FJ190" i="2"/>
  <c r="FJ127" i="2"/>
  <c r="FJ196" i="2"/>
  <c r="FJ80" i="2"/>
  <c r="FJ34" i="2"/>
  <c r="FJ201" i="2"/>
  <c r="FJ39" i="2"/>
  <c r="FJ55" i="2"/>
  <c r="FJ189" i="2"/>
  <c r="FJ193" i="2"/>
  <c r="FJ203" i="2"/>
  <c r="FJ21" i="2"/>
  <c r="FJ83" i="2"/>
  <c r="FJ99" i="2"/>
  <c r="FJ132" i="2"/>
  <c r="FJ144" i="2"/>
  <c r="FJ56" i="2"/>
  <c r="FJ116" i="2"/>
  <c r="FJ25" i="2"/>
  <c r="FJ134" i="2"/>
  <c r="FJ16" i="2"/>
  <c r="FJ137" i="2"/>
  <c r="FJ153" i="2"/>
  <c r="FJ124" i="2"/>
  <c r="FJ41" i="2"/>
  <c r="FJ100" i="2"/>
  <c r="FJ176" i="2"/>
  <c r="FJ148" i="2"/>
  <c r="FJ26" i="2"/>
  <c r="FJ72" i="2"/>
  <c r="FJ58" i="2"/>
  <c r="FJ103" i="2"/>
  <c r="FJ97" i="2"/>
  <c r="FJ112" i="2"/>
  <c r="FJ14" i="2"/>
  <c r="FJ84" i="2"/>
  <c r="FJ62" i="2"/>
  <c r="FJ5" i="2"/>
  <c r="FJ33" i="2"/>
  <c r="FJ133" i="2"/>
  <c r="FJ107" i="2"/>
  <c r="FJ69" i="2"/>
  <c r="FJ74" i="2"/>
  <c r="FJ20" i="2"/>
  <c r="FJ19" i="2"/>
  <c r="FJ49" i="2"/>
  <c r="FJ12" i="2"/>
  <c r="FJ174" i="2"/>
  <c r="FJ184" i="2"/>
  <c r="FJ60" i="2"/>
  <c r="FJ139" i="2"/>
  <c r="FJ119" i="2"/>
  <c r="FJ23" i="2"/>
  <c r="FJ35" i="2"/>
  <c r="FJ61" i="2"/>
  <c r="FJ110" i="2"/>
  <c r="FJ68" i="2"/>
  <c r="FJ53" i="2"/>
  <c r="FJ158" i="2"/>
  <c r="FJ197" i="2"/>
  <c r="FJ10" i="2"/>
  <c r="FJ117" i="2"/>
  <c r="FJ125" i="2"/>
  <c r="FJ95" i="2"/>
  <c r="FJ91" i="2"/>
  <c r="FJ48" i="2"/>
  <c r="FJ43" i="2"/>
  <c r="FJ178" i="2"/>
  <c r="FJ120" i="2"/>
  <c r="FJ73" i="2"/>
  <c r="FJ4" i="2"/>
  <c r="FJ52" i="2"/>
  <c r="FJ113" i="2"/>
  <c r="FJ109" i="2"/>
  <c r="FJ195" i="2"/>
  <c r="FJ129" i="2"/>
  <c r="FJ92" i="2"/>
  <c r="FJ123" i="2"/>
  <c r="FJ57" i="2"/>
  <c r="FJ87" i="2"/>
  <c r="FJ94" i="2"/>
  <c r="FJ141" i="2"/>
  <c r="FJ145" i="2"/>
  <c r="FJ22" i="2"/>
  <c r="FJ38" i="2"/>
  <c r="FJ37" i="2"/>
  <c r="FJ40" i="2"/>
  <c r="FJ102" i="2"/>
  <c r="FJ157" i="2"/>
  <c r="FJ104" i="2"/>
  <c r="FJ191" i="2"/>
  <c r="FJ173" i="2"/>
  <c r="FJ47" i="2"/>
  <c r="FJ29" i="2"/>
  <c r="FJ146" i="2"/>
  <c r="FJ45" i="2"/>
  <c r="FJ3" i="2"/>
  <c r="C13" i="4" s="1"/>
  <c r="E13" i="4" s="1"/>
  <c r="F13" i="4" s="1"/>
  <c r="FJ30" i="2"/>
  <c r="FJ187" i="2"/>
  <c r="FJ76" i="2"/>
  <c r="FJ188" i="2"/>
  <c r="FJ106" i="2"/>
  <c r="FJ136" i="2"/>
  <c r="FJ198" i="2"/>
  <c r="FJ108" i="2"/>
  <c r="FJ32" i="2"/>
  <c r="FJ135" i="2"/>
  <c r="FJ54" i="2"/>
  <c r="FJ88" i="2"/>
  <c r="FJ167" i="2"/>
  <c r="FJ63" i="2"/>
  <c r="FJ128" i="2"/>
  <c r="FJ171" i="2"/>
  <c r="FJ75" i="2"/>
  <c r="FJ179" i="2"/>
  <c r="FJ154" i="2"/>
  <c r="FJ142" i="2"/>
  <c r="FJ27" i="2"/>
  <c r="FJ96" i="2"/>
  <c r="FJ147" i="2"/>
  <c r="FJ149" i="2"/>
  <c r="FJ180" i="2"/>
  <c r="FJ183" i="2"/>
  <c r="FJ93" i="2"/>
  <c r="FJ59" i="2"/>
  <c r="FJ121" i="2"/>
  <c r="FJ151" i="2"/>
  <c r="FJ164" i="2"/>
  <c r="FJ143" i="2"/>
  <c r="FJ15" i="2"/>
  <c r="FJ65" i="2"/>
  <c r="FJ156" i="2"/>
  <c r="FJ81" i="2"/>
  <c r="FJ90" i="2"/>
  <c r="FJ160" i="2"/>
  <c r="FJ77" i="2"/>
  <c r="FJ168" i="2"/>
  <c r="FJ101" i="2"/>
  <c r="FJ85" i="2"/>
  <c r="FJ111" i="2"/>
  <c r="FJ6" i="2"/>
  <c r="FJ200" i="2"/>
  <c r="FJ17" i="2"/>
  <c r="FJ185" i="2"/>
  <c r="FJ66" i="2"/>
  <c r="FJ86" i="2"/>
  <c r="FJ70" i="2"/>
  <c r="FJ46" i="2"/>
  <c r="FJ155" i="2"/>
  <c r="FJ115" i="2"/>
  <c r="FJ130" i="2"/>
  <c r="FJ78" i="2"/>
  <c r="FJ166" i="2"/>
  <c r="FJ165" i="2"/>
  <c r="FJ67" i="2"/>
  <c r="FJ11" i="2"/>
  <c r="FJ98" i="2"/>
  <c r="FJ177" i="2"/>
  <c r="FJ44" i="2"/>
  <c r="FJ50" i="2"/>
  <c r="FJ13" i="2"/>
  <c r="FJ114" i="2"/>
  <c r="FJ9" i="2"/>
  <c r="FJ159" i="2"/>
  <c r="FJ79" i="2"/>
  <c r="FJ170" i="2"/>
  <c r="FJ24" i="2"/>
  <c r="FJ122" i="2"/>
  <c r="FJ82" i="2"/>
  <c r="FJ199" i="2"/>
  <c r="FJ51" i="2"/>
  <c r="FJ162" i="2"/>
  <c r="FJ126" i="2"/>
  <c r="FJ152" i="2"/>
  <c r="FJ140" i="2"/>
  <c r="FJ163" i="2"/>
  <c r="FJ64" i="2"/>
  <c r="FJ138" i="2"/>
  <c r="FJ169" i="2"/>
  <c r="FJ181" i="2"/>
  <c r="FJ42" i="2"/>
  <c r="FJ131" i="2"/>
  <c r="FJ202" i="2"/>
  <c r="FJ89" i="2"/>
  <c r="FJ8" i="2"/>
  <c r="FJ175" i="2"/>
  <c r="FJ161" i="2"/>
  <c r="FJ118" i="2"/>
  <c r="FJ18" i="2"/>
  <c r="FJ172" i="2"/>
  <c r="FJ192" i="2"/>
  <c r="FJ105" i="2"/>
  <c r="FF85" i="2"/>
  <c r="FE86" i="2"/>
  <c r="FG84" i="2"/>
  <c r="FH84" i="2" s="1"/>
  <c r="FI84" i="2" s="1"/>
  <c r="G13" i="4" l="1"/>
  <c r="FF86" i="2"/>
  <c r="FE87" i="2"/>
  <c r="FG85" i="2"/>
  <c r="FH85" i="2" s="1"/>
  <c r="FI85" i="2" s="1"/>
  <c r="L13" i="4" l="1"/>
  <c r="FF87" i="2"/>
  <c r="FE88" i="2"/>
  <c r="FG86" i="2"/>
  <c r="FH86" i="2" s="1"/>
  <c r="FI86" i="2" s="1"/>
  <c r="FF88" i="2" l="1"/>
  <c r="FE89" i="2"/>
  <c r="FG87" i="2"/>
  <c r="FH87" i="2" s="1"/>
  <c r="FI87" i="2" s="1"/>
  <c r="FF89" i="2" l="1"/>
  <c r="FE90" i="2"/>
  <c r="FG88" i="2"/>
  <c r="FH88" i="2" s="1"/>
  <c r="FI88" i="2" s="1"/>
  <c r="FF90" i="2" l="1"/>
  <c r="FE91" i="2"/>
  <c r="FG89" i="2"/>
  <c r="FH89" i="2" s="1"/>
  <c r="FI89" i="2" s="1"/>
  <c r="FF91" i="2" l="1"/>
  <c r="FE92" i="2"/>
  <c r="FG90" i="2"/>
  <c r="FH90" i="2" s="1"/>
  <c r="FI90" i="2" s="1"/>
  <c r="FF92" i="2" l="1"/>
  <c r="FE93" i="2"/>
  <c r="FG91" i="2"/>
  <c r="FH91" i="2" s="1"/>
  <c r="FI91" i="2" s="1"/>
  <c r="FF93" i="2" l="1"/>
  <c r="FE94" i="2"/>
  <c r="FG92" i="2"/>
  <c r="FH92" i="2" s="1"/>
  <c r="FI92" i="2" s="1"/>
  <c r="FF94" i="2" l="1"/>
  <c r="FE95" i="2"/>
  <c r="FG93" i="2"/>
  <c r="FH93" i="2" s="1"/>
  <c r="FI93" i="2" s="1"/>
  <c r="FF95" i="2" l="1"/>
  <c r="FE96" i="2"/>
  <c r="FG94" i="2"/>
  <c r="FH94" i="2" s="1"/>
  <c r="FI94" i="2" s="1"/>
  <c r="FF96" i="2" l="1"/>
  <c r="FE97" i="2"/>
  <c r="FG95" i="2"/>
  <c r="FH95" i="2" s="1"/>
  <c r="FI95" i="2" s="1"/>
  <c r="FF97" i="2" l="1"/>
  <c r="FE98" i="2"/>
  <c r="FG96" i="2"/>
  <c r="FH96" i="2" s="1"/>
  <c r="FI96" i="2" s="1"/>
  <c r="FF98" i="2" l="1"/>
  <c r="FE99" i="2"/>
  <c r="FG97" i="2"/>
  <c r="FH97" i="2" s="1"/>
  <c r="FI97" i="2" s="1"/>
  <c r="FF99" i="2" l="1"/>
  <c r="FE100" i="2"/>
  <c r="FG98" i="2"/>
  <c r="FH98" i="2" s="1"/>
  <c r="FI98" i="2" s="1"/>
  <c r="FF100" i="2" l="1"/>
  <c r="FE101" i="2"/>
  <c r="FG99" i="2"/>
  <c r="FH99" i="2" s="1"/>
  <c r="FI99" i="2" s="1"/>
  <c r="FF101" i="2" l="1"/>
  <c r="FE102" i="2"/>
  <c r="FG100" i="2"/>
  <c r="FH100" i="2" s="1"/>
  <c r="FI100" i="2" s="1"/>
  <c r="FF102" i="2" l="1"/>
  <c r="FE103" i="2"/>
  <c r="FG101" i="2"/>
  <c r="FH101" i="2" s="1"/>
  <c r="FI101" i="2" s="1"/>
  <c r="FF103" i="2" l="1"/>
  <c r="FE104" i="2"/>
  <c r="FG102" i="2"/>
  <c r="FH102" i="2" s="1"/>
  <c r="FI102" i="2" s="1"/>
  <c r="FF104" i="2" l="1"/>
  <c r="FE105" i="2"/>
  <c r="FG103" i="2"/>
  <c r="FH103" i="2" s="1"/>
  <c r="FI103" i="2" s="1"/>
  <c r="FF105" i="2" l="1"/>
  <c r="FE106" i="2"/>
  <c r="FG104" i="2"/>
  <c r="FH104" i="2" s="1"/>
  <c r="FI104" i="2" s="1"/>
  <c r="FF106" i="2" l="1"/>
  <c r="FE107" i="2"/>
  <c r="FG105" i="2"/>
  <c r="FH105" i="2" s="1"/>
  <c r="FI105" i="2" s="1"/>
  <c r="FG106" i="2" l="1"/>
  <c r="FH106" i="2" s="1"/>
  <c r="FI106" i="2" s="1"/>
  <c r="FF107" i="2"/>
  <c r="FE108" i="2"/>
  <c r="FG107" i="2" l="1"/>
  <c r="FH107" i="2" s="1"/>
  <c r="FI107" i="2" s="1"/>
  <c r="FF108" i="2"/>
  <c r="FE109" i="2"/>
  <c r="FF109" i="2" l="1"/>
  <c r="FE110" i="2"/>
  <c r="FG108" i="2"/>
  <c r="FH108" i="2" s="1"/>
  <c r="FI108" i="2" s="1"/>
  <c r="FF110" i="2" l="1"/>
  <c r="FE111" i="2"/>
  <c r="FG109" i="2"/>
  <c r="FH109" i="2" s="1"/>
  <c r="FI109" i="2" s="1"/>
  <c r="FF111" i="2" l="1"/>
  <c r="FE112" i="2"/>
  <c r="FG110" i="2"/>
  <c r="FH110" i="2" s="1"/>
  <c r="FI110" i="2" s="1"/>
  <c r="FF112" i="2" l="1"/>
  <c r="FE113" i="2"/>
  <c r="FG111" i="2"/>
  <c r="FH111" i="2" s="1"/>
  <c r="FI111" i="2" s="1"/>
  <c r="FF113" i="2" l="1"/>
  <c r="FE114" i="2"/>
  <c r="FG112" i="2"/>
  <c r="FH112" i="2" s="1"/>
  <c r="FI112" i="2" s="1"/>
  <c r="FF114" i="2" l="1"/>
  <c r="FE115" i="2"/>
  <c r="FG113" i="2"/>
  <c r="FH113" i="2" s="1"/>
  <c r="FI113" i="2" s="1"/>
  <c r="FF115" i="2" l="1"/>
  <c r="FE116" i="2"/>
  <c r="FG114" i="2"/>
  <c r="FH114" i="2" s="1"/>
  <c r="FI114" i="2" s="1"/>
  <c r="FF116" i="2" l="1"/>
  <c r="FE117" i="2"/>
  <c r="FG115" i="2"/>
  <c r="FH115" i="2" s="1"/>
  <c r="FI115" i="2" s="1"/>
  <c r="FF117" i="2" l="1"/>
  <c r="FE118" i="2"/>
  <c r="FG116" i="2"/>
  <c r="FH116" i="2" s="1"/>
  <c r="FI116" i="2" s="1"/>
  <c r="FF118" i="2" l="1"/>
  <c r="FE119" i="2"/>
  <c r="FG117" i="2"/>
  <c r="FH117" i="2" s="1"/>
  <c r="FI117" i="2" s="1"/>
  <c r="FF119" i="2" l="1"/>
  <c r="FE120" i="2"/>
  <c r="FG118" i="2"/>
  <c r="FH118" i="2" s="1"/>
  <c r="FI118" i="2" s="1"/>
  <c r="FF120" i="2" l="1"/>
  <c r="FE121" i="2"/>
  <c r="FG119" i="2"/>
  <c r="FH119" i="2" s="1"/>
  <c r="FI119" i="2" s="1"/>
  <c r="FF121" i="2" l="1"/>
  <c r="FE122" i="2"/>
  <c r="FG120" i="2"/>
  <c r="FH120" i="2" s="1"/>
  <c r="FI120" i="2" s="1"/>
  <c r="FF122" i="2" l="1"/>
  <c r="FE123" i="2"/>
  <c r="FG121" i="2"/>
  <c r="FH121" i="2" s="1"/>
  <c r="FI121" i="2" s="1"/>
  <c r="FF123" i="2" l="1"/>
  <c r="FE124" i="2"/>
  <c r="FG122" i="2"/>
  <c r="FH122" i="2" s="1"/>
  <c r="FI122" i="2" s="1"/>
  <c r="FF124" i="2" l="1"/>
  <c r="FE125" i="2"/>
  <c r="FG123" i="2"/>
  <c r="FH123" i="2" s="1"/>
  <c r="FI123" i="2" s="1"/>
  <c r="FF125" i="2" l="1"/>
  <c r="FE126" i="2"/>
  <c r="FG124" i="2"/>
  <c r="FH124" i="2" s="1"/>
  <c r="FI124" i="2" s="1"/>
  <c r="FE127" i="2" l="1"/>
  <c r="FF126" i="2"/>
  <c r="FG125" i="2"/>
  <c r="FH125" i="2" s="1"/>
  <c r="FI125" i="2" s="1"/>
  <c r="FG126" i="2" l="1"/>
  <c r="FH126" i="2" s="1"/>
  <c r="FI126" i="2" s="1"/>
  <c r="FF127" i="2"/>
  <c r="FE128" i="2"/>
  <c r="FF128" i="2" l="1"/>
  <c r="FE129" i="2"/>
  <c r="FG127" i="2"/>
  <c r="FH127" i="2" s="1"/>
  <c r="FI127" i="2" s="1"/>
  <c r="FF129" i="2" l="1"/>
  <c r="FE130" i="2"/>
  <c r="FG128" i="2"/>
  <c r="FH128" i="2" s="1"/>
  <c r="FI128" i="2" s="1"/>
  <c r="FF130" i="2" l="1"/>
  <c r="FE131" i="2"/>
  <c r="FG129" i="2"/>
  <c r="FH129" i="2" s="1"/>
  <c r="FI129" i="2" s="1"/>
  <c r="FF131" i="2" l="1"/>
  <c r="FE132" i="2"/>
  <c r="FG130" i="2"/>
  <c r="FH130" i="2" s="1"/>
  <c r="FI130" i="2" s="1"/>
  <c r="FE133" i="2" l="1"/>
  <c r="FF132" i="2"/>
  <c r="FG131" i="2"/>
  <c r="FH131" i="2" s="1"/>
  <c r="FI131" i="2" s="1"/>
  <c r="FG132" i="2" l="1"/>
  <c r="FH132" i="2" s="1"/>
  <c r="FI132" i="2" s="1"/>
  <c r="FF133" i="2"/>
  <c r="FE134" i="2"/>
  <c r="FF134" i="2" l="1"/>
  <c r="FE135" i="2"/>
  <c r="FG133" i="2"/>
  <c r="FH133" i="2" s="1"/>
  <c r="FI133" i="2" s="1"/>
  <c r="FF135" i="2" l="1"/>
  <c r="FE136" i="2"/>
  <c r="FG134" i="2"/>
  <c r="FH134" i="2" s="1"/>
  <c r="FI134" i="2" s="1"/>
  <c r="FE137" i="2" l="1"/>
  <c r="FF136" i="2"/>
  <c r="FG135" i="2"/>
  <c r="FH135" i="2" s="1"/>
  <c r="FI135" i="2" s="1"/>
  <c r="FG136" i="2" l="1"/>
  <c r="FH136" i="2" s="1"/>
  <c r="FI136" i="2" s="1"/>
  <c r="FF137" i="2"/>
  <c r="FE138" i="2"/>
  <c r="FE139" i="2" l="1"/>
  <c r="FF138" i="2"/>
  <c r="FG137" i="2"/>
  <c r="FH137" i="2" s="1"/>
  <c r="FI137" i="2" s="1"/>
  <c r="FG138" i="2" l="1"/>
  <c r="FH138" i="2" s="1"/>
  <c r="FI138" i="2" s="1"/>
  <c r="FF139" i="2"/>
  <c r="FE140" i="2"/>
  <c r="FG139" i="2" l="1"/>
  <c r="FH139" i="2" s="1"/>
  <c r="FI139" i="2" s="1"/>
  <c r="FF140" i="2"/>
  <c r="FE141" i="2"/>
  <c r="FF141" i="2" l="1"/>
  <c r="FE142" i="2"/>
  <c r="FG140" i="2"/>
  <c r="FH140" i="2" s="1"/>
  <c r="FI140" i="2" s="1"/>
  <c r="FF142" i="2" l="1"/>
  <c r="FE143" i="2"/>
  <c r="FG141" i="2"/>
  <c r="FH141" i="2" s="1"/>
  <c r="FI141" i="2" s="1"/>
  <c r="FF143" i="2" l="1"/>
  <c r="FE144" i="2"/>
  <c r="FG142" i="2"/>
  <c r="FH142" i="2" s="1"/>
  <c r="FI142" i="2" s="1"/>
  <c r="FE145" i="2" l="1"/>
  <c r="FF144" i="2"/>
  <c r="FG143" i="2"/>
  <c r="FH143" i="2" s="1"/>
  <c r="FI143" i="2" s="1"/>
  <c r="FG144" i="2" l="1"/>
  <c r="FH144" i="2" s="1"/>
  <c r="FI144" i="2" s="1"/>
  <c r="FF145" i="2"/>
  <c r="FE146" i="2"/>
  <c r="FG145" i="2" l="1"/>
  <c r="FH145" i="2" s="1"/>
  <c r="FI145" i="2" s="1"/>
  <c r="FF146" i="2"/>
  <c r="FE147" i="2"/>
  <c r="FF147" i="2" l="1"/>
  <c r="FE148" i="2"/>
  <c r="FG146" i="2"/>
  <c r="FH146" i="2" s="1"/>
  <c r="FI146" i="2" s="1"/>
  <c r="FF148" i="2" l="1"/>
  <c r="FE149" i="2"/>
  <c r="FG147" i="2"/>
  <c r="FH147" i="2" s="1"/>
  <c r="FI147" i="2" s="1"/>
  <c r="FF149" i="2" l="1"/>
  <c r="FE150" i="2"/>
  <c r="FG148" i="2"/>
  <c r="FH148" i="2" s="1"/>
  <c r="FI148" i="2" s="1"/>
  <c r="FF150" i="2" l="1"/>
  <c r="FE151" i="2"/>
  <c r="FG149" i="2"/>
  <c r="FH149" i="2" s="1"/>
  <c r="FI149" i="2" s="1"/>
  <c r="FF151" i="2" l="1"/>
  <c r="FE152" i="2"/>
  <c r="FG150" i="2"/>
  <c r="FH150" i="2" s="1"/>
  <c r="FI150" i="2" s="1"/>
  <c r="FF152" i="2" l="1"/>
  <c r="FE153" i="2"/>
  <c r="FG151" i="2"/>
  <c r="FH151" i="2" s="1"/>
  <c r="FI151" i="2" s="1"/>
  <c r="FF153" i="2" l="1"/>
  <c r="FE154" i="2"/>
  <c r="FG152" i="2"/>
  <c r="FH152" i="2" s="1"/>
  <c r="FI152" i="2" s="1"/>
  <c r="FE155" i="2" l="1"/>
  <c r="FF154" i="2"/>
  <c r="FG153" i="2"/>
  <c r="FH153" i="2" s="1"/>
  <c r="FI153" i="2" s="1"/>
  <c r="FG154" i="2" l="1"/>
  <c r="FH154" i="2" s="1"/>
  <c r="FI154" i="2" s="1"/>
  <c r="FF155" i="2"/>
  <c r="FE156" i="2"/>
  <c r="FG155" i="2" l="1"/>
  <c r="FH155" i="2" s="1"/>
  <c r="FI155" i="2" s="1"/>
  <c r="FF156" i="2"/>
  <c r="FE157" i="2"/>
  <c r="FF157" i="2" l="1"/>
  <c r="FE158" i="2"/>
  <c r="FG156" i="2"/>
  <c r="FH156" i="2" s="1"/>
  <c r="FI156" i="2" s="1"/>
  <c r="FF158" i="2" l="1"/>
  <c r="FE159" i="2"/>
  <c r="FG157" i="2"/>
  <c r="FH157" i="2" s="1"/>
  <c r="FI157" i="2" s="1"/>
  <c r="FF159" i="2" l="1"/>
  <c r="FE160" i="2"/>
  <c r="FG158" i="2"/>
  <c r="FH158" i="2" s="1"/>
  <c r="FI158" i="2" s="1"/>
  <c r="FF160" i="2" l="1"/>
  <c r="FE161" i="2"/>
  <c r="FG159" i="2"/>
  <c r="FH159" i="2" s="1"/>
  <c r="FI159" i="2" s="1"/>
  <c r="FF161" i="2" l="1"/>
  <c r="FE162" i="2"/>
  <c r="FG160" i="2"/>
  <c r="FH160" i="2" s="1"/>
  <c r="FI160" i="2" s="1"/>
  <c r="FE163" i="2" l="1"/>
  <c r="FF162" i="2"/>
  <c r="FG161" i="2"/>
  <c r="FH161" i="2" s="1"/>
  <c r="FI161" i="2" s="1"/>
  <c r="FG162" i="2" l="1"/>
  <c r="FH162" i="2" s="1"/>
  <c r="FI162" i="2" s="1"/>
  <c r="FF163" i="2"/>
  <c r="FE164" i="2"/>
  <c r="FF164" i="2" l="1"/>
  <c r="FE165" i="2"/>
  <c r="FG163" i="2"/>
  <c r="FH163" i="2" s="1"/>
  <c r="FI163" i="2" s="1"/>
  <c r="FF165" i="2" l="1"/>
  <c r="FE166" i="2"/>
  <c r="FG164" i="2"/>
  <c r="FH164" i="2" s="1"/>
  <c r="FI164" i="2" s="1"/>
  <c r="FE167" i="2" l="1"/>
  <c r="FF166" i="2"/>
  <c r="FG165" i="2"/>
  <c r="FH165" i="2" s="1"/>
  <c r="FI165" i="2" s="1"/>
  <c r="FG166" i="2" l="1"/>
  <c r="FH166" i="2" s="1"/>
  <c r="FI166" i="2" s="1"/>
  <c r="FF167" i="2"/>
  <c r="FE168" i="2"/>
  <c r="FG167" i="2" l="1"/>
  <c r="FH167" i="2" s="1"/>
  <c r="FI167" i="2" s="1"/>
  <c r="FF168" i="2"/>
  <c r="FE169" i="2"/>
  <c r="FF169" i="2" l="1"/>
  <c r="FE170" i="2"/>
  <c r="FG168" i="2"/>
  <c r="FH168" i="2" s="1"/>
  <c r="FI168" i="2" s="1"/>
  <c r="FG169" i="2" l="1"/>
  <c r="FH169" i="2" s="1"/>
  <c r="FI169" i="2" s="1"/>
  <c r="FF170" i="2"/>
  <c r="FE171" i="2"/>
  <c r="FG170" i="2" l="1"/>
  <c r="FH170" i="2" s="1"/>
  <c r="FI170" i="2" s="1"/>
  <c r="FF171" i="2"/>
  <c r="FE172" i="2"/>
  <c r="FE173" i="2" l="1"/>
  <c r="FF172" i="2"/>
  <c r="FG171" i="2"/>
  <c r="FH171" i="2" s="1"/>
  <c r="FI171" i="2" s="1"/>
  <c r="FG172" i="2" l="1"/>
  <c r="FH172" i="2" s="1"/>
  <c r="FI172" i="2" s="1"/>
  <c r="FF173" i="2"/>
  <c r="FE174" i="2"/>
  <c r="FF174" i="2" l="1"/>
  <c r="FE175" i="2"/>
  <c r="FG173" i="2"/>
  <c r="FH173" i="2" s="1"/>
  <c r="FI173" i="2" s="1"/>
  <c r="FF175" i="2" l="1"/>
  <c r="FE176" i="2"/>
  <c r="FG174" i="2"/>
  <c r="FH174" i="2" s="1"/>
  <c r="FI174" i="2" s="1"/>
  <c r="FF176" i="2" l="1"/>
  <c r="FE177" i="2"/>
  <c r="FG175" i="2"/>
  <c r="FH175" i="2" s="1"/>
  <c r="FI175" i="2" s="1"/>
  <c r="FF177" i="2" l="1"/>
  <c r="FE178" i="2"/>
  <c r="FG176" i="2"/>
  <c r="FH176" i="2" s="1"/>
  <c r="FI176" i="2" s="1"/>
  <c r="FE179" i="2" l="1"/>
  <c r="FF178" i="2"/>
  <c r="FG177" i="2"/>
  <c r="FH177" i="2" s="1"/>
  <c r="FI177" i="2" s="1"/>
  <c r="FG178" i="2" l="1"/>
  <c r="FH178" i="2" s="1"/>
  <c r="FI178" i="2" s="1"/>
  <c r="FF179" i="2"/>
  <c r="FE180" i="2"/>
  <c r="FE181" i="2" l="1"/>
  <c r="FF180" i="2"/>
  <c r="FG179" i="2"/>
  <c r="FH179" i="2" s="1"/>
  <c r="FI179" i="2" s="1"/>
  <c r="FG180" i="2" l="1"/>
  <c r="FH180" i="2" s="1"/>
  <c r="FI180" i="2" s="1"/>
  <c r="FF181" i="2"/>
  <c r="FE182" i="2"/>
  <c r="FG181" i="2" l="1"/>
  <c r="FH181" i="2" s="1"/>
  <c r="FI181" i="2" s="1"/>
  <c r="FE183" i="2"/>
  <c r="FF182" i="2"/>
  <c r="FF183" i="2" l="1"/>
  <c r="FE184" i="2"/>
  <c r="FG182" i="2"/>
  <c r="FH182" i="2" s="1"/>
  <c r="FI182" i="2" s="1"/>
  <c r="FF184" i="2" l="1"/>
  <c r="FE185" i="2"/>
  <c r="FG183" i="2"/>
  <c r="FH183" i="2" s="1"/>
  <c r="FI183" i="2" s="1"/>
  <c r="FF185" i="2" l="1"/>
  <c r="FE186" i="2"/>
  <c r="FG184" i="2"/>
  <c r="FH184" i="2" s="1"/>
  <c r="FI184" i="2" s="1"/>
  <c r="FF186" i="2" l="1"/>
  <c r="FE187" i="2"/>
  <c r="FG185" i="2"/>
  <c r="FH185" i="2" s="1"/>
  <c r="FI185" i="2" s="1"/>
  <c r="FF187" i="2" l="1"/>
  <c r="FE188" i="2"/>
  <c r="FG186" i="2"/>
  <c r="FH186" i="2" s="1"/>
  <c r="FI186" i="2" s="1"/>
  <c r="FF188" i="2" l="1"/>
  <c r="FE189" i="2"/>
  <c r="FG187" i="2"/>
  <c r="FH187" i="2" s="1"/>
  <c r="FI187" i="2" s="1"/>
  <c r="FE190" i="2" l="1"/>
  <c r="FF189" i="2"/>
  <c r="FG188" i="2"/>
  <c r="FH188" i="2" s="1"/>
  <c r="FI188" i="2" s="1"/>
  <c r="FG189" i="2" l="1"/>
  <c r="FH189" i="2" s="1"/>
  <c r="FI189" i="2" s="1"/>
  <c r="FF190" i="2"/>
  <c r="FE191" i="2"/>
  <c r="FG190" i="2" l="1"/>
  <c r="FH190" i="2" s="1"/>
  <c r="FI190" i="2" s="1"/>
  <c r="FE192" i="2"/>
  <c r="FF191" i="2"/>
  <c r="FG191" i="2" l="1"/>
  <c r="FH191" i="2" s="1"/>
  <c r="FI191" i="2" s="1"/>
  <c r="FF192" i="2"/>
  <c r="FE193" i="2"/>
  <c r="FG192" i="2" l="1"/>
  <c r="FH192" i="2" s="1"/>
  <c r="FI192" i="2" s="1"/>
  <c r="FE194" i="2"/>
  <c r="FF193" i="2"/>
  <c r="FG193" i="2" l="1"/>
  <c r="FH193" i="2" s="1"/>
  <c r="FI193" i="2" s="1"/>
  <c r="FF194" i="2"/>
  <c r="FE195" i="2"/>
  <c r="FG194" i="2" l="1"/>
  <c r="FH194" i="2" s="1"/>
  <c r="FI194" i="2" s="1"/>
  <c r="FF195" i="2"/>
  <c r="FE196" i="2"/>
  <c r="FF196" i="2" l="1"/>
  <c r="FE197" i="2"/>
  <c r="FG195" i="2"/>
  <c r="FH195" i="2" s="1"/>
  <c r="FI195" i="2" s="1"/>
  <c r="FG196" i="2" l="1"/>
  <c r="FH196" i="2" s="1"/>
  <c r="FI196" i="2" s="1"/>
  <c r="FE198" i="2"/>
  <c r="FF197" i="2"/>
  <c r="FF198" i="2" l="1"/>
  <c r="FE199" i="2"/>
  <c r="FG197" i="2"/>
  <c r="FH197" i="2" s="1"/>
  <c r="FI197" i="2" s="1"/>
  <c r="FF199" i="2" l="1"/>
  <c r="FE200" i="2"/>
  <c r="FG198" i="2"/>
  <c r="FH198" i="2" s="1"/>
  <c r="FI198" i="2" s="1"/>
  <c r="FF200" i="2" l="1"/>
  <c r="FE201" i="2"/>
  <c r="FG199" i="2"/>
  <c r="FH199" i="2" s="1"/>
  <c r="FI199" i="2" s="1"/>
  <c r="FF201" i="2" l="1"/>
  <c r="FE202" i="2"/>
  <c r="FG200" i="2"/>
  <c r="FH200" i="2" s="1"/>
  <c r="FI200" i="2" s="1"/>
  <c r="FE203" i="2" l="1"/>
  <c r="FF203" i="2" s="1"/>
  <c r="FF202" i="2"/>
  <c r="FG201" i="2"/>
  <c r="FH201" i="2" s="1"/>
  <c r="FI201" i="2" s="1"/>
  <c r="FG202" i="2" l="1"/>
  <c r="FH202" i="2" s="1"/>
  <c r="FI202" i="2" s="1"/>
  <c r="FG203" i="2"/>
  <c r="FH203" i="2" s="1"/>
  <c r="FI203" i="2" s="1"/>
  <c r="BY13" i="2" l="1"/>
  <c r="BZ13" i="2" s="1"/>
  <c r="I121" i="1"/>
  <c r="BW83" i="2" s="1"/>
  <c r="BV205" i="2"/>
  <c r="BY9" i="2" s="1"/>
  <c r="BZ9" i="2" s="1"/>
  <c r="I115" i="1"/>
  <c r="BW23" i="2" s="1"/>
  <c r="BV23" i="2"/>
  <c r="I117" i="1"/>
  <c r="BW43" i="2" s="1"/>
  <c r="BV43" i="2"/>
  <c r="I116" i="1"/>
  <c r="BW33" i="2" s="1"/>
  <c r="BV33" i="2"/>
  <c r="I118" i="1"/>
  <c r="BW53" i="2" s="1"/>
  <c r="BV53" i="2"/>
  <c r="I120" i="1"/>
  <c r="BW73" i="2" s="1"/>
  <c r="BV73" i="2"/>
  <c r="I119" i="1"/>
  <c r="BW63" i="2" s="1"/>
  <c r="BV63" i="2"/>
  <c r="I114" i="1"/>
  <c r="BW13" i="2" s="1"/>
  <c r="BV13" i="2"/>
  <c r="BY6" i="2" l="1"/>
  <c r="BZ6" i="2" s="1"/>
  <c r="CA13" i="2"/>
  <c r="CB13" i="2" s="1"/>
  <c r="CC13" i="2" s="1"/>
  <c r="BX37" i="2" a="1"/>
  <c r="BX37" i="2" s="1"/>
  <c r="BX34" i="2" a="1"/>
  <c r="BX34" i="2" s="1"/>
  <c r="BX35" i="2" a="1"/>
  <c r="BX35" i="2" s="1"/>
  <c r="BX43" i="2" a="1"/>
  <c r="BX43" i="2" s="1"/>
  <c r="BX41" i="2" a="1"/>
  <c r="BX41" i="2" s="1"/>
  <c r="BX40" i="2" a="1"/>
  <c r="BX40" i="2" s="1"/>
  <c r="BX42" i="2" a="1"/>
  <c r="BX42" i="2" s="1"/>
  <c r="BX39" i="2" a="1"/>
  <c r="BX39" i="2" s="1"/>
  <c r="BX36" i="2" a="1"/>
  <c r="BX36" i="2" s="1"/>
  <c r="BX38" i="2" a="1"/>
  <c r="BX38" i="2" s="1"/>
  <c r="BX62" i="2" a="1"/>
  <c r="BX62" i="2" s="1"/>
  <c r="BX57" i="2" a="1"/>
  <c r="BX57" i="2" s="1"/>
  <c r="BX54" i="2" a="1"/>
  <c r="BX54" i="2" s="1"/>
  <c r="BX58" i="2" a="1"/>
  <c r="BX58" i="2" s="1"/>
  <c r="BX63" i="2" a="1"/>
  <c r="BX63" i="2" s="1"/>
  <c r="BX61" i="2" a="1"/>
  <c r="BX61" i="2" s="1"/>
  <c r="BX56" i="2" a="1"/>
  <c r="BX56" i="2" s="1"/>
  <c r="BX59" i="2" a="1"/>
  <c r="BX59" i="2" s="1"/>
  <c r="BX55" i="2" a="1"/>
  <c r="BX55" i="2" s="1"/>
  <c r="BX60" i="2" a="1"/>
  <c r="BX60" i="2" s="1"/>
  <c r="BX13" i="2" a="1"/>
  <c r="BX13" i="2" s="1"/>
  <c r="BX5" i="2" a="1"/>
  <c r="BX5" i="2" s="1"/>
  <c r="BX7" i="2" a="1"/>
  <c r="BX7" i="2" s="1"/>
  <c r="BX10" i="2" a="1"/>
  <c r="BX10" i="2" s="1"/>
  <c r="BX12" i="2" a="1"/>
  <c r="BX12" i="2" s="1"/>
  <c r="BX8" i="2" a="1"/>
  <c r="BX8" i="2" s="1"/>
  <c r="BX4" i="2" a="1"/>
  <c r="BX4" i="2" s="1"/>
  <c r="BX11" i="2" a="1"/>
  <c r="BX11" i="2" s="1"/>
  <c r="BX9" i="2" a="1"/>
  <c r="BX9" i="2" s="1"/>
  <c r="BX6" i="2" a="1"/>
  <c r="BX6" i="2" s="1"/>
  <c r="BX18" i="2" a="1"/>
  <c r="BX18" i="2" s="1"/>
  <c r="BX19" i="2" a="1"/>
  <c r="BX19" i="2" s="1"/>
  <c r="BX15" i="2" a="1"/>
  <c r="BX15" i="2" s="1"/>
  <c r="BX20" i="2" a="1"/>
  <c r="BX20" i="2" s="1"/>
  <c r="BX21" i="2" a="1"/>
  <c r="BX21" i="2" s="1"/>
  <c r="BX17" i="2" a="1"/>
  <c r="BX17" i="2" s="1"/>
  <c r="BX23" i="2" a="1"/>
  <c r="BX23" i="2" s="1"/>
  <c r="BX22" i="2" a="1"/>
  <c r="BX22" i="2" s="1"/>
  <c r="BX14" i="2" a="1"/>
  <c r="BX14" i="2" s="1"/>
  <c r="BY14" i="2" s="1"/>
  <c r="BX16" i="2" a="1"/>
  <c r="BX16" i="2" s="1"/>
  <c r="CA9" i="2"/>
  <c r="CB9" i="2" s="1"/>
  <c r="CC9" i="2" s="1"/>
  <c r="BX33" i="2" a="1"/>
  <c r="BX33" i="2" s="1"/>
  <c r="BX27" i="2" a="1"/>
  <c r="BX27" i="2" s="1"/>
  <c r="BX28" i="2" a="1"/>
  <c r="BX28" i="2" s="1"/>
  <c r="BX30" i="2" a="1"/>
  <c r="BX30" i="2" s="1"/>
  <c r="BX32" i="2" a="1"/>
  <c r="BX32" i="2" s="1"/>
  <c r="BX29" i="2" a="1"/>
  <c r="BX29" i="2" s="1"/>
  <c r="BX24" i="2" a="1"/>
  <c r="BX24" i="2" s="1"/>
  <c r="BX26" i="2" a="1"/>
  <c r="BX26" i="2" s="1"/>
  <c r="BX25" i="2" a="1"/>
  <c r="BX25" i="2" s="1"/>
  <c r="BX31" i="2" a="1"/>
  <c r="BX31" i="2" s="1"/>
  <c r="BX67" i="2" a="1"/>
  <c r="BX67" i="2" s="1"/>
  <c r="BX71" i="2" a="1"/>
  <c r="BX71" i="2" s="1"/>
  <c r="BX68" i="2" a="1"/>
  <c r="BX68" i="2" s="1"/>
  <c r="BX73" i="2" a="1"/>
  <c r="BX73" i="2" s="1"/>
  <c r="BX64" i="2" a="1"/>
  <c r="BX64" i="2" s="1"/>
  <c r="BX70" i="2" a="1"/>
  <c r="BX70" i="2" s="1"/>
  <c r="BX69" i="2" a="1"/>
  <c r="BX69" i="2" s="1"/>
  <c r="BX66" i="2" a="1"/>
  <c r="BX66" i="2" s="1"/>
  <c r="BX72" i="2" a="1"/>
  <c r="BX72" i="2" s="1"/>
  <c r="BX65" i="2" a="1"/>
  <c r="BX65" i="2" s="1"/>
  <c r="BX49" i="2" a="1"/>
  <c r="BX49" i="2" s="1"/>
  <c r="BX46" i="2" a="1"/>
  <c r="BX46" i="2" s="1"/>
  <c r="BX47" i="2" a="1"/>
  <c r="BX47" i="2" s="1"/>
  <c r="BX50" i="2" a="1"/>
  <c r="BX50" i="2" s="1"/>
  <c r="BX48" i="2" a="1"/>
  <c r="BX48" i="2" s="1"/>
  <c r="BX53" i="2" a="1"/>
  <c r="BX53" i="2" s="1"/>
  <c r="BX52" i="2" a="1"/>
  <c r="BX52" i="2" s="1"/>
  <c r="BX44" i="2" a="1"/>
  <c r="BX44" i="2" s="1"/>
  <c r="BX45" i="2" a="1"/>
  <c r="BX45" i="2" s="1"/>
  <c r="BX51" i="2" a="1"/>
  <c r="BX51" i="2" s="1"/>
  <c r="BX77" i="2" a="1"/>
  <c r="BX77" i="2" s="1"/>
  <c r="BX78" i="2" a="1"/>
  <c r="BX78" i="2" s="1"/>
  <c r="BX80" i="2" a="1"/>
  <c r="BX80" i="2" s="1"/>
  <c r="BX79" i="2" a="1"/>
  <c r="BX79" i="2" s="1"/>
  <c r="BX81" i="2" a="1"/>
  <c r="BX81" i="2" s="1"/>
  <c r="BX75" i="2" a="1"/>
  <c r="BX75" i="2" s="1"/>
  <c r="BX74" i="2" a="1"/>
  <c r="BX74" i="2" s="1"/>
  <c r="BX83" i="2" a="1"/>
  <c r="BX83" i="2" s="1"/>
  <c r="BX82" i="2" a="1"/>
  <c r="BX82" i="2" s="1"/>
  <c r="BX76" i="2" a="1"/>
  <c r="BX76" i="2" s="1"/>
  <c r="CA6" i="2"/>
  <c r="CB6" i="2" s="1"/>
  <c r="CC6" i="2" s="1"/>
  <c r="BY11" i="2"/>
  <c r="BZ11" i="2" s="1"/>
  <c r="BY4" i="2"/>
  <c r="BZ4" i="2" s="1"/>
  <c r="BY8" i="2"/>
  <c r="BZ8" i="2" s="1"/>
  <c r="BY10" i="2"/>
  <c r="BZ10" i="2" s="1"/>
  <c r="BY7" i="2"/>
  <c r="BZ7" i="2" s="1"/>
  <c r="BY12" i="2"/>
  <c r="BZ12" i="2" s="1"/>
  <c r="BY5" i="2"/>
  <c r="BZ5" i="2" s="1"/>
  <c r="CA11" i="2" l="1"/>
  <c r="CB11" i="2" s="1"/>
  <c r="CC11" i="2" s="1"/>
  <c r="CA5" i="2"/>
  <c r="CB5" i="2" s="1"/>
  <c r="CC5" i="2" s="1"/>
  <c r="CA12" i="2"/>
  <c r="CB12" i="2" s="1"/>
  <c r="CC12" i="2" s="1"/>
  <c r="CA4" i="2"/>
  <c r="CB4" i="2" s="1"/>
  <c r="CC4" i="2" s="1"/>
  <c r="CA7" i="2"/>
  <c r="CB7" i="2" s="1"/>
  <c r="CC7" i="2" s="1"/>
  <c r="CA10" i="2"/>
  <c r="CB10" i="2" s="1"/>
  <c r="CC10" i="2" s="1"/>
  <c r="CA8" i="2"/>
  <c r="CB8" i="2" s="1"/>
  <c r="CC8" i="2" s="1"/>
  <c r="BZ14" i="2"/>
  <c r="BY15" i="2"/>
  <c r="BZ15" i="2" l="1"/>
  <c r="BY16" i="2"/>
  <c r="CA14" i="2"/>
  <c r="CB14" i="2" s="1"/>
  <c r="CC14" i="2" s="1"/>
  <c r="BY17" i="2" l="1"/>
  <c r="BZ16" i="2"/>
  <c r="CA15" i="2"/>
  <c r="CB15" i="2" s="1"/>
  <c r="CC15" i="2" s="1"/>
  <c r="CA16" i="2" l="1"/>
  <c r="CB16" i="2" s="1"/>
  <c r="CC16" i="2" s="1"/>
  <c r="BZ17" i="2"/>
  <c r="BY18" i="2"/>
  <c r="CA17" i="2" l="1"/>
  <c r="CB17" i="2" s="1"/>
  <c r="CC17" i="2" s="1"/>
  <c r="BZ18" i="2"/>
  <c r="BY19" i="2"/>
  <c r="BY20" i="2" l="1"/>
  <c r="BZ19" i="2"/>
  <c r="CA18" i="2"/>
  <c r="CB18" i="2" s="1"/>
  <c r="CC18" i="2" s="1"/>
  <c r="CA19" i="2" l="1"/>
  <c r="CB19" i="2" s="1"/>
  <c r="CC19" i="2" s="1"/>
  <c r="BZ20" i="2"/>
  <c r="BY21" i="2"/>
  <c r="CA20" i="2" l="1"/>
  <c r="CB20" i="2" s="1"/>
  <c r="CC20" i="2" s="1"/>
  <c r="BZ21" i="2"/>
  <c r="BY22" i="2"/>
  <c r="CA21" i="2" l="1"/>
  <c r="CB21" i="2" s="1"/>
  <c r="CC21" i="2" s="1"/>
  <c r="BZ22" i="2"/>
  <c r="BY23" i="2"/>
  <c r="CA22" i="2" l="1"/>
  <c r="CB22" i="2" s="1"/>
  <c r="CC22" i="2" s="1"/>
  <c r="BZ23" i="2"/>
  <c r="BY24" i="2"/>
  <c r="BY25" i="2" l="1"/>
  <c r="BZ24" i="2"/>
  <c r="CA23" i="2"/>
  <c r="CB23" i="2" s="1"/>
  <c r="CC23" i="2" s="1"/>
  <c r="CA24" i="2" l="1"/>
  <c r="CB24" i="2" s="1"/>
  <c r="CC24" i="2" s="1"/>
  <c r="BZ25" i="2"/>
  <c r="BY26" i="2"/>
  <c r="CA25" i="2" l="1"/>
  <c r="CB25" i="2" s="1"/>
  <c r="CC25" i="2" s="1"/>
  <c r="BZ26" i="2"/>
  <c r="BY27" i="2"/>
  <c r="CA26" i="2" l="1"/>
  <c r="CB26" i="2" s="1"/>
  <c r="CC26" i="2" s="1"/>
  <c r="BY28" i="2"/>
  <c r="BZ27" i="2"/>
  <c r="BZ28" i="2" l="1"/>
  <c r="BY29" i="2"/>
  <c r="CA27" i="2"/>
  <c r="CB27" i="2" s="1"/>
  <c r="CC27" i="2" s="1"/>
  <c r="BZ29" i="2" l="1"/>
  <c r="BY30" i="2"/>
  <c r="CA28" i="2"/>
  <c r="CB28" i="2" s="1"/>
  <c r="CC28" i="2" s="1"/>
  <c r="BY31" i="2" l="1"/>
  <c r="BZ30" i="2"/>
  <c r="CA29" i="2"/>
  <c r="CB29" i="2" s="1"/>
  <c r="CC29" i="2" s="1"/>
  <c r="CA30" i="2" l="1"/>
  <c r="CB30" i="2" s="1"/>
  <c r="CC30" i="2" s="1"/>
  <c r="BY32" i="2"/>
  <c r="BZ31" i="2"/>
  <c r="BZ32" i="2" l="1"/>
  <c r="BY33" i="2"/>
  <c r="CA31" i="2"/>
  <c r="CB31" i="2" s="1"/>
  <c r="CC31" i="2" s="1"/>
  <c r="BY34" i="2" l="1"/>
  <c r="BZ33" i="2"/>
  <c r="CA32" i="2"/>
  <c r="CB32" i="2" s="1"/>
  <c r="CC32" i="2" s="1"/>
  <c r="CA33" i="2" l="1"/>
  <c r="CB33" i="2" s="1"/>
  <c r="CC33" i="2" s="1"/>
  <c r="CE3" i="2" s="1"/>
  <c r="BZ34" i="2"/>
  <c r="BY35" i="2"/>
  <c r="CE14" i="2" l="1"/>
  <c r="CE172" i="2"/>
  <c r="CE146" i="2"/>
  <c r="CE116" i="2"/>
  <c r="CE156" i="2"/>
  <c r="CE97" i="2"/>
  <c r="CE189" i="2"/>
  <c r="CE37" i="2"/>
  <c r="CE149" i="2"/>
  <c r="CE112" i="2"/>
  <c r="CE177" i="2"/>
  <c r="CE139" i="2"/>
  <c r="CE22" i="2"/>
  <c r="CE16" i="2"/>
  <c r="CE157" i="2"/>
  <c r="CE153" i="2"/>
  <c r="CE174" i="2"/>
  <c r="CE27" i="2"/>
  <c r="CE127" i="2"/>
  <c r="CE36" i="2"/>
  <c r="CE160" i="2"/>
  <c r="CE32" i="2"/>
  <c r="CE168" i="2"/>
  <c r="CE176" i="2"/>
  <c r="CE111" i="2"/>
  <c r="CE166" i="2"/>
  <c r="CE19" i="2"/>
  <c r="CE143" i="2"/>
  <c r="CE170" i="2"/>
  <c r="CE42" i="2"/>
  <c r="CE193" i="2"/>
  <c r="CE55" i="2"/>
  <c r="CE79" i="2"/>
  <c r="CE48" i="2"/>
  <c r="CE43" i="2"/>
  <c r="CE199" i="2"/>
  <c r="CE25" i="2"/>
  <c r="CE40" i="2"/>
  <c r="CE148" i="2"/>
  <c r="CE34" i="2"/>
  <c r="CE110" i="2"/>
  <c r="CE50" i="2"/>
  <c r="CE51" i="2"/>
  <c r="CE8" i="2"/>
  <c r="CE30" i="2"/>
  <c r="CE9" i="2"/>
  <c r="CE35" i="2"/>
  <c r="CE137" i="2"/>
  <c r="CE118" i="2"/>
  <c r="CE58" i="2"/>
  <c r="CE28" i="2"/>
  <c r="CE124" i="2"/>
  <c r="CE54" i="2"/>
  <c r="CE39" i="2"/>
  <c r="CE59" i="2"/>
  <c r="CE169" i="2"/>
  <c r="CE38" i="2"/>
  <c r="CE121" i="2"/>
  <c r="CE45" i="2"/>
  <c r="CE84" i="2"/>
  <c r="CE192" i="2"/>
  <c r="CE66" i="2"/>
  <c r="CE44" i="2"/>
  <c r="CE178" i="2"/>
  <c r="CE46" i="2"/>
  <c r="CE64" i="2"/>
  <c r="CE87" i="2"/>
  <c r="CE159" i="2"/>
  <c r="CE167" i="2"/>
  <c r="CE188" i="2"/>
  <c r="CE60" i="2"/>
  <c r="CE20" i="2"/>
  <c r="CE70" i="2"/>
  <c r="CE173" i="2"/>
  <c r="CE17" i="2"/>
  <c r="CE186" i="2"/>
  <c r="CE23" i="2"/>
  <c r="CE80" i="2"/>
  <c r="CE61" i="2"/>
  <c r="CE179" i="2"/>
  <c r="CE57" i="2"/>
  <c r="CE196" i="2"/>
  <c r="CE76" i="2"/>
  <c r="CE56" i="2"/>
  <c r="CE194" i="2"/>
  <c r="CE68" i="2"/>
  <c r="CE96" i="2"/>
  <c r="CE67" i="2"/>
  <c r="CE53" i="2"/>
  <c r="CE144" i="2"/>
  <c r="CE41" i="2"/>
  <c r="CE155" i="2"/>
  <c r="CE100" i="2"/>
  <c r="CE4" i="2"/>
  <c r="CE129" i="2"/>
  <c r="CE120" i="2"/>
  <c r="CE182" i="2"/>
  <c r="CE103" i="2"/>
  <c r="CE108" i="2"/>
  <c r="CE75" i="2"/>
  <c r="CE195" i="2"/>
  <c r="CE89" i="2"/>
  <c r="CE175" i="2"/>
  <c r="CE163" i="2"/>
  <c r="CE132" i="2"/>
  <c r="CE142" i="2"/>
  <c r="CE133" i="2"/>
  <c r="CE104" i="2"/>
  <c r="CE83" i="2"/>
  <c r="CE69" i="2"/>
  <c r="CE187" i="2"/>
  <c r="CE73" i="2"/>
  <c r="CE145" i="2"/>
  <c r="CE106" i="2"/>
  <c r="CE150" i="2"/>
  <c r="CE5" i="2"/>
  <c r="CE107" i="2"/>
  <c r="CE165" i="2"/>
  <c r="CE86" i="2"/>
  <c r="CE114" i="2"/>
  <c r="CE91" i="2"/>
  <c r="CE202" i="2"/>
  <c r="CE82" i="2"/>
  <c r="CE7" i="2"/>
  <c r="CE77" i="2"/>
  <c r="CE117" i="2"/>
  <c r="CE158" i="2"/>
  <c r="CE49" i="2"/>
  <c r="CE125" i="2"/>
  <c r="CE52" i="2"/>
  <c r="CE81" i="2"/>
  <c r="CE203" i="2"/>
  <c r="CE74" i="2"/>
  <c r="CE198" i="2"/>
  <c r="CE134" i="2"/>
  <c r="CE10" i="2"/>
  <c r="CE109" i="2"/>
  <c r="CE26" i="2"/>
  <c r="CE15" i="2"/>
  <c r="CE102" i="2"/>
  <c r="CE151" i="2"/>
  <c r="CE88" i="2"/>
  <c r="CE141" i="2"/>
  <c r="CE164" i="2"/>
  <c r="CE105" i="2"/>
  <c r="CE93" i="2"/>
  <c r="CE33" i="2"/>
  <c r="CE18" i="2"/>
  <c r="CE152" i="2"/>
  <c r="CE13" i="2"/>
  <c r="CE101" i="2"/>
  <c r="CE47" i="2"/>
  <c r="CE130" i="2"/>
  <c r="CE154" i="2"/>
  <c r="CE62" i="2"/>
  <c r="CE113" i="2"/>
  <c r="CE201" i="2"/>
  <c r="CE184" i="2"/>
  <c r="CE135" i="2"/>
  <c r="CE11" i="2"/>
  <c r="CE78" i="2"/>
  <c r="CE119" i="2"/>
  <c r="CE65" i="2"/>
  <c r="CE90" i="2"/>
  <c r="CE171" i="2"/>
  <c r="CE162" i="2"/>
  <c r="CE140" i="2"/>
  <c r="CE99" i="2"/>
  <c r="CE200" i="2"/>
  <c r="CE92" i="2"/>
  <c r="CE123" i="2"/>
  <c r="CE29" i="2"/>
  <c r="CE115" i="2"/>
  <c r="CE197" i="2"/>
  <c r="CE94" i="2"/>
  <c r="CE85" i="2"/>
  <c r="CE6" i="2"/>
  <c r="CE72" i="2"/>
  <c r="CE31" i="2"/>
  <c r="CE71" i="2"/>
  <c r="CE161" i="2"/>
  <c r="D9" i="4"/>
  <c r="CE128" i="2"/>
  <c r="CE24" i="2"/>
  <c r="CE138" i="2"/>
  <c r="CE190" i="2"/>
  <c r="CE180" i="2"/>
  <c r="CE131" i="2"/>
  <c r="CE181" i="2"/>
  <c r="CE136" i="2"/>
  <c r="CE12" i="2"/>
  <c r="CE185" i="2"/>
  <c r="CE147" i="2"/>
  <c r="CE63" i="2"/>
  <c r="CE21" i="2"/>
  <c r="CE183" i="2"/>
  <c r="CE126" i="2"/>
  <c r="CE98" i="2"/>
  <c r="CE95" i="2"/>
  <c r="CE191" i="2"/>
  <c r="CE122" i="2"/>
  <c r="BZ35" i="2"/>
  <c r="BY36" i="2"/>
  <c r="CA34" i="2"/>
  <c r="CB34" i="2" s="1"/>
  <c r="CC34" i="2" s="1"/>
  <c r="BZ36" i="2" l="1"/>
  <c r="BY37" i="2"/>
  <c r="CA35" i="2"/>
  <c r="CB35" i="2" s="1"/>
  <c r="CC35" i="2" s="1"/>
  <c r="BZ37" i="2" l="1"/>
  <c r="BY38" i="2"/>
  <c r="CA36" i="2"/>
  <c r="CB36" i="2" s="1"/>
  <c r="CC36" i="2" s="1"/>
  <c r="BY39" i="2" l="1"/>
  <c r="BZ38" i="2"/>
  <c r="CA37" i="2"/>
  <c r="CB37" i="2" s="1"/>
  <c r="CC37" i="2" s="1"/>
  <c r="CA38" i="2" l="1"/>
  <c r="CB38" i="2" s="1"/>
  <c r="CC38" i="2" s="1"/>
  <c r="BZ39" i="2"/>
  <c r="BY40" i="2"/>
  <c r="BZ40" i="2" l="1"/>
  <c r="BY41" i="2"/>
  <c r="CA39" i="2"/>
  <c r="CB39" i="2" s="1"/>
  <c r="CC39" i="2" s="1"/>
  <c r="BY42" i="2" l="1"/>
  <c r="BZ41" i="2"/>
  <c r="CA40" i="2"/>
  <c r="CB40" i="2" s="1"/>
  <c r="CC40" i="2" s="1"/>
  <c r="CA41" i="2" l="1"/>
  <c r="CB41" i="2" s="1"/>
  <c r="CC41" i="2" s="1"/>
  <c r="BZ42" i="2"/>
  <c r="BY43" i="2"/>
  <c r="BZ43" i="2" l="1"/>
  <c r="BY44" i="2"/>
  <c r="CA42" i="2"/>
  <c r="CB42" i="2"/>
  <c r="CC42" i="2" s="1"/>
  <c r="BZ44" i="2" l="1"/>
  <c r="BY45" i="2"/>
  <c r="CA43" i="2"/>
  <c r="CB43" i="2" s="1"/>
  <c r="CC43" i="2" s="1"/>
  <c r="BZ45" i="2" l="1"/>
  <c r="BY46" i="2"/>
  <c r="CA44" i="2"/>
  <c r="CB44" i="2" s="1"/>
  <c r="CC44" i="2" s="1"/>
  <c r="BY47" i="2" l="1"/>
  <c r="BZ46" i="2"/>
  <c r="CA45" i="2"/>
  <c r="CB45" i="2" s="1"/>
  <c r="CC45" i="2" s="1"/>
  <c r="CA46" i="2" l="1"/>
  <c r="CB46" i="2" s="1"/>
  <c r="CC46" i="2" s="1"/>
  <c r="BZ47" i="2"/>
  <c r="BY48" i="2"/>
  <c r="CA47" i="2" l="1"/>
  <c r="CB47" i="2" s="1"/>
  <c r="CC47" i="2" s="1"/>
  <c r="BZ48" i="2"/>
  <c r="BY49" i="2"/>
  <c r="BY50" i="2" l="1"/>
  <c r="BZ49" i="2"/>
  <c r="CA48" i="2"/>
  <c r="CB48" i="2" s="1"/>
  <c r="CC48" i="2" s="1"/>
  <c r="CA49" i="2" l="1"/>
  <c r="CB49" i="2" s="1"/>
  <c r="CC49" i="2" s="1"/>
  <c r="BZ50" i="2"/>
  <c r="BY51" i="2"/>
  <c r="CA50" i="2" l="1"/>
  <c r="CB50" i="2" s="1"/>
  <c r="CC50" i="2" s="1"/>
  <c r="BZ51" i="2"/>
  <c r="BY52" i="2"/>
  <c r="CA51" i="2" l="1"/>
  <c r="CB51" i="2"/>
  <c r="CC51" i="2" s="1"/>
  <c r="BZ52" i="2"/>
  <c r="BY53" i="2"/>
  <c r="BZ53" i="2" l="1"/>
  <c r="BY54" i="2"/>
  <c r="CA52" i="2"/>
  <c r="CB52" i="2" s="1"/>
  <c r="CC52" i="2" s="1"/>
  <c r="BY55" i="2" l="1"/>
  <c r="BZ54" i="2"/>
  <c r="CA53" i="2"/>
  <c r="CB53" i="2" s="1"/>
  <c r="CC53" i="2" s="1"/>
  <c r="CA54" i="2" l="1"/>
  <c r="CB54" i="2" s="1"/>
  <c r="CC54" i="2" s="1"/>
  <c r="BZ55" i="2"/>
  <c r="BY56" i="2"/>
  <c r="BZ56" i="2" l="1"/>
  <c r="BY57" i="2"/>
  <c r="CA55" i="2"/>
  <c r="CB55" i="2" s="1"/>
  <c r="CC55" i="2" s="1"/>
  <c r="BY58" i="2" l="1"/>
  <c r="BZ57" i="2"/>
  <c r="CA56" i="2"/>
  <c r="CB56" i="2" s="1"/>
  <c r="CC56" i="2" s="1"/>
  <c r="CA57" i="2" l="1"/>
  <c r="CB57" i="2" s="1"/>
  <c r="CC57" i="2" s="1"/>
  <c r="BZ58" i="2"/>
  <c r="BY59" i="2"/>
  <c r="CA58" i="2" l="1"/>
  <c r="CB58" i="2" s="1"/>
  <c r="CC58" i="2" s="1"/>
  <c r="BZ59" i="2"/>
  <c r="BY60" i="2"/>
  <c r="BZ60" i="2" l="1"/>
  <c r="BY61" i="2"/>
  <c r="CA59" i="2"/>
  <c r="CB59" i="2" s="1"/>
  <c r="CC59" i="2" s="1"/>
  <c r="BZ61" i="2" l="1"/>
  <c r="BY62" i="2"/>
  <c r="CA60" i="2"/>
  <c r="CB60" i="2" s="1"/>
  <c r="CC60" i="2" s="1"/>
  <c r="BY63" i="2" l="1"/>
  <c r="BZ62" i="2"/>
  <c r="CA61" i="2"/>
  <c r="CB61" i="2" s="1"/>
  <c r="CC61" i="2" s="1"/>
  <c r="CA62" i="2" l="1"/>
  <c r="CB62" i="2" s="1"/>
  <c r="CC62" i="2" s="1"/>
  <c r="BZ63" i="2"/>
  <c r="BY64" i="2"/>
  <c r="BZ64" i="2" l="1"/>
  <c r="BY65" i="2"/>
  <c r="CA63" i="2"/>
  <c r="CB63" i="2" s="1"/>
  <c r="CC63" i="2" s="1"/>
  <c r="BY66" i="2" l="1"/>
  <c r="BZ65" i="2"/>
  <c r="CA64" i="2"/>
  <c r="CB64" i="2" s="1"/>
  <c r="CC64" i="2" s="1"/>
  <c r="CA65" i="2" l="1"/>
  <c r="CB65" i="2" s="1"/>
  <c r="CC65" i="2" s="1"/>
  <c r="BZ66" i="2"/>
  <c r="BY67" i="2"/>
  <c r="BZ67" i="2" l="1"/>
  <c r="BY68" i="2"/>
  <c r="CA66" i="2"/>
  <c r="CB66" i="2" s="1"/>
  <c r="CC66" i="2" s="1"/>
  <c r="BZ68" i="2" l="1"/>
  <c r="BY69" i="2"/>
  <c r="CA67" i="2"/>
  <c r="CB67" i="2" s="1"/>
  <c r="CC67" i="2" s="1"/>
  <c r="BZ69" i="2" l="1"/>
  <c r="BY70" i="2"/>
  <c r="CA68" i="2"/>
  <c r="CB68" i="2" s="1"/>
  <c r="CC68" i="2" s="1"/>
  <c r="BY71" i="2" l="1"/>
  <c r="BZ70" i="2"/>
  <c r="CA69" i="2"/>
  <c r="CB69" i="2" s="1"/>
  <c r="CC69" i="2" s="1"/>
  <c r="CA70" i="2" l="1"/>
  <c r="CB70" i="2"/>
  <c r="CC70" i="2" s="1"/>
  <c r="BZ71" i="2"/>
  <c r="BY72" i="2"/>
  <c r="CA71" i="2" l="1"/>
  <c r="CB71" i="2" s="1"/>
  <c r="CC71" i="2" s="1"/>
  <c r="BZ72" i="2"/>
  <c r="BY73" i="2"/>
  <c r="CA72" i="2" l="1"/>
  <c r="CB72" i="2" s="1"/>
  <c r="CC72" i="2" s="1"/>
  <c r="BY74" i="2"/>
  <c r="BZ73" i="2"/>
  <c r="BZ74" i="2" l="1"/>
  <c r="BY75" i="2"/>
  <c r="CA73" i="2"/>
  <c r="CB73" i="2" s="1"/>
  <c r="CC73" i="2" s="1"/>
  <c r="BZ75" i="2" l="1"/>
  <c r="BY76" i="2"/>
  <c r="CA74" i="2"/>
  <c r="CB74" i="2" s="1"/>
  <c r="CC74" i="2" s="1"/>
  <c r="BZ76" i="2" l="1"/>
  <c r="BY77" i="2"/>
  <c r="CA75" i="2"/>
  <c r="CB75" i="2" s="1"/>
  <c r="CC75" i="2" s="1"/>
  <c r="BZ77" i="2" l="1"/>
  <c r="BY78" i="2"/>
  <c r="CA76" i="2"/>
  <c r="CB76" i="2" s="1"/>
  <c r="CC76" i="2" s="1"/>
  <c r="BY79" i="2" l="1"/>
  <c r="BZ78" i="2"/>
  <c r="CA77" i="2"/>
  <c r="CB77" i="2" s="1"/>
  <c r="CC77" i="2" s="1"/>
  <c r="CA78" i="2" l="1"/>
  <c r="CB78" i="2" s="1"/>
  <c r="CC78" i="2" s="1"/>
  <c r="BZ79" i="2"/>
  <c r="BY80" i="2"/>
  <c r="CA79" i="2" l="1"/>
  <c r="CB79" i="2" s="1"/>
  <c r="CC79" i="2" s="1"/>
  <c r="BZ80" i="2"/>
  <c r="BY81" i="2"/>
  <c r="BY82" i="2" l="1"/>
  <c r="BZ81" i="2"/>
  <c r="CA80" i="2"/>
  <c r="CB80" i="2" s="1"/>
  <c r="CC80" i="2" s="1"/>
  <c r="CA81" i="2" l="1"/>
  <c r="CB81" i="2" s="1"/>
  <c r="CC81" i="2" s="1"/>
  <c r="BZ82" i="2"/>
  <c r="BY83" i="2"/>
  <c r="CA82" i="2" l="1"/>
  <c r="CB82" i="2" s="1"/>
  <c r="CC82" i="2" s="1"/>
  <c r="BZ83" i="2"/>
  <c r="BY84" i="2"/>
  <c r="CA83" i="2" l="1"/>
  <c r="CB83" i="2" s="1"/>
  <c r="CC83" i="2" s="1"/>
  <c r="BZ84" i="2"/>
  <c r="BY85" i="2"/>
  <c r="CD3" i="2" l="1"/>
  <c r="C9" i="4" s="1"/>
  <c r="E9" i="4" s="1"/>
  <c r="F9" i="4" s="1"/>
  <c r="CD59" i="2"/>
  <c r="CD31" i="2"/>
  <c r="CD162" i="2"/>
  <c r="CD67" i="2"/>
  <c r="CD129" i="2"/>
  <c r="CD168" i="2"/>
  <c r="CD183" i="2"/>
  <c r="CD176" i="2"/>
  <c r="CD46" i="2"/>
  <c r="CD181" i="2"/>
  <c r="CD106" i="2"/>
  <c r="CD100" i="2"/>
  <c r="CD122" i="2"/>
  <c r="CD113" i="2"/>
  <c r="CD173" i="2"/>
  <c r="CD12" i="2"/>
  <c r="CD157" i="2"/>
  <c r="CD135" i="2"/>
  <c r="CD49" i="2"/>
  <c r="CD185" i="2"/>
  <c r="CD147" i="2"/>
  <c r="CD87" i="2"/>
  <c r="CD186" i="2"/>
  <c r="CD187" i="2"/>
  <c r="CD17" i="2"/>
  <c r="CD56" i="2"/>
  <c r="CD194" i="2"/>
  <c r="CD203" i="2"/>
  <c r="CD40" i="2"/>
  <c r="CD45" i="2"/>
  <c r="CD103" i="2"/>
  <c r="CD11" i="2"/>
  <c r="CD39" i="2"/>
  <c r="CD148" i="2"/>
  <c r="CD48" i="2"/>
  <c r="CD85" i="2"/>
  <c r="CD22" i="2"/>
  <c r="CD61" i="2"/>
  <c r="CD199" i="2"/>
  <c r="CD14" i="2"/>
  <c r="CD160" i="2"/>
  <c r="CD90" i="2"/>
  <c r="CD132" i="2"/>
  <c r="CD116" i="2"/>
  <c r="CD189" i="2"/>
  <c r="CD140" i="2"/>
  <c r="CD44" i="2"/>
  <c r="CD101" i="2"/>
  <c r="CD52" i="2"/>
  <c r="CD105" i="2"/>
  <c r="CD118" i="2"/>
  <c r="CD83" i="2"/>
  <c r="CD71" i="2"/>
  <c r="CD117" i="2"/>
  <c r="CD57" i="2"/>
  <c r="CD166" i="2"/>
  <c r="CD177" i="2"/>
  <c r="CD24" i="2"/>
  <c r="CD13" i="2"/>
  <c r="CD6" i="2"/>
  <c r="CD35" i="2"/>
  <c r="CD196" i="2"/>
  <c r="CD4" i="2"/>
  <c r="CD47" i="2"/>
  <c r="CD69" i="2"/>
  <c r="CD94" i="2"/>
  <c r="CD197" i="2"/>
  <c r="CD193" i="2"/>
  <c r="CD127" i="2"/>
  <c r="CD192" i="2"/>
  <c r="CD109" i="2"/>
  <c r="CD150" i="2"/>
  <c r="CD8" i="2"/>
  <c r="CD143" i="2"/>
  <c r="CD99" i="2"/>
  <c r="CD190" i="2"/>
  <c r="CD195" i="2"/>
  <c r="CD107" i="2"/>
  <c r="CD98" i="2"/>
  <c r="CD50" i="2"/>
  <c r="CD16" i="2"/>
  <c r="CD38" i="2"/>
  <c r="CD134" i="2"/>
  <c r="CD51" i="2"/>
  <c r="CD161" i="2"/>
  <c r="CD123" i="2"/>
  <c r="CD5" i="2"/>
  <c r="CD158" i="2"/>
  <c r="CD119" i="2"/>
  <c r="CD202" i="2"/>
  <c r="CD120" i="2"/>
  <c r="CD60" i="2"/>
  <c r="CD182" i="2"/>
  <c r="CD79" i="2"/>
  <c r="CD77" i="2"/>
  <c r="CD62" i="2"/>
  <c r="CD139" i="2"/>
  <c r="CD159" i="2"/>
  <c r="CD142" i="2"/>
  <c r="CD175" i="2"/>
  <c r="CD95" i="2"/>
  <c r="CD41" i="2"/>
  <c r="CD92" i="2"/>
  <c r="CD66" i="2"/>
  <c r="CD58" i="2"/>
  <c r="CD7" i="2"/>
  <c r="CD21" i="2"/>
  <c r="CD34" i="2"/>
  <c r="CD29" i="2"/>
  <c r="CD145" i="2"/>
  <c r="CD110" i="2"/>
  <c r="CD188" i="2"/>
  <c r="CD18" i="2"/>
  <c r="CD154" i="2"/>
  <c r="CD88" i="2"/>
  <c r="CD164" i="2"/>
  <c r="CD73" i="2"/>
  <c r="CD174" i="2"/>
  <c r="CD65" i="2"/>
  <c r="CD43" i="2"/>
  <c r="CD163" i="2"/>
  <c r="CD131" i="2"/>
  <c r="CD153" i="2"/>
  <c r="CD74" i="2"/>
  <c r="CD137" i="2"/>
  <c r="CD108" i="2"/>
  <c r="CD33" i="2"/>
  <c r="CD23" i="2"/>
  <c r="CD191" i="2"/>
  <c r="CD10" i="2"/>
  <c r="CD200" i="2"/>
  <c r="CD97" i="2"/>
  <c r="CD70" i="2"/>
  <c r="CD141" i="2"/>
  <c r="CD178" i="2"/>
  <c r="CD201" i="2"/>
  <c r="CD93" i="2"/>
  <c r="CD152" i="2"/>
  <c r="CD86" i="2"/>
  <c r="CD125" i="2"/>
  <c r="CD126" i="2"/>
  <c r="CD80" i="2"/>
  <c r="CD184" i="2"/>
  <c r="CD64" i="2"/>
  <c r="CD144" i="2"/>
  <c r="CD130" i="2"/>
  <c r="CD27" i="2"/>
  <c r="CD68" i="2"/>
  <c r="CD171" i="2"/>
  <c r="CD15" i="2"/>
  <c r="CD63" i="2"/>
  <c r="CD149" i="2"/>
  <c r="CD112" i="2"/>
  <c r="CD179" i="2"/>
  <c r="CD102" i="2"/>
  <c r="CD167" i="2"/>
  <c r="CD136" i="2"/>
  <c r="CD26" i="2"/>
  <c r="CD169" i="2"/>
  <c r="CD81" i="2"/>
  <c r="CD76" i="2"/>
  <c r="CD155" i="2"/>
  <c r="CD172" i="2"/>
  <c r="CD72" i="2"/>
  <c r="CD115" i="2"/>
  <c r="CD25" i="2"/>
  <c r="CD170" i="2"/>
  <c r="CD146" i="2"/>
  <c r="CD36" i="2"/>
  <c r="CD30" i="2"/>
  <c r="CD37" i="2"/>
  <c r="CD75" i="2"/>
  <c r="CD55" i="2"/>
  <c r="CD111" i="2"/>
  <c r="CD28" i="2"/>
  <c r="CD32" i="2"/>
  <c r="CD156" i="2"/>
  <c r="CD114" i="2"/>
  <c r="CD138" i="2"/>
  <c r="CD104" i="2"/>
  <c r="CD20" i="2"/>
  <c r="CD96" i="2"/>
  <c r="CD84" i="2"/>
  <c r="CD89" i="2"/>
  <c r="CD133" i="2"/>
  <c r="CD165" i="2"/>
  <c r="CD42" i="2"/>
  <c r="CD180" i="2"/>
  <c r="CD53" i="2"/>
  <c r="CD82" i="2"/>
  <c r="CD91" i="2"/>
  <c r="CD19" i="2"/>
  <c r="CD198" i="2"/>
  <c r="CD121" i="2"/>
  <c r="CD78" i="2"/>
  <c r="CD9" i="2"/>
  <c r="CD128" i="2"/>
  <c r="CD54" i="2"/>
  <c r="CD124" i="2"/>
  <c r="CD151" i="2"/>
  <c r="BZ85" i="2"/>
  <c r="BY86" i="2"/>
  <c r="CA84" i="2"/>
  <c r="CB84" i="2" s="1"/>
  <c r="CC84" i="2" s="1"/>
  <c r="BY87" i="2" l="1"/>
  <c r="BZ86" i="2"/>
  <c r="CA85" i="2"/>
  <c r="CB85" i="2" s="1"/>
  <c r="CC85" i="2" s="1"/>
  <c r="G9" i="4"/>
  <c r="F16" i="4"/>
  <c r="L9" i="4" l="1"/>
  <c r="L16" i="4" s="1"/>
  <c r="G16" i="4"/>
  <c r="CA86" i="2"/>
  <c r="CB86" i="2" s="1"/>
  <c r="CC86" i="2" s="1"/>
  <c r="BZ87" i="2"/>
  <c r="BY88" i="2"/>
  <c r="CA87" i="2" l="1"/>
  <c r="CB87" i="2" s="1"/>
  <c r="CC87" i="2" s="1"/>
  <c r="BZ88" i="2"/>
  <c r="BY89" i="2"/>
  <c r="CA88" i="2" l="1"/>
  <c r="CB88" i="2" s="1"/>
  <c r="CC88" i="2" s="1"/>
  <c r="BY90" i="2"/>
  <c r="BZ89" i="2"/>
  <c r="BZ90" i="2" l="1"/>
  <c r="BY91" i="2"/>
  <c r="CA89" i="2"/>
  <c r="CB89" i="2" s="1"/>
  <c r="CC89" i="2" s="1"/>
  <c r="BZ91" i="2" l="1"/>
  <c r="BY92" i="2"/>
  <c r="CA90" i="2"/>
  <c r="CB90" i="2" s="1"/>
  <c r="CC90" i="2" s="1"/>
  <c r="BZ92" i="2" l="1"/>
  <c r="BY93" i="2"/>
  <c r="CA91" i="2"/>
  <c r="CB91" i="2"/>
  <c r="CC91" i="2" s="1"/>
  <c r="BY94" i="2" l="1"/>
  <c r="BZ93" i="2"/>
  <c r="CA92" i="2"/>
  <c r="CB92" i="2" s="1"/>
  <c r="CC92" i="2" s="1"/>
  <c r="CA93" i="2" l="1"/>
  <c r="CB93" i="2" s="1"/>
  <c r="CC93" i="2" s="1"/>
  <c r="BZ94" i="2"/>
  <c r="BY95" i="2"/>
  <c r="BY96" i="2" l="1"/>
  <c r="BZ95" i="2"/>
  <c r="CA94" i="2"/>
  <c r="CB94" i="2" s="1"/>
  <c r="CC94" i="2" s="1"/>
  <c r="CA95" i="2" l="1"/>
  <c r="CB95" i="2" s="1"/>
  <c r="CC95" i="2" s="1"/>
  <c r="BZ96" i="2"/>
  <c r="BY97" i="2"/>
  <c r="BZ97" i="2" l="1"/>
  <c r="BY98" i="2"/>
  <c r="CA96" i="2"/>
  <c r="CB96" i="2" s="1"/>
  <c r="CC96" i="2" s="1"/>
  <c r="BZ98" i="2" l="1"/>
  <c r="BY99" i="2"/>
  <c r="CA97" i="2"/>
  <c r="CB97" i="2" s="1"/>
  <c r="CC97" i="2" s="1"/>
  <c r="BZ99" i="2" l="1"/>
  <c r="BY100" i="2"/>
  <c r="CA98" i="2"/>
  <c r="CB98" i="2" s="1"/>
  <c r="CC98" i="2" s="1"/>
  <c r="BY101" i="2" l="1"/>
  <c r="BZ100" i="2"/>
  <c r="CA99" i="2"/>
  <c r="CB99" i="2" s="1"/>
  <c r="CC99" i="2" s="1"/>
  <c r="CA100" i="2" l="1"/>
  <c r="CB100" i="2" s="1"/>
  <c r="CC100" i="2" s="1"/>
  <c r="BZ101" i="2"/>
  <c r="BY102" i="2"/>
  <c r="CA101" i="2" l="1"/>
  <c r="CB101" i="2" s="1"/>
  <c r="CC101" i="2" s="1"/>
  <c r="BZ102" i="2"/>
  <c r="BY103" i="2"/>
  <c r="BY104" i="2" l="1"/>
  <c r="BZ103" i="2"/>
  <c r="CA102" i="2"/>
  <c r="CB102" i="2" s="1"/>
  <c r="CC102" i="2" s="1"/>
  <c r="CA103" i="2" l="1"/>
  <c r="CB103" i="2" s="1"/>
  <c r="CC103" i="2" s="1"/>
  <c r="BZ104" i="2"/>
  <c r="BY105" i="2"/>
  <c r="BZ105" i="2" l="1"/>
  <c r="BY106" i="2"/>
  <c r="CA104" i="2"/>
  <c r="CB104" i="2" s="1"/>
  <c r="CC104" i="2" s="1"/>
  <c r="BY107" i="2" l="1"/>
  <c r="BZ106" i="2"/>
  <c r="CA105" i="2"/>
  <c r="CB105" i="2" s="1"/>
  <c r="CC105" i="2" s="1"/>
  <c r="CA106" i="2" l="1"/>
  <c r="CB106" i="2" s="1"/>
  <c r="CC106" i="2" s="1"/>
  <c r="BZ107" i="2"/>
  <c r="BY108" i="2"/>
  <c r="BZ108" i="2" l="1"/>
  <c r="BY109" i="2"/>
  <c r="CA107" i="2"/>
  <c r="CB107" i="2" s="1"/>
  <c r="CC107" i="2" s="1"/>
  <c r="BZ109" i="2" l="1"/>
  <c r="BY110" i="2"/>
  <c r="CA108" i="2"/>
  <c r="CB108" i="2" s="1"/>
  <c r="CC108" i="2" s="1"/>
  <c r="BZ110" i="2" l="1"/>
  <c r="BY111" i="2"/>
  <c r="CA109" i="2"/>
  <c r="CB109" i="2" s="1"/>
  <c r="CC109" i="2" s="1"/>
  <c r="BY112" i="2" l="1"/>
  <c r="BZ111" i="2"/>
  <c r="CA110" i="2"/>
  <c r="CB110" i="2" s="1"/>
  <c r="CC110" i="2" s="1"/>
  <c r="CA111" i="2" l="1"/>
  <c r="CB111" i="2" s="1"/>
  <c r="CC111" i="2" s="1"/>
  <c r="BZ112" i="2"/>
  <c r="BY113" i="2"/>
  <c r="CA112" i="2" l="1"/>
  <c r="CB112" i="2" s="1"/>
  <c r="CC112" i="2" s="1"/>
  <c r="BZ113" i="2"/>
  <c r="BY114" i="2"/>
  <c r="CA113" i="2" l="1"/>
  <c r="CB113" i="2" s="1"/>
  <c r="CC113" i="2" s="1"/>
  <c r="BY115" i="2"/>
  <c r="BZ114" i="2"/>
  <c r="BZ115" i="2" l="1"/>
  <c r="BY116" i="2"/>
  <c r="CA114" i="2"/>
  <c r="CB114" i="2" s="1"/>
  <c r="CC114" i="2" s="1"/>
  <c r="BZ116" i="2" l="1"/>
  <c r="BY117" i="2"/>
  <c r="CA115" i="2"/>
  <c r="CB115" i="2" s="1"/>
  <c r="CC115" i="2" s="1"/>
  <c r="BZ117" i="2" l="1"/>
  <c r="BY118" i="2"/>
  <c r="CA116" i="2"/>
  <c r="CB116" i="2" s="1"/>
  <c r="CC116" i="2" s="1"/>
  <c r="BZ118" i="2" l="1"/>
  <c r="BY119" i="2"/>
  <c r="CA117" i="2"/>
  <c r="CB117" i="2" s="1"/>
  <c r="CC117" i="2" s="1"/>
  <c r="BY120" i="2" l="1"/>
  <c r="BZ119" i="2"/>
  <c r="CA118" i="2"/>
  <c r="CB118" i="2" s="1"/>
  <c r="CC118" i="2" s="1"/>
  <c r="CA119" i="2" l="1"/>
  <c r="CB119" i="2" s="1"/>
  <c r="CC119" i="2" s="1"/>
  <c r="BZ120" i="2"/>
  <c r="BY121" i="2"/>
  <c r="CA120" i="2" l="1"/>
  <c r="CB120" i="2" s="1"/>
  <c r="CC120" i="2" s="1"/>
  <c r="BZ121" i="2"/>
  <c r="BY122" i="2"/>
  <c r="BY123" i="2" l="1"/>
  <c r="BZ122" i="2"/>
  <c r="CA121" i="2"/>
  <c r="CB121" i="2" s="1"/>
  <c r="CC121" i="2" s="1"/>
  <c r="CA122" i="2" l="1"/>
  <c r="CB122" i="2" s="1"/>
  <c r="CC122" i="2" s="1"/>
  <c r="BZ123" i="2"/>
  <c r="BY124" i="2"/>
  <c r="BZ124" i="2" l="1"/>
  <c r="BY125" i="2"/>
  <c r="CA123" i="2"/>
  <c r="CB123" i="2" s="1"/>
  <c r="CC123" i="2" s="1"/>
  <c r="BZ125" i="2" l="1"/>
  <c r="BY126" i="2"/>
  <c r="CA124" i="2"/>
  <c r="CB124" i="2" s="1"/>
  <c r="CC124" i="2" s="1"/>
  <c r="BZ126" i="2" l="1"/>
  <c r="BY127" i="2"/>
  <c r="CA125" i="2"/>
  <c r="CB125" i="2" s="1"/>
  <c r="CC125" i="2" s="1"/>
  <c r="BY128" i="2" l="1"/>
  <c r="BZ127" i="2"/>
  <c r="CA126" i="2"/>
  <c r="CB126" i="2" s="1"/>
  <c r="CC126" i="2" s="1"/>
  <c r="CA127" i="2" l="1"/>
  <c r="CB127" i="2" s="1"/>
  <c r="CC127" i="2" s="1"/>
  <c r="BZ128" i="2"/>
  <c r="BY129" i="2"/>
  <c r="CA128" i="2" l="1"/>
  <c r="CB128" i="2" s="1"/>
  <c r="CC128" i="2" s="1"/>
  <c r="BZ129" i="2"/>
  <c r="BY130" i="2"/>
  <c r="BY131" i="2" l="1"/>
  <c r="BZ130" i="2"/>
  <c r="CA129" i="2"/>
  <c r="CB129" i="2" s="1"/>
  <c r="CC129" i="2" s="1"/>
  <c r="CA130" i="2" l="1"/>
  <c r="CB130" i="2" s="1"/>
  <c r="CC130" i="2" s="1"/>
  <c r="BZ131" i="2"/>
  <c r="BY132" i="2"/>
  <c r="CA131" i="2" l="1"/>
  <c r="CB131" i="2" s="1"/>
  <c r="CC131" i="2" s="1"/>
  <c r="BZ132" i="2"/>
  <c r="BY133" i="2"/>
  <c r="CA132" i="2" l="1"/>
  <c r="CB132" i="2"/>
  <c r="CC132" i="2" s="1"/>
  <c r="BZ133" i="2"/>
  <c r="BY134" i="2"/>
  <c r="CA133" i="2" l="1"/>
  <c r="CB133" i="2" s="1"/>
  <c r="CC133" i="2" s="1"/>
  <c r="BZ134" i="2"/>
  <c r="BY135" i="2"/>
  <c r="BY136" i="2" l="1"/>
  <c r="BZ135" i="2"/>
  <c r="CA134" i="2"/>
  <c r="CB134" i="2" s="1"/>
  <c r="CC134" i="2" s="1"/>
  <c r="CA135" i="2" l="1"/>
  <c r="CB135" i="2" s="1"/>
  <c r="CC135" i="2" s="1"/>
  <c r="BZ136" i="2"/>
  <c r="BY137" i="2"/>
  <c r="CA136" i="2" l="1"/>
  <c r="CB136" i="2" s="1"/>
  <c r="CC136" i="2" s="1"/>
  <c r="BZ137" i="2"/>
  <c r="BY138" i="2"/>
  <c r="BY139" i="2" l="1"/>
  <c r="BZ138" i="2"/>
  <c r="CA137" i="2"/>
  <c r="CB137" i="2" s="1"/>
  <c r="CC137" i="2" s="1"/>
  <c r="CA138" i="2" l="1"/>
  <c r="CB138" i="2" s="1"/>
  <c r="CC138" i="2" s="1"/>
  <c r="BZ139" i="2"/>
  <c r="BY140" i="2"/>
  <c r="CA139" i="2" l="1"/>
  <c r="CB139" i="2" s="1"/>
  <c r="CC139" i="2" s="1"/>
  <c r="BZ140" i="2"/>
  <c r="BY141" i="2"/>
  <c r="BZ141" i="2" l="1"/>
  <c r="BY142" i="2"/>
  <c r="CA140" i="2"/>
  <c r="CB140" i="2" s="1"/>
  <c r="CC140" i="2" s="1"/>
  <c r="BZ142" i="2" l="1"/>
  <c r="BY143" i="2"/>
  <c r="CA141" i="2"/>
  <c r="CB141" i="2" s="1"/>
  <c r="CC141" i="2" s="1"/>
  <c r="CA142" i="2" l="1"/>
  <c r="CB142" i="2" s="1"/>
  <c r="CC142" i="2" s="1"/>
  <c r="BY144" i="2"/>
  <c r="BZ143" i="2"/>
  <c r="BZ144" i="2" l="1"/>
  <c r="BY145" i="2"/>
  <c r="CA143" i="2"/>
  <c r="CB143" i="2" s="1"/>
  <c r="CC143" i="2" s="1"/>
  <c r="BZ145" i="2" l="1"/>
  <c r="BY146" i="2"/>
  <c r="CA144" i="2"/>
  <c r="CB144" i="2" s="1"/>
  <c r="CC144" i="2" s="1"/>
  <c r="BY147" i="2" l="1"/>
  <c r="BZ146" i="2"/>
  <c r="CA145" i="2"/>
  <c r="CB145" i="2" s="1"/>
  <c r="CC145" i="2" s="1"/>
  <c r="CA146" i="2" l="1"/>
  <c r="CB146" i="2" s="1"/>
  <c r="CC146" i="2" s="1"/>
  <c r="BZ147" i="2"/>
  <c r="BY148" i="2"/>
  <c r="CA147" i="2" l="1"/>
  <c r="CB147" i="2"/>
  <c r="CC147" i="2" s="1"/>
  <c r="BZ148" i="2"/>
  <c r="BY149" i="2"/>
  <c r="BZ149" i="2" l="1"/>
  <c r="BY150" i="2"/>
  <c r="CA148" i="2"/>
  <c r="CB148" i="2" s="1"/>
  <c r="CC148" i="2" s="1"/>
  <c r="BZ150" i="2" l="1"/>
  <c r="BY151" i="2"/>
  <c r="CA149" i="2"/>
  <c r="CB149" i="2" s="1"/>
  <c r="CC149" i="2" s="1"/>
  <c r="BY152" i="2" l="1"/>
  <c r="BZ151" i="2"/>
  <c r="CA150" i="2"/>
  <c r="CB150" i="2" s="1"/>
  <c r="CC150" i="2" s="1"/>
  <c r="CA151" i="2" l="1"/>
  <c r="CB151" i="2" s="1"/>
  <c r="CC151" i="2" s="1"/>
  <c r="BZ152" i="2"/>
  <c r="BY153" i="2"/>
  <c r="BZ153" i="2" l="1"/>
  <c r="BY154" i="2"/>
  <c r="CA152" i="2"/>
  <c r="CB152" i="2" s="1"/>
  <c r="CC152" i="2" s="1"/>
  <c r="BY155" i="2" l="1"/>
  <c r="BZ154" i="2"/>
  <c r="CA153" i="2"/>
  <c r="CB153" i="2" s="1"/>
  <c r="CC153" i="2" s="1"/>
  <c r="CA154" i="2" l="1"/>
  <c r="CB154" i="2" s="1"/>
  <c r="CC154" i="2" s="1"/>
  <c r="BZ155" i="2"/>
  <c r="BY156" i="2"/>
  <c r="BZ156" i="2" l="1"/>
  <c r="BY157" i="2"/>
  <c r="CA155" i="2"/>
  <c r="CB155" i="2" s="1"/>
  <c r="CC155" i="2" s="1"/>
  <c r="CA156" i="2" l="1"/>
  <c r="CB156" i="2" s="1"/>
  <c r="CC156" i="2" s="1"/>
  <c r="BZ157" i="2"/>
  <c r="BY158" i="2"/>
  <c r="CA157" i="2" l="1"/>
  <c r="CB157" i="2" s="1"/>
  <c r="CC157" i="2" s="1"/>
  <c r="BZ158" i="2"/>
  <c r="BY159" i="2"/>
  <c r="BY160" i="2" l="1"/>
  <c r="BZ159" i="2"/>
  <c r="CA158" i="2"/>
  <c r="CB158" i="2" s="1"/>
  <c r="CC158" i="2" s="1"/>
  <c r="CA159" i="2" l="1"/>
  <c r="CB159" i="2" s="1"/>
  <c r="CC159" i="2" s="1"/>
  <c r="BZ160" i="2"/>
  <c r="BY161" i="2"/>
  <c r="CA160" i="2" l="1"/>
  <c r="CB160" i="2" s="1"/>
  <c r="CC160" i="2" s="1"/>
  <c r="BZ161" i="2"/>
  <c r="BY162" i="2"/>
  <c r="BY163" i="2" l="1"/>
  <c r="BZ162" i="2"/>
  <c r="CA161" i="2"/>
  <c r="CB161" i="2" s="1"/>
  <c r="CC161" i="2" s="1"/>
  <c r="BZ163" i="2" l="1"/>
  <c r="BY164" i="2"/>
  <c r="CA162" i="2"/>
  <c r="CB162" i="2" s="1"/>
  <c r="CC162" i="2" s="1"/>
  <c r="BZ164" i="2" l="1"/>
  <c r="BY165" i="2"/>
  <c r="CA163" i="2"/>
  <c r="CB163" i="2"/>
  <c r="CC163" i="2" s="1"/>
  <c r="BZ165" i="2" l="1"/>
  <c r="BY166" i="2"/>
  <c r="CA164" i="2"/>
  <c r="CB164" i="2" s="1"/>
  <c r="CC164" i="2" s="1"/>
  <c r="BZ166" i="2" l="1"/>
  <c r="BY167" i="2"/>
  <c r="CA165" i="2"/>
  <c r="CB165" i="2" s="1"/>
  <c r="CC165" i="2" s="1"/>
  <c r="BY168" i="2" l="1"/>
  <c r="BZ167" i="2"/>
  <c r="CA166" i="2"/>
  <c r="CB166" i="2" s="1"/>
  <c r="CC166" i="2" s="1"/>
  <c r="CA167" i="2" l="1"/>
  <c r="CB167" i="2" s="1"/>
  <c r="CC167" i="2" s="1"/>
  <c r="BZ168" i="2"/>
  <c r="BY169" i="2"/>
  <c r="CA168" i="2" l="1"/>
  <c r="CB168" i="2" s="1"/>
  <c r="CC168" i="2" s="1"/>
  <c r="BZ169" i="2"/>
  <c r="BY170" i="2"/>
  <c r="BY171" i="2" l="1"/>
  <c r="BZ170" i="2"/>
  <c r="CA169" i="2"/>
  <c r="CB169" i="2"/>
  <c r="CC169" i="2" s="1"/>
  <c r="CA170" i="2" l="1"/>
  <c r="CB170" i="2" s="1"/>
  <c r="CC170" i="2" s="1"/>
  <c r="BZ171" i="2"/>
  <c r="BY172" i="2"/>
  <c r="BZ172" i="2" l="1"/>
  <c r="BY173" i="2"/>
  <c r="CA171" i="2"/>
  <c r="CB171" i="2"/>
  <c r="CC171" i="2" s="1"/>
  <c r="BZ173" i="2" l="1"/>
  <c r="BY174" i="2"/>
  <c r="CA172" i="2"/>
  <c r="CB172" i="2" s="1"/>
  <c r="CC172" i="2" s="1"/>
  <c r="BZ174" i="2" l="1"/>
  <c r="BY175" i="2"/>
  <c r="CA173" i="2"/>
  <c r="CB173" i="2" s="1"/>
  <c r="CC173" i="2" s="1"/>
  <c r="BY176" i="2" l="1"/>
  <c r="BZ175" i="2"/>
  <c r="CA174" i="2"/>
  <c r="CB174" i="2" s="1"/>
  <c r="CC174" i="2" s="1"/>
  <c r="CA175" i="2" l="1"/>
  <c r="CB175" i="2" s="1"/>
  <c r="CC175" i="2" s="1"/>
  <c r="BZ176" i="2"/>
  <c r="BY177" i="2"/>
  <c r="CA176" i="2" l="1"/>
  <c r="CB176" i="2" s="1"/>
  <c r="CC176" i="2" s="1"/>
  <c r="BZ177" i="2"/>
  <c r="BY178" i="2"/>
  <c r="CA177" i="2" l="1"/>
  <c r="CB177" i="2" s="1"/>
  <c r="CC177" i="2" s="1"/>
  <c r="BY179" i="2"/>
  <c r="BZ178" i="2"/>
  <c r="BZ179" i="2" l="1"/>
  <c r="BY180" i="2"/>
  <c r="CA178" i="2"/>
  <c r="CB178" i="2" s="1"/>
  <c r="CC178" i="2" s="1"/>
  <c r="BZ180" i="2" l="1"/>
  <c r="BY181" i="2"/>
  <c r="CA179" i="2"/>
  <c r="CB179" i="2" s="1"/>
  <c r="CC179" i="2" s="1"/>
  <c r="BZ181" i="2" l="1"/>
  <c r="BY182" i="2"/>
  <c r="CA180" i="2"/>
  <c r="CB180" i="2" s="1"/>
  <c r="CC180" i="2" s="1"/>
  <c r="BZ182" i="2" l="1"/>
  <c r="BY183" i="2"/>
  <c r="CA181" i="2"/>
  <c r="CB181" i="2" s="1"/>
  <c r="CC181" i="2" s="1"/>
  <c r="BY184" i="2" l="1"/>
  <c r="BZ183" i="2"/>
  <c r="CA182" i="2"/>
  <c r="CB182" i="2" s="1"/>
  <c r="CC182" i="2" s="1"/>
  <c r="CA183" i="2" l="1"/>
  <c r="CB183" i="2" s="1"/>
  <c r="CC183" i="2" s="1"/>
  <c r="BZ184" i="2"/>
  <c r="BY185" i="2"/>
  <c r="BZ185" i="2" l="1"/>
  <c r="BY186" i="2"/>
  <c r="CA184" i="2"/>
  <c r="CB184" i="2" s="1"/>
  <c r="CC184" i="2" s="1"/>
  <c r="BY187" i="2" l="1"/>
  <c r="BZ186" i="2"/>
  <c r="CA185" i="2"/>
  <c r="CB185" i="2" s="1"/>
  <c r="CC185" i="2" s="1"/>
  <c r="CA186" i="2" l="1"/>
  <c r="CB186" i="2" s="1"/>
  <c r="CC186" i="2" s="1"/>
  <c r="BZ187" i="2"/>
  <c r="BY188" i="2"/>
  <c r="CA187" i="2" l="1"/>
  <c r="CB187" i="2" s="1"/>
  <c r="CC187" i="2" s="1"/>
  <c r="BZ188" i="2"/>
  <c r="BY189" i="2"/>
  <c r="BZ189" i="2" l="1"/>
  <c r="BY190" i="2"/>
  <c r="CA188" i="2"/>
  <c r="CB188" i="2"/>
  <c r="CC188" i="2" s="1"/>
  <c r="BZ190" i="2" l="1"/>
  <c r="BY191" i="2"/>
  <c r="CA189" i="2"/>
  <c r="CB189" i="2" s="1"/>
  <c r="CC189" i="2" s="1"/>
  <c r="BY192" i="2" l="1"/>
  <c r="BZ191" i="2"/>
  <c r="CA190" i="2"/>
  <c r="CB190" i="2" s="1"/>
  <c r="CC190" i="2" s="1"/>
  <c r="CA191" i="2" l="1"/>
  <c r="CB191" i="2" s="1"/>
  <c r="CC191" i="2" s="1"/>
  <c r="BZ192" i="2"/>
  <c r="BY193" i="2"/>
  <c r="BZ193" i="2" l="1"/>
  <c r="BY194" i="2"/>
  <c r="CA192" i="2"/>
  <c r="CB192" i="2" s="1"/>
  <c r="CC192" i="2" s="1"/>
  <c r="BY195" i="2" l="1"/>
  <c r="BZ194" i="2"/>
  <c r="CA193" i="2"/>
  <c r="CB193" i="2" s="1"/>
  <c r="CC193" i="2" s="1"/>
  <c r="CA194" i="2" l="1"/>
  <c r="CB194" i="2" s="1"/>
  <c r="CC194" i="2" s="1"/>
  <c r="BZ195" i="2"/>
  <c r="BY196" i="2"/>
  <c r="CA195" i="2" l="1"/>
  <c r="CB195" i="2" s="1"/>
  <c r="CC195" i="2" s="1"/>
  <c r="BZ196" i="2"/>
  <c r="BY197" i="2"/>
  <c r="CA196" i="2" l="1"/>
  <c r="CB196" i="2" s="1"/>
  <c r="CC196" i="2" s="1"/>
  <c r="BZ197" i="2"/>
  <c r="BY198" i="2"/>
  <c r="CA197" i="2" l="1"/>
  <c r="CB197" i="2" s="1"/>
  <c r="CC197" i="2" s="1"/>
  <c r="BZ198" i="2"/>
  <c r="BY199" i="2"/>
  <c r="CA198" i="2" l="1"/>
  <c r="CB198" i="2" s="1"/>
  <c r="CC198" i="2" s="1"/>
  <c r="BY200" i="2"/>
  <c r="BZ199" i="2"/>
  <c r="CA199" i="2" l="1"/>
  <c r="CB199" i="2" s="1"/>
  <c r="CC199" i="2" s="1"/>
  <c r="BZ200" i="2"/>
  <c r="BY201" i="2"/>
  <c r="CA200" i="2" l="1"/>
  <c r="CB200" i="2" s="1"/>
  <c r="CC200" i="2" s="1"/>
  <c r="BZ201" i="2"/>
  <c r="BY202" i="2"/>
  <c r="BZ202" i="2" l="1"/>
  <c r="BY203" i="2"/>
  <c r="BZ203" i="2" s="1"/>
  <c r="CA201" i="2"/>
  <c r="CB201" i="2" s="1"/>
  <c r="CC201" i="2" s="1"/>
  <c r="CA203" i="2" l="1"/>
  <c r="CB203" i="2" s="1"/>
  <c r="CC203" i="2" s="1"/>
  <c r="CA202" i="2"/>
  <c r="CB202" i="2" s="1"/>
  <c r="CC202" i="2" s="1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<sst xmlns="http://schemas.openxmlformats.org/spreadsheetml/2006/main" count="1177" uniqueCount="324">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</sst>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2.5899319369248102</c:v>
                </c:pt>
                <c:pt idx="2">
                  <c:v>3.2253851310403672</c:v>
                </c:pt>
                <c:pt idx="3">
                  <c:v>4.0173528690193505</c:v>
                </c:pt>
                <c:pt idx="4">
                  <c:v>5.00452528642787</c:v>
                </c:pt>
                <c:pt idx="5">
                  <c:v>6.2351890481209198</c:v>
                </c:pt>
                <c:pt idx="6">
                  <c:v>7.7696150958050287</c:v>
                </c:pt>
                <c:pt idx="7">
                  <c:v>9.683042215330218</c:v>
                </c:pt>
                <c:pt idx="8">
                  <c:v>12.069405492775401</c:v>
                </c:pt>
                <c:pt idx="9">
                  <c:v>15.045996113937354</c:v>
                </c:pt>
                <c:pt idx="10">
                  <c:v>18.759285743865959</c:v>
                </c:pt>
                <c:pt idx="11">
                  <c:v>23.392207267964867</c:v>
                </c:pt>
                <c:pt idx="12">
                  <c:v>29.173256947236883</c:v>
                </c:pt>
                <c:pt idx="13">
                  <c:v>36.387874748664522</c:v>
                </c:pt>
                <c:pt idx="14">
                  <c:v>45.392674405485643</c:v>
                </c:pt>
                <c:pt idx="15">
                  <c:v>56.633238462952697</c:v>
                </c:pt>
                <c:pt idx="16">
                  <c:v>70.666373465260961</c:v>
                </c:pt>
                <c:pt idx="17">
                  <c:v>88.187945673386295</c:v>
                </c:pt>
                <c:pt idx="18">
                  <c:v>110.06769971495227</c:v>
                </c:pt>
                <c:pt idx="19">
                  <c:v>137.39281569228118</c:v>
                </c:pt>
                <c:pt idx="20">
                  <c:v>171.52240247513097</c:v>
                </c:pt>
                <c:pt idx="21">
                  <c:v>117.08953497430657</c:v>
                </c:pt>
                <c:pt idx="22">
                  <c:v>138.71071738701849</c:v>
                </c:pt>
                <c:pt idx="23">
                  <c:v>160.25079164727728</c:v>
                </c:pt>
                <c:pt idx="24">
                  <c:v>181.72221165400222</c:v>
                </c:pt>
                <c:pt idx="25">
                  <c:v>203.1342371552947</c:v>
                </c:pt>
                <c:pt idx="26">
                  <c:v>224.49401164296532</c:v>
                </c:pt>
                <c:pt idx="27">
                  <c:v>245.80720608227134</c:v>
                </c:pt>
                <c:pt idx="28">
                  <c:v>267.07842670720612</c:v>
                </c:pt>
                <c:pt idx="29">
                  <c:v>288.31148567604197</c:v>
                </c:pt>
                <c:pt idx="30">
                  <c:v>309.50958762804532</c:v>
                </c:pt>
                <c:pt idx="31">
                  <c:v>229.73908693575422</c:v>
                </c:pt>
                <c:pt idx="32">
                  <c:v>247.552271690163</c:v>
                </c:pt>
                <c:pt idx="33">
                  <c:v>265.33636719298863</c:v>
                </c:pt>
                <c:pt idx="34">
                  <c:v>283.09359729649924</c:v>
                </c:pt>
                <c:pt idx="35">
                  <c:v>300.8258840165891</c:v>
                </c:pt>
                <c:pt idx="36">
                  <c:v>318.53490425391561</c:v>
                </c:pt>
                <c:pt idx="37">
                  <c:v>336.22213322966473</c:v>
                </c:pt>
                <c:pt idx="38">
                  <c:v>353.88887829705351</c:v>
                </c:pt>
                <c:pt idx="39">
                  <c:v>371.53630564474861</c:v>
                </c:pt>
                <c:pt idx="40">
                  <c:v>389.16546165993583</c:v>
                </c:pt>
                <c:pt idx="41">
                  <c:v>305.51576628998953</c:v>
                </c:pt>
                <c:pt idx="42">
                  <c:v>318.88191759321518</c:v>
                </c:pt>
                <c:pt idx="43">
                  <c:v>332.23566943149461</c:v>
                </c:pt>
                <c:pt idx="44">
                  <c:v>345.57759046125335</c:v>
                </c:pt>
                <c:pt idx="45">
                  <c:v>358.90820183854021</c:v>
                </c:pt>
                <c:pt idx="46">
                  <c:v>372.22798284097098</c:v>
                </c:pt>
                <c:pt idx="47">
                  <c:v>385.53737564275275</c:v>
                </c:pt>
                <c:pt idx="48">
                  <c:v>398.83678939579403</c:v>
                </c:pt>
                <c:pt idx="49">
                  <c:v>412.12660373799196</c:v>
                </c:pt>
                <c:pt idx="50">
                  <c:v>425.4071718253474</c:v>
                </c:pt>
                <c:pt idx="51">
                  <c:v>367.73157741875724</c:v>
                </c:pt>
                <c:pt idx="52">
                  <c:v>377.41467255842053</c:v>
                </c:pt>
                <c:pt idx="53">
                  <c:v>387.09236005182021</c:v>
                </c:pt>
                <c:pt idx="54">
                  <c:v>396.76479421746376</c:v>
                </c:pt>
                <c:pt idx="55">
                  <c:v>406.43212123270035</c:v>
                </c:pt>
                <c:pt idx="56">
                  <c:v>416.09447975082225</c:v>
                </c:pt>
                <c:pt idx="57">
                  <c:v>425.75200145784316</c:v>
                </c:pt>
                <c:pt idx="58">
                  <c:v>435.40481157611185</c:v>
                </c:pt>
                <c:pt idx="59">
                  <c:v>445.05302932092792</c:v>
                </c:pt>
                <c:pt idx="60">
                  <c:v>454.69676831549168</c:v>
                </c:pt>
                <c:pt idx="61">
                  <c:v>418.68178489381393</c:v>
                </c:pt>
                <c:pt idx="62">
                  <c:v>425.75200145784316</c:v>
                </c:pt>
                <c:pt idx="63">
                  <c:v>432.81969257844707</c:v>
                </c:pt>
                <c:pt idx="64">
                  <c:v>439.88490533840906</c:v>
                </c:pt>
                <c:pt idx="65">
                  <c:v>446.94768518373309</c:v>
                </c:pt>
                <c:pt idx="66">
                  <c:v>454.00807600607862</c:v>
                </c:pt>
                <c:pt idx="67">
                  <c:v>461.06612021979964</c:v>
                </c:pt>
                <c:pt idx="68">
                  <c:v>468.12185883401872</c:v>
                </c:pt>
                <c:pt idx="69">
                  <c:v>475.17533152012783</c:v>
                </c:pt>
                <c:pt idx="70">
                  <c:v>482.22657667507048</c:v>
                </c:pt>
                <c:pt idx="71">
                  <c:v>451.42528061425111</c:v>
                </c:pt>
                <c:pt idx="72">
                  <c:v>456.7627116241062</c:v>
                </c:pt>
                <c:pt idx="73">
                  <c:v>462.09881038696238</c:v>
                </c:pt>
                <c:pt idx="74">
                  <c:v>467.43359446949609</c:v>
                </c:pt>
                <c:pt idx="75">
                  <c:v>472.76708100439265</c:v>
                </c:pt>
                <c:pt idx="76">
                  <c:v>478.09928670594991</c:v>
                </c:pt>
                <c:pt idx="77">
                  <c:v>483.43022788495313</c:v>
                </c:pt>
                <c:pt idx="78">
                  <c:v>488.75992046285774</c:v>
                </c:pt>
                <c:pt idx="79">
                  <c:v>494.08837998532084</c:v>
                </c:pt>
                <c:pt idx="80">
                  <c:v>499.4156216351189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62.580068182725313</c:v>
                </c:pt>
                <c:pt idx="12">
                  <c:v>79.64780089225961</c:v>
                </c:pt>
                <c:pt idx="13">
                  <c:v>96.622378392606606</c:v>
                </c:pt>
                <c:pt idx="14">
                  <c:v>113.52255899804454</c:v>
                </c:pt>
                <c:pt idx="15">
                  <c:v>130.36101221629727</c:v>
                </c:pt>
                <c:pt idx="16">
                  <c:v>147.14684893940071</c:v>
                </c:pt>
                <c:pt idx="17">
                  <c:v>163.88692361334699</c:v>
                </c:pt>
                <c:pt idx="18">
                  <c:v>180.58657218998459</c:v>
                </c:pt>
                <c:pt idx="19">
                  <c:v>197.25006116701806</c:v>
                </c:pt>
                <c:pt idx="20">
                  <c:v>213.88087624460479</c:v>
                </c:pt>
                <c:pt idx="21">
                  <c:v>137.39083930673908</c:v>
                </c:pt>
                <c:pt idx="22">
                  <c:v>156.88740899092929</c:v>
                </c:pt>
                <c:pt idx="23">
                  <c:v>176.32642399290856</c:v>
                </c:pt>
                <c:pt idx="24">
                  <c:v>195.7151268464269</c:v>
                </c:pt>
                <c:pt idx="25">
                  <c:v>215.0592048597434</c:v>
                </c:pt>
                <c:pt idx="26">
                  <c:v>234.36323716840596</c:v>
                </c:pt>
                <c:pt idx="27">
                  <c:v>253.6309862079039</c:v>
                </c:pt>
                <c:pt idx="28">
                  <c:v>272.86559571589572</c:v>
                </c:pt>
                <c:pt idx="29">
                  <c:v>292.06972985560316</c:v>
                </c:pt>
                <c:pt idx="30">
                  <c:v>311.24567377041313</c:v>
                </c:pt>
                <c:pt idx="31">
                  <c:v>228.952501957349</c:v>
                </c:pt>
                <c:pt idx="32">
                  <c:v>245.17622856574675</c:v>
                </c:pt>
                <c:pt idx="33">
                  <c:v>261.37556913199376</c:v>
                </c:pt>
                <c:pt idx="34">
                  <c:v>277.55224782280595</c:v>
                </c:pt>
                <c:pt idx="35">
                  <c:v>293.70777135039344</c:v>
                </c:pt>
                <c:pt idx="36">
                  <c:v>309.84346710446169</c:v>
                </c:pt>
                <c:pt idx="37">
                  <c:v>325.9605129186765</c:v>
                </c:pt>
                <c:pt idx="38">
                  <c:v>342.0599606381441</c:v>
                </c:pt>
                <c:pt idx="39">
                  <c:v>358.14275501577009</c:v>
                </c:pt>
                <c:pt idx="40">
                  <c:v>374.20974903573421</c:v>
                </c:pt>
                <c:pt idx="41">
                  <c:v>294.2927366781621</c:v>
                </c:pt>
                <c:pt idx="42">
                  <c:v>307.73989261056767</c:v>
                </c:pt>
                <c:pt idx="43">
                  <c:v>321.1739980509787</c:v>
                </c:pt>
                <c:pt idx="44">
                  <c:v>334.59567585759885</c:v>
                </c:pt>
                <c:pt idx="45">
                  <c:v>348.00549483018625</c:v>
                </c:pt>
                <c:pt idx="46">
                  <c:v>361.40397634816759</c:v>
                </c:pt>
                <c:pt idx="47">
                  <c:v>374.79159997264645</c:v>
                </c:pt>
                <c:pt idx="48">
                  <c:v>388.1688082060096</c:v>
                </c:pt>
                <c:pt idx="49">
                  <c:v>401.53601056106123</c:v>
                </c:pt>
                <c:pt idx="50">
                  <c:v>414.89358705996847</c:v>
                </c:pt>
                <c:pt idx="51">
                  <c:v>350.68608221443083</c:v>
                </c:pt>
                <c:pt idx="52">
                  <c:v>362.10272554390031</c:v>
                </c:pt>
                <c:pt idx="53">
                  <c:v>373.51150187973388</c:v>
                </c:pt>
                <c:pt idx="54">
                  <c:v>384.91268544829836</c:v>
                </c:pt>
                <c:pt idx="55">
                  <c:v>396.30653290088247</c:v>
                </c:pt>
                <c:pt idx="56">
                  <c:v>407.6932849237607</c:v>
                </c:pt>
                <c:pt idx="57">
                  <c:v>419.0731676589694</c:v>
                </c:pt>
                <c:pt idx="58">
                  <c:v>430.44639396268781</c:v>
                </c:pt>
                <c:pt idx="59">
                  <c:v>441.81316452367497</c:v>
                </c:pt>
                <c:pt idx="60">
                  <c:v>453.17366886059989</c:v>
                </c:pt>
                <c:pt idx="61">
                  <c:v>398.04985721662001</c:v>
                </c:pt>
                <c:pt idx="62">
                  <c:v>407.92559534757805</c:v>
                </c:pt>
                <c:pt idx="63">
                  <c:v>417.79616934776453</c:v>
                </c:pt>
                <c:pt idx="64">
                  <c:v>427.66171846396509</c:v>
                </c:pt>
                <c:pt idx="65">
                  <c:v>437.52237499233479</c:v>
                </c:pt>
                <c:pt idx="66">
                  <c:v>447.37826477754788</c:v>
                </c:pt>
                <c:pt idx="67">
                  <c:v>457.22950766566288</c:v>
                </c:pt>
                <c:pt idx="68">
                  <c:v>467.07621791591828</c:v>
                </c:pt>
                <c:pt idx="69">
                  <c:v>476.91850457599202</c:v>
                </c:pt>
                <c:pt idx="70">
                  <c:v>486.75647182466588</c:v>
                </c:pt>
                <c:pt idx="71">
                  <c:v>435.08666090841865</c:v>
                </c:pt>
                <c:pt idx="72">
                  <c:v>443.66836388772407</c:v>
                </c:pt>
                <c:pt idx="73">
                  <c:v>452.24651127718994</c:v>
                </c:pt>
                <c:pt idx="74">
                  <c:v>460.82118005626143</c:v>
                </c:pt>
                <c:pt idx="75">
                  <c:v>469.39244410483235</c:v>
                </c:pt>
                <c:pt idx="76">
                  <c:v>477.96037438359508</c:v>
                </c:pt>
                <c:pt idx="77">
                  <c:v>486.52503910078366</c:v>
                </c:pt>
                <c:pt idx="78">
                  <c:v>495.08650386656154</c:v>
                </c:pt>
                <c:pt idx="79">
                  <c:v>503.64483183617295</c:v>
                </c:pt>
                <c:pt idx="80">
                  <c:v>512.20008384285597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1.9751469543703284</c:v>
                </c:pt>
                <c:pt idx="2">
                  <c:v>2.5156007982095305</c:v>
                </c:pt>
                <c:pt idx="3">
                  <c:v>3.2045293307604297</c:v>
                </c:pt>
                <c:pt idx="4">
                  <c:v>4.082875345875836</c:v>
                </c:pt>
                <c:pt idx="5">
                  <c:v>5.2029115112692326</c:v>
                </c:pt>
                <c:pt idx="6">
                  <c:v>6.6313858262305061</c:v>
                </c:pt>
                <c:pt idx="7">
                  <c:v>8.4535429542945408</c:v>
                </c:pt>
                <c:pt idx="8">
                  <c:v>10.77826599335063</c:v>
                </c:pt>
                <c:pt idx="9">
                  <c:v>13.744651703083976</c:v>
                </c:pt>
                <c:pt idx="10">
                  <c:v>17.530419872819859</c:v>
                </c:pt>
                <c:pt idx="11">
                  <c:v>22.362669780975192</c:v>
                </c:pt>
                <c:pt idx="12">
                  <c:v>28.531640490201386</c:v>
                </c:pt>
                <c:pt idx="13">
                  <c:v>36.408315909288063</c:v>
                </c:pt>
                <c:pt idx="14">
                  <c:v>46.466951503072629</c:v>
                </c:pt>
                <c:pt idx="15">
                  <c:v>59.313901819384263</c:v>
                </c:pt>
                <c:pt idx="16">
                  <c:v>75.724515312270583</c:v>
                </c:pt>
                <c:pt idx="17">
                  <c:v>96.690359229624207</c:v>
                </c:pt>
                <c:pt idx="18">
                  <c:v>123.4796733177774</c:v>
                </c:pt>
                <c:pt idx="19">
                  <c:v>157.71476616396276</c:v>
                </c:pt>
                <c:pt idx="20">
                  <c:v>201.47111266072736</c:v>
                </c:pt>
                <c:pt idx="21">
                  <c:v>170.78347729920503</c:v>
                </c:pt>
                <c:pt idx="22">
                  <c:v>194.48922755318475</c:v>
                </c:pt>
                <c:pt idx="23">
                  <c:v>218.12777482817634</c:v>
                </c:pt>
                <c:pt idx="24">
                  <c:v>241.70742778160744</c:v>
                </c:pt>
                <c:pt idx="25">
                  <c:v>265.23473910996836</c:v>
                </c:pt>
                <c:pt idx="26">
                  <c:v>288.71500303129216</c:v>
                </c:pt>
                <c:pt idx="27">
                  <c:v>312.15258192873364</c:v>
                </c:pt>
                <c:pt idx="28">
                  <c:v>335.55112952178632</c:v>
                </c:pt>
                <c:pt idx="29">
                  <c:v>358.91374842416138</c:v>
                </c:pt>
                <c:pt idx="30">
                  <c:v>382.24310448239476</c:v>
                </c:pt>
                <c:pt idx="31">
                  <c:v>281.0214556365425</c:v>
                </c:pt>
                <c:pt idx="32">
                  <c:v>305.11275800661684</c:v>
                </c:pt>
                <c:pt idx="33">
                  <c:v>329.1617729359433</c:v>
                </c:pt>
                <c:pt idx="34">
                  <c:v>353.17202231575834</c:v>
                </c:pt>
                <c:pt idx="35">
                  <c:v>377.14651019229785</c:v>
                </c:pt>
                <c:pt idx="36">
                  <c:v>401.08782767173875</c:v>
                </c:pt>
                <c:pt idx="37">
                  <c:v>424.99823145221518</c:v>
                </c:pt>
                <c:pt idx="38">
                  <c:v>448.87970375338136</c:v>
                </c:pt>
                <c:pt idx="39">
                  <c:v>472.73399882486802</c:v>
                </c:pt>
                <c:pt idx="40">
                  <c:v>496.56267957814447</c:v>
                </c:pt>
                <c:pt idx="41">
                  <c:v>393.83238721559246</c:v>
                </c:pt>
                <c:pt idx="42">
                  <c:v>415.59024663273141</c:v>
                </c:pt>
                <c:pt idx="43">
                  <c:v>437.32355211969843</c:v>
                </c:pt>
                <c:pt idx="44">
                  <c:v>459.03369461888519</c:v>
                </c:pt>
                <c:pt idx="45">
                  <c:v>480.72192286008544</c:v>
                </c:pt>
                <c:pt idx="46">
                  <c:v>502.3893637909328</c:v>
                </c:pt>
                <c:pt idx="47">
                  <c:v>524.03703930017934</c:v>
                </c:pt>
                <c:pt idx="48">
                  <c:v>545.66588003482593</c:v>
                </c:pt>
                <c:pt idx="49">
                  <c:v>567.2767369135463</c:v>
                </c:pt>
                <c:pt idx="50">
                  <c:v>588.87039079533213</c:v>
                </c:pt>
                <c:pt idx="51">
                  <c:v>488.20011850953728</c:v>
                </c:pt>
                <c:pt idx="52">
                  <c:v>506.44186491750833</c:v>
                </c:pt>
                <c:pt idx="53">
                  <c:v>524.66972453027984</c:v>
                </c:pt>
                <c:pt idx="54">
                  <c:v>542.88424739876098</c:v>
                </c:pt>
                <c:pt idx="55">
                  <c:v>561.08594367871262</c:v>
                </c:pt>
                <c:pt idx="56">
                  <c:v>579.27528775109101</c:v>
                </c:pt>
                <c:pt idx="57">
                  <c:v>597.4527217982378</c:v>
                </c:pt>
                <c:pt idx="58">
                  <c:v>615.61865892247363</c:v>
                </c:pt>
                <c:pt idx="59">
                  <c:v>633.77348587768927</c:v>
                </c:pt>
                <c:pt idx="60">
                  <c:v>651.91756547188425</c:v>
                </c:pt>
                <c:pt idx="61">
                  <c:v>577.25484549588498</c:v>
                </c:pt>
                <c:pt idx="62">
                  <c:v>592.15217566749891</c:v>
                </c:pt>
                <c:pt idx="63">
                  <c:v>607.04170727539702</c:v>
                </c:pt>
                <c:pt idx="64">
                  <c:v>621.92365844556696</c:v>
                </c:pt>
                <c:pt idx="65">
                  <c:v>636.79823601975852</c:v>
                </c:pt>
                <c:pt idx="66">
                  <c:v>651.66563639464164</c:v>
                </c:pt>
                <c:pt idx="67">
                  <c:v>666.52604628044833</c:v>
                </c:pt>
                <c:pt idx="68">
                  <c:v>681.37964338848485</c:v>
                </c:pt>
                <c:pt idx="69">
                  <c:v>696.22659705561784</c:v>
                </c:pt>
                <c:pt idx="70">
                  <c:v>711.06706881276114</c:v>
                </c:pt>
                <c:pt idx="71">
                  <c:v>653.6810128637851</c:v>
                </c:pt>
                <c:pt idx="72">
                  <c:v>665.51877810099154</c:v>
                </c:pt>
                <c:pt idx="73">
                  <c:v>677.35221272181798</c:v>
                </c:pt>
                <c:pt idx="74">
                  <c:v>689.18140301253072</c:v>
                </c:pt>
                <c:pt idx="75">
                  <c:v>701.00643205718552</c:v>
                </c:pt>
                <c:pt idx="76">
                  <c:v>712.82737990961004</c:v>
                </c:pt>
                <c:pt idx="77">
                  <c:v>724.64432375339163</c:v>
                </c:pt>
                <c:pt idx="78">
                  <c:v>736.45733805089333</c:v>
                </c:pt>
                <c:pt idx="79">
                  <c:v>748.2664946822191</c:v>
                </c:pt>
                <c:pt idx="80">
                  <c:v>760.07186307495249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4.9127645399410786</c:v>
                </c:pt>
                <c:pt idx="2">
                  <c:v>10.463657006217867</c:v>
                </c:pt>
                <c:pt idx="3">
                  <c:v>22.323736056542419</c:v>
                </c:pt>
                <c:pt idx="4">
                  <c:v>47.703082843620628</c:v>
                </c:pt>
                <c:pt idx="5">
                  <c:v>102.09197798314808</c:v>
                </c:pt>
                <c:pt idx="6">
                  <c:v>110.03492698401654</c:v>
                </c:pt>
                <c:pt idx="7">
                  <c:v>149.55792775717688</c:v>
                </c:pt>
                <c:pt idx="8">
                  <c:v>188.82974704850497</c:v>
                </c:pt>
                <c:pt idx="9">
                  <c:v>227.91034965501251</c:v>
                </c:pt>
                <c:pt idx="10">
                  <c:v>266.83723378272913</c:v>
                </c:pt>
                <c:pt idx="11">
                  <c:v>202.9184983227934</c:v>
                </c:pt>
                <c:pt idx="12">
                  <c:v>236.48641945410841</c:v>
                </c:pt>
                <c:pt idx="13">
                  <c:v>269.94556787272933</c:v>
                </c:pt>
                <c:pt idx="14">
                  <c:v>303.31132185729041</c:v>
                </c:pt>
                <c:pt idx="15">
                  <c:v>336.59539404232532</c:v>
                </c:pt>
                <c:pt idx="16">
                  <c:v>296.72257258084204</c:v>
                </c:pt>
                <c:pt idx="17">
                  <c:v>322.67182868220272</c:v>
                </c:pt>
                <c:pt idx="18">
                  <c:v>348.57494931806696</c:v>
                </c:pt>
                <c:pt idx="19">
                  <c:v>374.43584202599351</c:v>
                </c:pt>
                <c:pt idx="20">
                  <c:v>400.25783072357081</c:v>
                </c:pt>
                <c:pt idx="21">
                  <c:v>376.36416153266538</c:v>
                </c:pt>
                <c:pt idx="22">
                  <c:v>396.79135973905704</c:v>
                </c:pt>
                <c:pt idx="23">
                  <c:v>417.19578523729092</c:v>
                </c:pt>
                <c:pt idx="24">
                  <c:v>437.57870778707598</c:v>
                </c:pt>
                <c:pt idx="25">
                  <c:v>457.94126927057499</c:v>
                </c:pt>
                <c:pt idx="26">
                  <c:v>438.73183906857099</c:v>
                </c:pt>
                <c:pt idx="27">
                  <c:v>454.10078588624361</c:v>
                </c:pt>
                <c:pt idx="28">
                  <c:v>469.45861841140714</c:v>
                </c:pt>
                <c:pt idx="29">
                  <c:v>484.80575132371069</c:v>
                </c:pt>
                <c:pt idx="30">
                  <c:v>500.14257091604276</c:v>
                </c:pt>
                <c:pt idx="31">
                  <c:v>487.10692264565654</c:v>
                </c:pt>
                <c:pt idx="32">
                  <c:v>498.99265901764267</c:v>
                </c:pt>
                <c:pt idx="33">
                  <c:v>510.87240230317911</c:v>
                </c:pt>
                <c:pt idx="34">
                  <c:v>522.74631149207403</c:v>
                </c:pt>
                <c:pt idx="35">
                  <c:v>534.61453776319524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1.7820460841885446</c:v>
                </c:pt>
                <c:pt idx="2">
                  <c:v>2.1370333010745477</c:v>
                </c:pt>
                <c:pt idx="3">
                  <c:v>2.5630038731151701</c:v>
                </c:pt>
                <c:pt idx="4">
                  <c:v>3.0742025959532011</c:v>
                </c:pt>
                <c:pt idx="5">
                  <c:v>3.687742486054995</c:v>
                </c:pt>
                <c:pt idx="6">
                  <c:v>4.4241841074742041</c:v>
                </c:pt>
                <c:pt idx="7">
                  <c:v>5.3082322495475509</c:v>
                </c:pt>
                <c:pt idx="8">
                  <c:v>6.36957378968361</c:v>
                </c:pt>
                <c:pt idx="9">
                  <c:v>7.6438854278954196</c:v>
                </c:pt>
                <c:pt idx="10">
                  <c:v>9.1740458223331611</c:v>
                </c:pt>
                <c:pt idx="11">
                  <c:v>11.011593690223092</c:v>
                </c:pt>
                <c:pt idx="12">
                  <c:v>13.218481910203776</c:v>
                </c:pt>
                <c:pt idx="13">
                  <c:v>15.869187863927671</c:v>
                </c:pt>
                <c:pt idx="14">
                  <c:v>19.053252541042799</c:v>
                </c:pt>
                <c:pt idx="15">
                  <c:v>22.878335728943153</c:v>
                </c:pt>
                <c:pt idx="16">
                  <c:v>27.473892431116116</c:v>
                </c:pt>
                <c:pt idx="17">
                  <c:v>32.995597125104759</c:v>
                </c:pt>
                <c:pt idx="18">
                  <c:v>39.630668329727399</c:v>
                </c:pt>
                <c:pt idx="19">
                  <c:v>47.604277101158324</c:v>
                </c:pt>
                <c:pt idx="20">
                  <c:v>57.187260603369687</c:v>
                </c:pt>
                <c:pt idx="21">
                  <c:v>68.705407107523271</c:v>
                </c:pt>
                <c:pt idx="22">
                  <c:v>82.550633242872692</c:v>
                </c:pt>
                <c:pt idx="23">
                  <c:v>99.194439947904542</c:v>
                </c:pt>
                <c:pt idx="24">
                  <c:v>119.20411264431338</c:v>
                </c:pt>
                <c:pt idx="25">
                  <c:v>143.26222643790695</c:v>
                </c:pt>
                <c:pt idx="26">
                  <c:v>116.77986587022598</c:v>
                </c:pt>
                <c:pt idx="27">
                  <c:v>131.53611082594338</c:v>
                </c:pt>
                <c:pt idx="28">
                  <c:v>146.25235982825424</c:v>
                </c:pt>
                <c:pt idx="29">
                  <c:v>160.93320819167815</c:v>
                </c:pt>
                <c:pt idx="30">
                  <c:v>175.5823424815143</c:v>
                </c:pt>
                <c:pt idx="31">
                  <c:v>148.99203073556177</c:v>
                </c:pt>
                <c:pt idx="32">
                  <c:v>165.90240656060988</c:v>
                </c:pt>
                <c:pt idx="33">
                  <c:v>182.77207966907611</c:v>
                </c:pt>
                <c:pt idx="34">
                  <c:v>199.6053374819264</c:v>
                </c:pt>
                <c:pt idx="35">
                  <c:v>216.40568417713132</c:v>
                </c:pt>
                <c:pt idx="36">
                  <c:v>233.17603483406575</c:v>
                </c:pt>
                <c:pt idx="37">
                  <c:v>249.91885064634377</c:v>
                </c:pt>
                <c:pt idx="38">
                  <c:v>266.63623592537948</c:v>
                </c:pt>
                <c:pt idx="39">
                  <c:v>283.33000946108069</c:v>
                </c:pt>
                <c:pt idx="40">
                  <c:v>300.00175816119173</c:v>
                </c:pt>
                <c:pt idx="41">
                  <c:v>231.57421272848467</c:v>
                </c:pt>
                <c:pt idx="42">
                  <c:v>249.18074755492987</c:v>
                </c:pt>
                <c:pt idx="43">
                  <c:v>266.75906835498398</c:v>
                </c:pt>
                <c:pt idx="44">
                  <c:v>284.31129577048586</c:v>
                </c:pt>
                <c:pt idx="45">
                  <c:v>301.83926715946524</c:v>
                </c:pt>
                <c:pt idx="46">
                  <c:v>319.34458903944369</c:v>
                </c:pt>
                <c:pt idx="47">
                  <c:v>336.82867741987718</c:v>
                </c:pt>
                <c:pt idx="48">
                  <c:v>354.29278931675071</c:v>
                </c:pt>
                <c:pt idx="49">
                  <c:v>371.73804772555394</c:v>
                </c:pt>
                <c:pt idx="50">
                  <c:v>389.16546165993617</c:v>
                </c:pt>
                <c:pt idx="51">
                  <c:v>320.07860464143613</c:v>
                </c:pt>
                <c:pt idx="52">
                  <c:v>336.46208765640489</c:v>
                </c:pt>
                <c:pt idx="53">
                  <c:v>352.82800889794822</c:v>
                </c:pt>
                <c:pt idx="54">
                  <c:v>369.17729748284825</c:v>
                </c:pt>
                <c:pt idx="55">
                  <c:v>385.51079352962574</c:v>
                </c:pt>
                <c:pt idx="56">
                  <c:v>401.82926017154529</c:v>
                </c:pt>
                <c:pt idx="57">
                  <c:v>418.13339351614712</c:v>
                </c:pt>
                <c:pt idx="58">
                  <c:v>434.42383097030392</c:v>
                </c:pt>
                <c:pt idx="59">
                  <c:v>450.70115825149293</c:v>
                </c:pt>
                <c:pt idx="60">
                  <c:v>466.96591533351801</c:v>
                </c:pt>
                <c:pt idx="61">
                  <c:v>395.86375743638092</c:v>
                </c:pt>
                <c:pt idx="62">
                  <c:v>409.86140455127156</c:v>
                </c:pt>
                <c:pt idx="63">
                  <c:v>423.84873204810697</c:v>
                </c:pt>
                <c:pt idx="64">
                  <c:v>437.82612841573797</c:v>
                </c:pt>
                <c:pt idx="65">
                  <c:v>451.7939553179495</c:v>
                </c:pt>
                <c:pt idx="66">
                  <c:v>465.75255023516019</c:v>
                </c:pt>
                <c:pt idx="67">
                  <c:v>479.70222877296902</c:v>
                </c:pt>
                <c:pt idx="68">
                  <c:v>493.64328668822753</c:v>
                </c:pt>
                <c:pt idx="69">
                  <c:v>507.57600167435913</c:v>
                </c:pt>
                <c:pt idx="70">
                  <c:v>521.50063494049505</c:v>
                </c:pt>
                <c:pt idx="71">
                  <c:v>456.65014935173809</c:v>
                </c:pt>
                <c:pt idx="72">
                  <c:v>468.17921322374485</c:v>
                </c:pt>
                <c:pt idx="73">
                  <c:v>479.70222877296902</c:v>
                </c:pt>
                <c:pt idx="74">
                  <c:v>491.21936176570597</c:v>
                </c:pt>
                <c:pt idx="75">
                  <c:v>502.73076956123799</c:v>
                </c:pt>
                <c:pt idx="76">
                  <c:v>514.23660172502753</c:v>
                </c:pt>
                <c:pt idx="77">
                  <c:v>525.73700058417546</c:v>
                </c:pt>
                <c:pt idx="78">
                  <c:v>537.23210173175823</c:v>
                </c:pt>
                <c:pt idx="79">
                  <c:v>548.72203448575749</c:v>
                </c:pt>
                <c:pt idx="80">
                  <c:v>560.20692230756185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1" sqref="E1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7.06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5</v>
      </c>
      <c r="C9" s="32">
        <v>0.03</v>
      </c>
      <c r="D9" s="33">
        <f t="shared" ref="D9:D18" si="0">C9*$C$5</f>
        <v>0.21179999999999999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164</v>
      </c>
      <c r="C10" s="32">
        <v>0.18</v>
      </c>
      <c r="D10" s="33">
        <f t="shared" si="0"/>
        <v>1.2707999999999999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14</v>
      </c>
      <c r="C11" s="32">
        <v>0.35</v>
      </c>
      <c r="D11" s="33">
        <f t="shared" si="0"/>
        <v>2.4709999999999996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81</v>
      </c>
      <c r="C12" s="32">
        <v>0.17</v>
      </c>
      <c r="D12" s="33">
        <f t="shared" si="0"/>
        <v>1.2001999999999999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35</v>
      </c>
      <c r="C13" s="32">
        <v>0.13</v>
      </c>
      <c r="D13" s="33">
        <f t="shared" si="0"/>
        <v>0.91779999999999995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44</v>
      </c>
      <c r="C14" s="32">
        <v>0.06</v>
      </c>
      <c r="D14" s="33">
        <f t="shared" si="0"/>
        <v>0.42359999999999998</v>
      </c>
      <c r="E14" s="34">
        <v>35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36</v>
      </c>
      <c r="C15" s="32">
        <v>0.05</v>
      </c>
      <c r="D15" s="33">
        <f t="shared" si="0"/>
        <v>0.35299999999999998</v>
      </c>
      <c r="E15" s="34">
        <v>62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41</v>
      </c>
      <c r="C16" s="32">
        <v>0.03</v>
      </c>
      <c r="D16" s="33">
        <f t="shared" si="0"/>
        <v>0.21179999999999999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7.0599999999999987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Bouleau verruqueux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95</v>
      </c>
      <c r="C36" s="60">
        <v>1</v>
      </c>
      <c r="D36" s="60">
        <f>15+28</f>
        <v>43</v>
      </c>
      <c r="E36" s="51"/>
      <c r="F36" s="51">
        <v>0.25</v>
      </c>
      <c r="G36" s="51">
        <v>0.25</v>
      </c>
      <c r="H36" s="51">
        <v>0.5</v>
      </c>
      <c r="I36" s="49">
        <f>IFERROR(B36/A36,"")</f>
        <v>4.75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174</v>
      </c>
      <c r="C37" s="60">
        <v>2</v>
      </c>
      <c r="D37" s="60">
        <f>28+28</f>
        <v>56</v>
      </c>
      <c r="E37" s="51"/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12.2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220</v>
      </c>
      <c r="C38" s="60">
        <v>3</v>
      </c>
      <c r="D38" s="60">
        <f>28+28</f>
        <v>56</v>
      </c>
      <c r="E38" s="51"/>
      <c r="F38" s="51"/>
      <c r="G38" s="51"/>
      <c r="H38" s="51"/>
      <c r="I38" s="53">
        <f t="shared" si="1"/>
        <v>10.199999999999999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241</v>
      </c>
      <c r="C39" s="60">
        <v>4</v>
      </c>
      <c r="D39" s="60">
        <f>22+17</f>
        <v>39</v>
      </c>
      <c r="E39" s="51"/>
      <c r="F39" s="51"/>
      <c r="G39" s="51"/>
      <c r="H39" s="51"/>
      <c r="I39" s="49">
        <f t="shared" si="1"/>
        <v>7.7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258</v>
      </c>
      <c r="C40" s="60">
        <v>5</v>
      </c>
      <c r="D40" s="60">
        <f>13+12</f>
        <v>25</v>
      </c>
      <c r="E40" s="51"/>
      <c r="F40" s="51"/>
      <c r="G40" s="51"/>
      <c r="H40" s="51"/>
      <c r="I40" s="49">
        <f t="shared" si="1"/>
        <v>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274</v>
      </c>
      <c r="C41" s="60">
        <v>6</v>
      </c>
      <c r="D41" s="60">
        <f>11+10</f>
        <v>21</v>
      </c>
      <c r="E41" s="51"/>
      <c r="F41" s="51"/>
      <c r="G41" s="51"/>
      <c r="H41" s="51"/>
      <c r="I41" s="53">
        <f t="shared" si="1"/>
        <v>4.0999999999999996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f>267+9+8</f>
        <v>284</v>
      </c>
      <c r="C42" s="60">
        <v>7</v>
      </c>
      <c r="D42" s="60">
        <f>B42</f>
        <v>284</v>
      </c>
      <c r="E42" s="51"/>
      <c r="F42" s="51"/>
      <c r="G42" s="51"/>
      <c r="H42" s="51"/>
      <c r="I42" s="53">
        <f t="shared" si="1"/>
        <v>3.1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158</v>
      </c>
      <c r="C62" s="60">
        <v>1</v>
      </c>
      <c r="D62" s="60">
        <v>12.5</v>
      </c>
      <c r="E62" s="51"/>
      <c r="F62" s="51">
        <v>0.5</v>
      </c>
      <c r="G62" s="51">
        <v>0.5</v>
      </c>
      <c r="H62" s="51"/>
      <c r="I62" s="53">
        <f>IFERROR(B62/A62,"")</f>
        <v>7.9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250-D62</f>
        <v>237.5</v>
      </c>
      <c r="C63" s="60">
        <v>2</v>
      </c>
      <c r="D63" s="60">
        <v>45.9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9.1999999999999993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350-SUM(D62:D63)</f>
        <v>291.60000000000002</v>
      </c>
      <c r="C64" s="60">
        <v>3</v>
      </c>
      <c r="D64" s="60">
        <v>83.4</v>
      </c>
      <c r="E64" s="51"/>
      <c r="F64" s="51"/>
      <c r="G64" s="51"/>
      <c r="H64" s="51"/>
      <c r="I64" s="49">
        <f>IF(A64&lt;&gt;0,(B64-(B63-D63))/(A64-A63),"")</f>
        <v>10.000000000000004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465-SUM(D62:D64)</f>
        <v>323.2</v>
      </c>
      <c r="C65" s="60">
        <v>4</v>
      </c>
      <c r="D65" s="60">
        <v>83.4</v>
      </c>
      <c r="E65" s="51"/>
      <c r="F65" s="51"/>
      <c r="G65" s="51"/>
      <c r="H65" s="51"/>
      <c r="I65" s="49">
        <f>IF(A65&lt;&gt;0,(B65-(B64-D64))/(A65-A64),"")</f>
        <v>11.499999999999996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600-SUM(D62:D65)</f>
        <v>374.79999999999995</v>
      </c>
      <c r="C66" s="60">
        <v>5</v>
      </c>
      <c r="D66" s="60">
        <v>83.4</v>
      </c>
      <c r="E66" s="51"/>
      <c r="F66" s="51"/>
      <c r="G66" s="51"/>
      <c r="H66" s="51"/>
      <c r="I66" s="49">
        <f t="shared" ref="I66:I81" si="2">IF(A66&lt;&gt;0,(B66-(B65-D65))/(A66-A65),"")</f>
        <v>13.499999999999996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755-SUM(D62:D66)</f>
        <v>446.4</v>
      </c>
      <c r="C67" s="60">
        <v>6</v>
      </c>
      <c r="D67" s="60">
        <v>83.4</v>
      </c>
      <c r="E67" s="51"/>
      <c r="F67" s="51"/>
      <c r="G67" s="51"/>
      <c r="H67" s="51"/>
      <c r="I67" s="49">
        <f t="shared" si="2"/>
        <v>15.5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925-SUM(D62:D67)</f>
        <v>533</v>
      </c>
      <c r="C68" s="60">
        <v>7</v>
      </c>
      <c r="D68" s="60">
        <v>83.4</v>
      </c>
      <c r="E68" s="51"/>
      <c r="F68" s="51"/>
      <c r="G68" s="51"/>
      <c r="H68" s="51"/>
      <c r="I68" s="49">
        <f t="shared" si="2"/>
        <v>17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1100-SUM(D62:D68)</f>
        <v>624.6</v>
      </c>
      <c r="C69" s="50">
        <v>8</v>
      </c>
      <c r="D69" s="50">
        <v>83.4</v>
      </c>
      <c r="E69" s="51"/>
      <c r="F69" s="51"/>
      <c r="G69" s="51"/>
      <c r="H69" s="51"/>
      <c r="I69" s="49">
        <f t="shared" si="2"/>
        <v>17.5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f>1285-SUM(D62:D69)</f>
        <v>726.2</v>
      </c>
      <c r="C70" s="50">
        <v>9</v>
      </c>
      <c r="D70" s="50">
        <v>726.2</v>
      </c>
      <c r="E70" s="51"/>
      <c r="F70" s="51"/>
      <c r="G70" s="51"/>
      <c r="H70" s="51"/>
      <c r="I70" s="49">
        <f t="shared" si="2"/>
        <v>18.5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42</v>
      </c>
      <c r="C88" s="60"/>
      <c r="D88" s="60"/>
      <c r="E88" s="51"/>
      <c r="F88" s="51"/>
      <c r="G88" s="51"/>
      <c r="H88" s="87"/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105</v>
      </c>
      <c r="C89" s="60">
        <v>1</v>
      </c>
      <c r="D89" s="60">
        <f>21+8</f>
        <v>29</v>
      </c>
      <c r="E89" s="51"/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6.3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158</v>
      </c>
      <c r="C90" s="60">
        <v>2</v>
      </c>
      <c r="D90" s="60">
        <f>21+21</f>
        <v>42</v>
      </c>
      <c r="E90" s="87"/>
      <c r="F90" s="87"/>
      <c r="G90" s="87"/>
      <c r="H90" s="87"/>
      <c r="I90" s="53">
        <f t="shared" si="3"/>
        <v>8.1999999999999993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199</v>
      </c>
      <c r="C91" s="60">
        <v>3</v>
      </c>
      <c r="D91" s="60">
        <f t="shared" ref="D91:D96" si="4">21+21</f>
        <v>42</v>
      </c>
      <c r="E91" s="87"/>
      <c r="F91" s="87"/>
      <c r="G91" s="87"/>
      <c r="H91" s="87"/>
      <c r="I91" s="53">
        <f t="shared" si="3"/>
        <v>8.3000000000000007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235</v>
      </c>
      <c r="C92" s="60">
        <v>4</v>
      </c>
      <c r="D92" s="60">
        <f t="shared" si="4"/>
        <v>42</v>
      </c>
      <c r="E92" s="87"/>
      <c r="F92" s="87"/>
      <c r="G92" s="87"/>
      <c r="H92" s="87"/>
      <c r="I92" s="53">
        <f t="shared" si="3"/>
        <v>7.8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263</v>
      </c>
      <c r="C93" s="60">
        <v>5</v>
      </c>
      <c r="D93" s="60">
        <f t="shared" si="4"/>
        <v>42</v>
      </c>
      <c r="E93" s="87"/>
      <c r="F93" s="87"/>
      <c r="G93" s="87"/>
      <c r="H93" s="87"/>
      <c r="I93" s="53">
        <f t="shared" si="3"/>
        <v>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282</v>
      </c>
      <c r="C94" s="60">
        <v>6</v>
      </c>
      <c r="D94" s="60">
        <f t="shared" si="4"/>
        <v>42</v>
      </c>
      <c r="E94" s="87"/>
      <c r="F94" s="87"/>
      <c r="G94" s="87"/>
      <c r="H94" s="87"/>
      <c r="I94" s="53">
        <f t="shared" si="3"/>
        <v>6.1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v>296</v>
      </c>
      <c r="C95" s="60">
        <v>7</v>
      </c>
      <c r="D95" s="60">
        <f t="shared" si="4"/>
        <v>42</v>
      </c>
      <c r="E95" s="87"/>
      <c r="F95" s="87"/>
      <c r="G95" s="87"/>
      <c r="H95" s="87"/>
      <c r="I95" s="53">
        <f t="shared" si="3"/>
        <v>5.6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v>303</v>
      </c>
      <c r="C96" s="60">
        <v>8</v>
      </c>
      <c r="D96" s="60">
        <f t="shared" si="4"/>
        <v>42</v>
      </c>
      <c r="E96" s="87"/>
      <c r="F96" s="87"/>
      <c r="G96" s="87"/>
      <c r="H96" s="87"/>
      <c r="I96" s="53">
        <f t="shared" si="3"/>
        <v>4.9000000000000004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110</v>
      </c>
      <c r="B97" s="60">
        <v>305</v>
      </c>
      <c r="C97" s="60">
        <v>9</v>
      </c>
      <c r="D97" s="60">
        <f>20+19</f>
        <v>39</v>
      </c>
      <c r="E97" s="87"/>
      <c r="F97" s="87"/>
      <c r="G97" s="87"/>
      <c r="H97" s="87"/>
      <c r="I97" s="53">
        <f t="shared" si="3"/>
        <v>4.4000000000000004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120</v>
      </c>
      <c r="B98" s="60">
        <f>268+17+18</f>
        <v>303</v>
      </c>
      <c r="C98" s="60">
        <v>10</v>
      </c>
      <c r="D98" s="60">
        <f>B98</f>
        <v>303</v>
      </c>
      <c r="E98" s="87"/>
      <c r="F98" s="87"/>
      <c r="G98" s="87"/>
      <c r="H98" s="87"/>
      <c r="I98" s="53">
        <f t="shared" si="3"/>
        <v>3.7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Mélèze hybride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36</v>
      </c>
      <c r="C114" s="50"/>
      <c r="D114" s="60">
        <v>0</v>
      </c>
      <c r="E114" s="51"/>
      <c r="F114" s="51"/>
      <c r="G114" s="51"/>
      <c r="H114" s="51"/>
      <c r="I114" s="53">
        <f>IFERROR(B114/A114,"")</f>
        <v>3.6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177</v>
      </c>
      <c r="C115" s="50">
        <v>1</v>
      </c>
      <c r="D115" s="60">
        <f>39+42</f>
        <v>81</v>
      </c>
      <c r="E115" s="51"/>
      <c r="F115" s="51">
        <v>0.5</v>
      </c>
      <c r="G115" s="51">
        <v>0.5</v>
      </c>
      <c r="H115" s="51"/>
      <c r="I115" s="53">
        <f t="shared" ref="I115:I133" si="5">IF(A115&lt;&gt;0,(B115-(B114-D114))/(A115-A114),"")</f>
        <v>14.1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260</v>
      </c>
      <c r="C116" s="50">
        <v>2</v>
      </c>
      <c r="D116" s="60">
        <f>42+42</f>
        <v>84</v>
      </c>
      <c r="E116" s="51">
        <v>0.2</v>
      </c>
      <c r="F116" s="51">
        <v>0.4</v>
      </c>
      <c r="G116" s="51">
        <v>0.4</v>
      </c>
      <c r="H116" s="51"/>
      <c r="I116" s="53">
        <f t="shared" si="5"/>
        <v>16.399999999999999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314</v>
      </c>
      <c r="C117" s="50">
        <v>3</v>
      </c>
      <c r="D117" s="60">
        <f>42+38</f>
        <v>80</v>
      </c>
      <c r="E117" s="51"/>
      <c r="F117" s="51"/>
      <c r="G117" s="51"/>
      <c r="H117" s="51"/>
      <c r="I117" s="53">
        <f t="shared" si="5"/>
        <v>13.8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349</v>
      </c>
      <c r="C118" s="50">
        <v>4</v>
      </c>
      <c r="D118" s="60">
        <f>34+31</f>
        <v>65</v>
      </c>
      <c r="E118" s="51"/>
      <c r="F118" s="51"/>
      <c r="G118" s="51"/>
      <c r="H118" s="51"/>
      <c r="I118" s="53">
        <f t="shared" si="5"/>
        <v>11.5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382</v>
      </c>
      <c r="C119" s="50">
        <v>5</v>
      </c>
      <c r="D119" s="60">
        <f>29+27</f>
        <v>56</v>
      </c>
      <c r="E119" s="51"/>
      <c r="F119" s="51"/>
      <c r="G119" s="51"/>
      <c r="H119" s="51"/>
      <c r="I119" s="53">
        <f t="shared" si="5"/>
        <v>9.8000000000000007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411</v>
      </c>
      <c r="C120" s="60">
        <v>6</v>
      </c>
      <c r="D120" s="60">
        <f>26+26</f>
        <v>52</v>
      </c>
      <c r="E120" s="87"/>
      <c r="F120" s="87"/>
      <c r="G120" s="87"/>
      <c r="H120" s="87"/>
      <c r="I120" s="53">
        <f t="shared" si="5"/>
        <v>8.5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f>381+26+26</f>
        <v>433</v>
      </c>
      <c r="C121" s="60">
        <v>7</v>
      </c>
      <c r="D121" s="60">
        <f>B121</f>
        <v>433</v>
      </c>
      <c r="E121" s="87"/>
      <c r="F121" s="87"/>
      <c r="G121" s="87"/>
      <c r="H121" s="87"/>
      <c r="I121" s="53">
        <f t="shared" si="5"/>
        <v>7.4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Pin laricio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152</v>
      </c>
      <c r="C140" s="50">
        <v>1</v>
      </c>
      <c r="D140" s="60">
        <v>42</v>
      </c>
      <c r="E140" s="51"/>
      <c r="F140" s="51">
        <v>0.5</v>
      </c>
      <c r="G140" s="51">
        <v>0.5</v>
      </c>
      <c r="H140" s="51"/>
      <c r="I140" s="57">
        <f>IFERROR(B140/A140,"")</f>
        <v>7.6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293</v>
      </c>
      <c r="C141" s="50">
        <v>2</v>
      </c>
      <c r="D141" s="60">
        <v>98</v>
      </c>
      <c r="E141" s="51">
        <v>0.1</v>
      </c>
      <c r="F141" s="51">
        <v>0.45</v>
      </c>
      <c r="G141" s="51">
        <v>0.45</v>
      </c>
      <c r="H141" s="51"/>
      <c r="I141" s="57">
        <f t="shared" ref="I141:I159" si="6">IF(A141&lt;&gt;0,(B141-(B140-D140))/(A141-A140),"")</f>
        <v>18.3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383</v>
      </c>
      <c r="C142" s="50">
        <v>3</v>
      </c>
      <c r="D142" s="60">
        <v>98</v>
      </c>
      <c r="E142" s="51"/>
      <c r="F142" s="51"/>
      <c r="G142" s="51"/>
      <c r="H142" s="51"/>
      <c r="I142" s="57">
        <f t="shared" si="6"/>
        <v>18.8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456</v>
      </c>
      <c r="C143" s="50">
        <v>4</v>
      </c>
      <c r="D143" s="60">
        <v>94</v>
      </c>
      <c r="E143" s="51"/>
      <c r="F143" s="51"/>
      <c r="G143" s="51"/>
      <c r="H143" s="51"/>
      <c r="I143" s="57">
        <f t="shared" si="6"/>
        <v>17.100000000000001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506</v>
      </c>
      <c r="C144" s="50">
        <v>5</v>
      </c>
      <c r="D144" s="60">
        <v>71</v>
      </c>
      <c r="E144" s="51"/>
      <c r="F144" s="51"/>
      <c r="G144" s="51"/>
      <c r="H144" s="51"/>
      <c r="I144" s="57">
        <f t="shared" si="6"/>
        <v>14.4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553</v>
      </c>
      <c r="C145" s="50">
        <v>6</v>
      </c>
      <c r="D145" s="60">
        <v>55</v>
      </c>
      <c r="E145" s="51"/>
      <c r="F145" s="51"/>
      <c r="G145" s="51"/>
      <c r="H145" s="51"/>
      <c r="I145" s="57">
        <f t="shared" si="6"/>
        <v>11.8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f>543+49</f>
        <v>592</v>
      </c>
      <c r="C146" s="50">
        <v>7</v>
      </c>
      <c r="D146" s="60">
        <f>B146</f>
        <v>592</v>
      </c>
      <c r="E146" s="51"/>
      <c r="F146" s="51"/>
      <c r="G146" s="51"/>
      <c r="H146" s="51"/>
      <c r="I146" s="57">
        <f t="shared" si="6"/>
        <v>9.4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Robinier faux-acacia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5</v>
      </c>
      <c r="B166" s="60">
        <v>50</v>
      </c>
      <c r="C166" s="60">
        <v>1</v>
      </c>
      <c r="D166" s="60">
        <v>16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10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10</v>
      </c>
      <c r="B167" s="60">
        <v>134</v>
      </c>
      <c r="C167" s="60">
        <v>2</v>
      </c>
      <c r="D167" s="60">
        <v>50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7">IF(A167&lt;&gt;0,(B167-(B166-D166))/(A167-A166),"")</f>
        <v>20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15</v>
      </c>
      <c r="B168" s="60">
        <v>170</v>
      </c>
      <c r="C168" s="60">
        <v>3</v>
      </c>
      <c r="D168" s="60">
        <v>34</v>
      </c>
      <c r="E168" s="51"/>
      <c r="F168" s="51">
        <v>0.25</v>
      </c>
      <c r="G168" s="51">
        <v>0.25</v>
      </c>
      <c r="H168" s="51">
        <v>0.5</v>
      </c>
      <c r="I168" s="49">
        <f t="shared" si="7"/>
        <v>17.2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20</v>
      </c>
      <c r="B169" s="60">
        <v>203</v>
      </c>
      <c r="C169" s="60">
        <v>4</v>
      </c>
      <c r="D169" s="60">
        <v>23</v>
      </c>
      <c r="E169" s="51">
        <v>0.1</v>
      </c>
      <c r="F169" s="51">
        <v>0.45</v>
      </c>
      <c r="G169" s="51">
        <v>0.45</v>
      </c>
      <c r="H169" s="51"/>
      <c r="I169" s="49">
        <f t="shared" si="7"/>
        <v>13.4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25</v>
      </c>
      <c r="B170" s="60">
        <v>233</v>
      </c>
      <c r="C170" s="60">
        <v>5</v>
      </c>
      <c r="D170" s="60">
        <v>18</v>
      </c>
      <c r="E170" s="51">
        <v>0.1</v>
      </c>
      <c r="F170" s="51">
        <v>0.45</v>
      </c>
      <c r="G170" s="51">
        <v>0.45</v>
      </c>
      <c r="H170" s="51"/>
      <c r="I170" s="49">
        <f t="shared" si="7"/>
        <v>10.6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30</v>
      </c>
      <c r="B171" s="60">
        <v>255</v>
      </c>
      <c r="C171" s="60">
        <v>6</v>
      </c>
      <c r="D171" s="60">
        <v>13</v>
      </c>
      <c r="E171" s="51">
        <v>0.2</v>
      </c>
      <c r="F171" s="51">
        <v>0.4</v>
      </c>
      <c r="G171" s="51">
        <v>0.4</v>
      </c>
      <c r="H171" s="51"/>
      <c r="I171" s="49">
        <f t="shared" si="7"/>
        <v>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35</v>
      </c>
      <c r="B172" s="60">
        <v>273</v>
      </c>
      <c r="C172" s="60">
        <v>7</v>
      </c>
      <c r="D172" s="60">
        <f>B172</f>
        <v>273</v>
      </c>
      <c r="E172" s="51"/>
      <c r="F172" s="51"/>
      <c r="G172" s="51"/>
      <c r="H172" s="51"/>
      <c r="I172" s="49">
        <f t="shared" si="7"/>
        <v>6.2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Pin maritime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12</v>
      </c>
      <c r="B192" s="60">
        <v>36</v>
      </c>
      <c r="C192" s="60"/>
      <c r="D192" s="60">
        <v>0</v>
      </c>
      <c r="E192" s="51"/>
      <c r="F192" s="51"/>
      <c r="G192" s="51"/>
      <c r="H192" s="51"/>
      <c r="I192" s="49">
        <f>IFERROR(B192/A192,"")</f>
        <v>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16</v>
      </c>
      <c r="B193" s="60">
        <v>81</v>
      </c>
      <c r="C193" s="60">
        <v>1</v>
      </c>
      <c r="D193" s="60">
        <v>15</v>
      </c>
      <c r="E193" s="51"/>
      <c r="F193" s="51">
        <v>0.5</v>
      </c>
      <c r="G193" s="51">
        <v>0.5</v>
      </c>
      <c r="H193" s="51"/>
      <c r="I193" s="49">
        <f t="shared" ref="I193:I211" si="8">IF(A193&lt;&gt;0,(B193-(B192-D192))/(A193-A192),"")</f>
        <v>11.25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20</v>
      </c>
      <c r="B194" s="60">
        <v>119</v>
      </c>
      <c r="C194" s="60">
        <v>2</v>
      </c>
      <c r="D194" s="60">
        <v>22</v>
      </c>
      <c r="E194" s="51">
        <v>0.1</v>
      </c>
      <c r="F194" s="51">
        <v>0.45</v>
      </c>
      <c r="G194" s="51">
        <v>0.45</v>
      </c>
      <c r="H194" s="51"/>
      <c r="I194" s="49">
        <f t="shared" si="8"/>
        <v>13.25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24</v>
      </c>
      <c r="B195" s="60">
        <v>157</v>
      </c>
      <c r="C195" s="60">
        <v>3</v>
      </c>
      <c r="D195" s="60">
        <v>31</v>
      </c>
      <c r="E195" s="51">
        <v>0.2</v>
      </c>
      <c r="F195" s="51">
        <v>0.4</v>
      </c>
      <c r="G195" s="51">
        <v>0.4</v>
      </c>
      <c r="H195" s="51"/>
      <c r="I195" s="49">
        <f t="shared" si="8"/>
        <v>15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28</v>
      </c>
      <c r="B196" s="60">
        <v>190</v>
      </c>
      <c r="C196" s="60">
        <v>4</v>
      </c>
      <c r="D196" s="60">
        <v>35</v>
      </c>
      <c r="E196" s="51">
        <v>0.3</v>
      </c>
      <c r="F196" s="51">
        <v>0.35</v>
      </c>
      <c r="G196" s="51">
        <v>0.35</v>
      </c>
      <c r="H196" s="51"/>
      <c r="I196" s="49">
        <f t="shared" si="8"/>
        <v>16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34</v>
      </c>
      <c r="B197" s="60">
        <v>244</v>
      </c>
      <c r="C197" s="60">
        <v>5</v>
      </c>
      <c r="D197" s="60">
        <v>46</v>
      </c>
      <c r="E197" s="51"/>
      <c r="F197" s="51"/>
      <c r="G197" s="51"/>
      <c r="H197" s="51"/>
      <c r="I197" s="49">
        <f t="shared" si="8"/>
        <v>14.833333333333334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40</v>
      </c>
      <c r="B198" s="60">
        <v>275</v>
      </c>
      <c r="C198" s="60">
        <v>6</v>
      </c>
      <c r="D198" s="60">
        <v>41</v>
      </c>
      <c r="E198" s="51"/>
      <c r="F198" s="51"/>
      <c r="G198" s="51"/>
      <c r="H198" s="51"/>
      <c r="I198" s="49">
        <f t="shared" si="8"/>
        <v>12.833333333333334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46</v>
      </c>
      <c r="B199" s="50">
        <v>293</v>
      </c>
      <c r="C199" s="50">
        <v>7</v>
      </c>
      <c r="D199" s="50">
        <v>29</v>
      </c>
      <c r="E199" s="51"/>
      <c r="F199" s="51"/>
      <c r="G199" s="51"/>
      <c r="H199" s="51"/>
      <c r="I199" s="49">
        <f t="shared" si="8"/>
        <v>9.8333333333333339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54</v>
      </c>
      <c r="B200" s="50">
        <v>311</v>
      </c>
      <c r="C200" s="50">
        <v>8</v>
      </c>
      <c r="D200" s="50">
        <v>16</v>
      </c>
      <c r="E200" s="51"/>
      <c r="F200" s="51"/>
      <c r="G200" s="51"/>
      <c r="H200" s="51"/>
      <c r="I200" s="49">
        <f t="shared" si="8"/>
        <v>5.875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62</v>
      </c>
      <c r="B201" s="50">
        <v>316</v>
      </c>
      <c r="C201" s="50">
        <v>9</v>
      </c>
      <c r="D201" s="50">
        <v>316</v>
      </c>
      <c r="E201" s="51"/>
      <c r="F201" s="51"/>
      <c r="G201" s="51"/>
      <c r="H201" s="51"/>
      <c r="I201" s="49">
        <f t="shared" si="8"/>
        <v>2.625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Pin sylvestre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25</v>
      </c>
      <c r="B218" s="60">
        <v>112</v>
      </c>
      <c r="C218" s="50">
        <v>1</v>
      </c>
      <c r="D218" s="60">
        <v>33</v>
      </c>
      <c r="E218" s="63"/>
      <c r="F218" s="63">
        <v>0.5</v>
      </c>
      <c r="G218" s="63">
        <v>0.5</v>
      </c>
      <c r="H218" s="63"/>
      <c r="I218" s="53">
        <f>IFERROR(B218/A218,"")</f>
        <v>4.4800000000000004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30</v>
      </c>
      <c r="B219" s="60">
        <v>138</v>
      </c>
      <c r="C219" s="50">
        <v>2</v>
      </c>
      <c r="D219" s="60">
        <v>35</v>
      </c>
      <c r="E219" s="63"/>
      <c r="F219" s="63">
        <v>0.5</v>
      </c>
      <c r="G219" s="63">
        <v>0.5</v>
      </c>
      <c r="H219" s="63"/>
      <c r="I219" s="53">
        <f t="shared" ref="I219:I237" si="9">IF(A219&lt;&gt;0,(B219-(B218-D218))/(A219-A218),"")</f>
        <v>11.8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40</v>
      </c>
      <c r="B220" s="60">
        <v>239</v>
      </c>
      <c r="C220" s="50">
        <v>3</v>
      </c>
      <c r="D220" s="60">
        <v>70</v>
      </c>
      <c r="E220" s="63"/>
      <c r="F220" s="63"/>
      <c r="G220" s="63"/>
      <c r="H220" s="63"/>
      <c r="I220" s="53">
        <f t="shared" si="9"/>
        <v>13.6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50</v>
      </c>
      <c r="B221" s="55">
        <v>312</v>
      </c>
      <c r="C221" s="55">
        <v>4</v>
      </c>
      <c r="D221" s="55">
        <v>70</v>
      </c>
      <c r="E221" s="63"/>
      <c r="F221" s="63"/>
      <c r="G221" s="63"/>
      <c r="H221" s="63"/>
      <c r="I221" s="53">
        <f t="shared" si="9"/>
        <v>14.3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60</v>
      </c>
      <c r="B222" s="55">
        <v>376</v>
      </c>
      <c r="C222" s="55">
        <v>5</v>
      </c>
      <c r="D222" s="55">
        <v>70</v>
      </c>
      <c r="E222" s="63"/>
      <c r="F222" s="63"/>
      <c r="G222" s="63"/>
      <c r="H222" s="63"/>
      <c r="I222" s="53">
        <f t="shared" si="9"/>
        <v>13.4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70</v>
      </c>
      <c r="B223" s="55">
        <v>421</v>
      </c>
      <c r="C223" s="55">
        <v>6</v>
      </c>
      <c r="D223" s="55">
        <v>63</v>
      </c>
      <c r="E223" s="63"/>
      <c r="F223" s="63"/>
      <c r="G223" s="63"/>
      <c r="H223" s="63"/>
      <c r="I223" s="53">
        <f t="shared" si="9"/>
        <v>11.5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80</v>
      </c>
      <c r="B224" s="55">
        <v>453</v>
      </c>
      <c r="C224" s="55">
        <v>7</v>
      </c>
      <c r="D224" s="55">
        <v>453</v>
      </c>
      <c r="E224" s="63"/>
      <c r="F224" s="63"/>
      <c r="G224" s="63"/>
      <c r="H224" s="63"/>
      <c r="I224" s="53">
        <f t="shared" si="9"/>
        <v>9.5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0.45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0.55000000000000004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ERREUR : corrigez ; le total n'est pas égal à celui de la cellule B8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Bouleau verruqueux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Mélèze hybride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Pin laricio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Robinier faux-acacia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maritime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Pin sylvestre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397.83333333333331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108.5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397.83333333333331</v>
      </c>
      <c r="S3" s="59">
        <f ca="1">AVERAGE(OFFSET($R$3,0,0,'Données projet'!$E$9+1,1))-AVERAGE(OFFSET($H$3,0,0,'Données projet'!$E$9+1,1))</f>
        <v>273.89826011924487</v>
      </c>
      <c r="T3" s="59">
        <f>IF('Données projet'!E9&gt;30,$R$33-$H$33,LOOKUP('Données projet'!$E$9,$A$3:$A$203,R3:R203)-LOOKUP('Données projet'!$E$9,$A$3:$A$203,$H$3:$H$203))</f>
        <v>332.17519939974227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108.5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397.83333333333331</v>
      </c>
      <c r="AN3" s="59">
        <f ca="1">AVERAGE(OFFSET($AM$3,0,0,'Données projet'!$E$10+1,1))-AVERAGE(OFFSET($H$3,0,0,'Données projet'!$E$10+1,1))</f>
        <v>293.42903587188346</v>
      </c>
      <c r="AO3" s="59">
        <f>IF('Données projet'!E10&gt;30,$AM$33-$H$33,LOOKUP('Données projet'!$E$10,$A$3:$A$203,AM3:AM203)-LOOKUP('Données projet'!$E$10,$A$3:$A$203,$H$3:$H$203))</f>
        <v>267.80827667062124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108.5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397.83333333333331</v>
      </c>
      <c r="BI3" s="59">
        <f ca="1">AVERAGE(OFFSET($BH$3,0,0,'Données projet'!$E$11+1,1))-AVERAGE(OFFSET($H$3,0,0,'Données projet'!$E$11+1,1))</f>
        <v>324.41828402031939</v>
      </c>
      <c r="BJ3" s="59">
        <f>IF('Données projet'!E11&gt;30,$BH$33-$H$33,LOOKUP('Données projet'!$E$11,$A$3:$A$203,BH3:BH203)-LOOKUP('Données projet'!$E$11,$A$3:$A$203,$H$3:$H$203))</f>
        <v>233.01060088065992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108.5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397.83333333333331</v>
      </c>
      <c r="CD3" s="59">
        <f ca="1">AVERAGE(OFFSET($CC$3,0,0,'Données projet'!$E$12+1,1))-AVERAGE(OFFSET($H$3,0,0,'Données projet'!$E$12+1,1))</f>
        <v>279.00060755204919</v>
      </c>
      <c r="CE3" s="59">
        <f>IF('Données projet'!E12&gt;30,$CC$33-$H$33,LOOKUP('Données projet'!$E$12,$A$3:$A$203,CC3:CC203)-LOOKUP('Données projet'!$E$12,$A$3:$A$203,$H$3:$H$203))</f>
        <v>333.91128554211014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108.5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397.83333333333331</v>
      </c>
      <c r="CY3" s="59">
        <f ca="1">AVERAGE(OFFSET($CX$3,0,0,'Données projet'!$E$13+1,1))-AVERAGE(OFFSET($H$3,0,0,'Données projet'!$E$13+1,1))</f>
        <v>380.01315081072897</v>
      </c>
      <c r="CZ3" s="59">
        <f>IF('Données projet'!E13&gt;30,$CX$33-$H$33,LOOKUP('Données projet'!$E$13,$A$3:$A$203,CX3:CX203)-LOOKUP('Données projet'!$E$13,$A$3:$A$203,$H$3:$H$203))</f>
        <v>404.90871625409181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108.5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397.83333333333331</v>
      </c>
      <c r="DT3" s="59">
        <f ca="1">AVERAGE(OFFSET($DS$3,0,0,'Données projet'!$E$14+1,1))-AVERAGE(OFFSET($H$3,0,0,'Données projet'!$E$14+1,1))</f>
        <v>320.81451813551064</v>
      </c>
      <c r="DU3" s="59">
        <f>IF('Données projet'!E14&gt;30,$DS$33-$H$33,LOOKUP('Données projet'!$E$14,$A$3:$A$203,DS3:DS203)-LOOKUP('Données projet'!$E$14,$A$3:$A$203,$H$3:$H$203))</f>
        <v>522.80818268773976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108.5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397.83333333333331</v>
      </c>
      <c r="EO3" s="59">
        <f ca="1">AVERAGE(OFFSET($EN$3,0,0,'Données projet'!$E$15+1,1))-AVERAGE(OFFSET($H$3,0,0,'Données projet'!$E$15+1,1))</f>
        <v>228.3393311631487</v>
      </c>
      <c r="EP3" s="59">
        <f>IF('Données projet'!E15&gt;30,$EN$33-$H$33,LOOKUP('Données projet'!$E$15,$A$3:$A$203,EN3:EN203)-LOOKUP('Données projet'!$E$15,$A$3:$A$203,$H$3:$H$203))</f>
        <v>266.26050497804033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108.5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397.83333333333331</v>
      </c>
      <c r="FJ3" s="59">
        <f ca="1">AVERAGE(OFFSET($FI$3,0,0,'Données projet'!$E$16+1,1))-AVERAGE(OFFSET($H$3,0,0,'Données projet'!$E$16+1,1))</f>
        <v>242.10913976205194</v>
      </c>
      <c r="FK3" s="59">
        <f>IF('Données projet'!E16&gt;30,$FI$33-$H$33,LOOKUP('Données projet'!$E$16,$A$3:$A$203,FI3:FI203)-LOOKUP('Données projet'!$E$16,$A$3:$A$203,$H$3:$H$203))</f>
        <v>198.24795425321133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108.5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108.5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0.48905999999999999</v>
      </c>
      <c r="D4" s="11">
        <f>IFERROR(EXP(-1.0587+0.8836*LN(C4)+0.284),0)</f>
        <v>0.24494718618145866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3.1163112115072455</v>
      </c>
      <c r="H4" s="67">
        <f t="shared" ref="H4:H67" si="1">(B4+E4+F4)*44/12+(C4+D4)*0.475*44/12</f>
        <v>399.11172918259933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108.5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0.51666666666666672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4.75</v>
      </c>
      <c r="N4" s="13">
        <f>IF('Données projet'!$A$36&gt;35,N3+M4-V3,IF(A4&lt;'Données projet'!$A$36,$K$205^A4,IF(A4='Données projet'!$A$36,'Données projet'!$B$36,N3+M4-V3)))</f>
        <v>1.2557008269631629</v>
      </c>
      <c r="O4" s="13">
        <f>N4*VLOOKUP('Données projet'!$B$9,Paramètres!$A$1:$I$89,3,0)*VLOOKUP('Données projet'!$B$9,Paramètres!$A$1:$I$89,5,0)</f>
        <v>1.0186245108325178</v>
      </c>
      <c r="P4" s="13">
        <f>EXP(-1.0587+0.8836*LN(O4)+0.284)</f>
        <v>0.4684177496027801</v>
      </c>
      <c r="Q4" s="20">
        <f t="shared" ref="Q4:Q34" si="2">(O4+P4)*0.475*44/12</f>
        <v>2.5899319369248102</v>
      </c>
      <c r="R4" s="59">
        <f t="shared" si="0"/>
        <v>402.31770971470263</v>
      </c>
      <c r="S4" s="59">
        <f ca="1">AVERAGE(OFFSET($R$3,0,0,'Données projet'!$E$9+1,1))-AVERAGE(OFFSET($H$3,0,0,'Données projet'!$E$9+1,1))</f>
        <v>273.89826011924487</v>
      </c>
      <c r="T4" s="59">
        <f>$T$3</f>
        <v>332.17519939974227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108.5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0.51666666666666672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7.9</v>
      </c>
      <c r="AI4" s="13">
        <f>IF('Données projet'!$A$62&gt;35,AI3+AH4-AQ3,IF(A4&lt;'Données projet'!$A$62,$AF$205^A4,IF(A4='Données projet'!$A$62,'Données projet'!$B$62,AI3+AH4-AQ3)))</f>
        <v>1.2880503926580862</v>
      </c>
      <c r="AJ4" s="13">
        <f>AI4*VLOOKUP('Données projet'!$B$10,Paramètres!$A$1:$I$89,3,0)*VLOOKUP('Données projet'!$B$10,Paramètres!$A$1:$I$89,5,0)</f>
        <v>0.60280758376398436</v>
      </c>
      <c r="AK4" s="13">
        <f>EXP(-1.0587+0.8836*LN(AJ4)+0.284)</f>
        <v>0.29465781953181042</v>
      </c>
      <c r="AL4" s="20">
        <f t="shared" ref="AL4:AL67" si="4">(AJ4+AK4)*0.475*44/12</f>
        <v>1.5630855774068424</v>
      </c>
      <c r="AM4" s="59">
        <f t="shared" ref="AM4:AM67" si="5">AL4+(AD4+AE4)*44/12</f>
        <v>401.29086335518468</v>
      </c>
      <c r="AN4" s="59">
        <f ca="1">AVERAGE(OFFSET($AM$3,0,0,'Données projet'!$E$10+1,1))-AVERAGE(OFFSET($H$3,0,0,'Données projet'!$E$10+1,1))</f>
        <v>293.42903587188346</v>
      </c>
      <c r="AO4" s="59">
        <f>$AO$3</f>
        <v>267.80827667062124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108.5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0.51666666666666672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1.0907244698905405</v>
      </c>
      <c r="BF4" s="13">
        <f>EXP(-1.0587+0.8836*LN(BE4)+0.284)</f>
        <v>0.49759623852608204</v>
      </c>
      <c r="BG4" s="20">
        <f t="shared" ref="BG4:BG67" si="7">(BE4+BF4)*0.475*44/12</f>
        <v>2.7663252338256172</v>
      </c>
      <c r="BH4" s="59">
        <f t="shared" ref="BH4:BH67" si="8">BG4+(AY4+AZ4)*44/12</f>
        <v>402.49410301160344</v>
      </c>
      <c r="BI4" s="59">
        <f ca="1">AVERAGE(OFFSET($BH$3,0,0,'Données projet'!$E$11+1,1))-AVERAGE(OFFSET($H$3,0,0,'Données projet'!$E$11+1,1))</f>
        <v>324.41828402031939</v>
      </c>
      <c r="BJ4" s="59">
        <f>$BJ$3</f>
        <v>233.01060088065992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108.5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0.51666666666666672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</v>
      </c>
      <c r="BY4" s="12">
        <f>IF('Données projet'!$A$114&gt;35,BY3+BX4-CG3,IF(A4&lt;'Données projet'!$A$114,$BV$205^A4,IF(A4='Données projet'!$A$114,'Données projet'!$B$114,BY3+BX4-CG3)))</f>
        <v>1.4309690811052556</v>
      </c>
      <c r="BZ4" s="13">
        <f>BY4*VLOOKUP('Données projet'!$B$12,Paramètres!$A$1:$I$89,3,0)*VLOOKUP('Données projet'!$B$12,Paramètres!$A$1:$I$89,5,0)</f>
        <v>0.78130911828346949</v>
      </c>
      <c r="CA4" s="13">
        <f>EXP(-1.0587+0.8836*LN(BZ4)+0.284)</f>
        <v>0.37055303350010543</v>
      </c>
      <c r="CB4" s="20">
        <f t="shared" ref="CB4:CB67" si="10">(BZ4+CA4)*0.475*44/12</f>
        <v>2.0061599143563931</v>
      </c>
      <c r="CC4" s="59">
        <f t="shared" ref="CC4:CC67" si="11">CB4+(BT4+BU4)*44/12</f>
        <v>401.73393769213419</v>
      </c>
      <c r="CD4" s="59">
        <f ca="1">AVERAGE(OFFSET($CC$3,0,0,'Données projet'!$E$12+1,1))-AVERAGE(OFFSET($H$3,0,0,'Données projet'!$E$12+1,1))</f>
        <v>279.00060755204919</v>
      </c>
      <c r="CE4" s="59">
        <f>$CE$3</f>
        <v>333.91128554211014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108.5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0.51666666666666672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7.6</v>
      </c>
      <c r="CT4" s="12">
        <f>IF('Données projet'!$A$140&gt;35,CT3+CS4-DB3,IF(A4&lt;'Données projet'!$A$140,$CQ$205^A4,IF(A4='Données projet'!$A$140,'Données projet'!$B$140,CT3+CS4-DB3)))</f>
        <v>1.2855594921550282</v>
      </c>
      <c r="CU4" s="17">
        <f>CT4*VLOOKUP('Données projet'!$B$13,Paramètres!$A$1:$I$89,3,0)*VLOOKUP('Données projet'!$B$13,Paramètres!$A$1:$I$89,5,0)</f>
        <v>0.76876457630870687</v>
      </c>
      <c r="CV4" s="13">
        <f>EXP(-1.0587+0.8836*LN(CU4)+0.284)</f>
        <v>0.36529109127234299</v>
      </c>
      <c r="CW4" s="20">
        <f t="shared" ref="CW4:CW67" si="13">(CU4+CV4)*0.475*44/12</f>
        <v>1.9751469543703284</v>
      </c>
      <c r="CX4" s="59">
        <f t="shared" ref="CX4:CX67" si="14">CW4+(CO4+CP4)*44/12</f>
        <v>401.70292473214812</v>
      </c>
      <c r="CY4" s="59">
        <f ca="1">AVERAGE(OFFSET($CX$3,0,0,'Données projet'!$E$13+1,1))-AVERAGE(OFFSET($H$3,0,0,'Données projet'!$E$13+1,1))</f>
        <v>380.01315081072897</v>
      </c>
      <c r="CZ4" s="59">
        <f>$CZ$3</f>
        <v>404.90871625409181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108.5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0.51666666666666672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10</v>
      </c>
      <c r="DO4" s="12">
        <f>IF('Données projet'!$A$166&gt;35,DO3+DN4-DW3,IF(A4&lt;'Données projet'!$A$166,$DL$205^A4,IF(A4='Données projet'!$A$166,'Données projet'!$B$166,DO3+DN4-DW3)))</f>
        <v>2.1867241478865558</v>
      </c>
      <c r="DP4" s="17">
        <f>DO4*VLOOKUP('Données projet'!$B$14,Paramètres!$A$1:$I$89,3,0)*VLOOKUP('Données projet'!$B$14,Paramètres!$A$1:$I$89,5,0)</f>
        <v>1.9785480090077556</v>
      </c>
      <c r="DQ4" s="13">
        <f>EXP(-1.0587+0.8836*LN(DP4)+0.284)</f>
        <v>0.84217804263305462</v>
      </c>
      <c r="DR4" s="20">
        <f t="shared" ref="DR4:DR67" si="16">(DP4+DQ4)*0.475*44/12</f>
        <v>4.9127645399410786</v>
      </c>
      <c r="DS4" s="59">
        <f t="shared" ref="DS4:DS67" si="17">DR4+(DJ4+DK4)*44/12</f>
        <v>404.64054231771888</v>
      </c>
      <c r="DT4" s="59">
        <f ca="1">AVERAGE(OFFSET($DS$3,0,0,'Données projet'!$E$14+1,1))-AVERAGE(OFFSET($H$3,0,0,'Données projet'!$E$14+1,1))</f>
        <v>320.81451813551064</v>
      </c>
      <c r="DU4" s="59">
        <f>$DU$3</f>
        <v>522.80818268773976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108.5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0.51666666666666672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</v>
      </c>
      <c r="EJ4" s="12">
        <f>IF('Données projet'!$A$192&gt;35,EJ3+EI4-ER3,IF(A4&lt;'Données projet'!$A$192,$EG$205^A4,IF(A4='Données projet'!$A$192,'Données projet'!$B$192,EJ3+EI4-ER3)))</f>
        <v>1.3480061545972777</v>
      </c>
      <c r="EK4" s="17">
        <f>EJ4*VLOOKUP('Données projet'!$B$15,Paramètres!$A$1:$I$89,3,0)*VLOOKUP('Données projet'!$B$15,Paramètres!$A$1:$I$89,5,0)</f>
        <v>0.80610768044917203</v>
      </c>
      <c r="EL4" s="13">
        <f>EXP(-1.0587+0.8836*LN(EK4)+0.284)</f>
        <v>0.38092631183578585</v>
      </c>
      <c r="EM4" s="20">
        <f t="shared" ref="EM4:EM67" si="19">(EK4+EL4)*0.475*44/12</f>
        <v>2.0674175365629677</v>
      </c>
      <c r="EN4" s="59">
        <f t="shared" ref="EN4:EN67" si="20">EM4+(EE4+EF4)*44/12</f>
        <v>401.79519531434079</v>
      </c>
      <c r="EO4" s="59">
        <f ca="1">AVERAGE(OFFSET($EN$3,0,0,'Données projet'!$E$15+1,1))-AVERAGE(OFFSET($H$3,0,0,'Données projet'!$E$15+1,1))</f>
        <v>228.3393311631487</v>
      </c>
      <c r="EP4" s="59">
        <f>$EP$3</f>
        <v>266.26050497804033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108.5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0.51666666666666672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4.4800000000000004</v>
      </c>
      <c r="FE4" s="12">
        <f>IF('Données projet'!$A$218&gt;35,FE3+FD4-FM3,IF(A4&lt;'Données projet'!$A$218,$FB$205^A4,IF(A4='Données projet'!$A$218,'Données projet'!$B$218,FE3+FD4-FM3)))</f>
        <v>1.207726848136812</v>
      </c>
      <c r="FF4" s="17">
        <f>FE4*VLOOKUP('Données projet'!$B$16,Paramètres!$A$1:$I$89,3,0)*VLOOKUP('Données projet'!$B$16,Paramètres!$A$1:$I$89,5,0)</f>
        <v>0.69081975713425647</v>
      </c>
      <c r="FG4" s="13">
        <f>EXP(-1.0587+0.8836*LN(FF4)+0.284)</f>
        <v>0.33236459742375962</v>
      </c>
      <c r="FH4" s="20">
        <f t="shared" ref="FH4:FH67" si="22">(FF4+FG4)*0.475*44/12</f>
        <v>1.7820460841885446</v>
      </c>
      <c r="FI4" s="59">
        <f t="shared" ref="FI4:FI67" si="23">FH4+(EZ4+FA4)*44/12</f>
        <v>401.50982386196637</v>
      </c>
      <c r="FJ4" s="59">
        <f ca="1">AVERAGE(OFFSET($FI$3,0,0,'Données projet'!$E$16+1,1))-AVERAGE(OFFSET($H$3,0,0,'Données projet'!$E$16+1,1))</f>
        <v>242.10913976205194</v>
      </c>
      <c r="FK4" s="59">
        <f>$FK$3</f>
        <v>198.24795425321133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108.5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0.51666666666666672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108.5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0.51666666666666672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0.97811999999999999</v>
      </c>
      <c r="D5" s="11">
        <f t="shared" ref="D5:D68" si="32">IFERROR(EXP(-1.0587+0.8836*LN(C5)+0.284),0)</f>
        <v>0.45192103780219955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6.0714023008444267</v>
      </c>
      <c r="H5" s="67">
        <f t="shared" si="1"/>
        <v>400.32398814083882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108.5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1.0333333333333334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4.75</v>
      </c>
      <c r="N5" s="13">
        <f>IF('Données projet'!$A$36&gt;35,N4+M5-V4,IF(A5&lt;'Données projet'!$A$36,$K$205^A5,IF(A5='Données projet'!$A$36,'Données projet'!$B$36,N4+M5-V4)))</f>
        <v>1.576784566835971</v>
      </c>
      <c r="O5" s="13">
        <f>N5*VLOOKUP('Données projet'!$B$9,Paramètres!$A$1:$I$89,3,0)*VLOOKUP('Données projet'!$B$9,Paramètres!$A$1:$I$89,5,0)</f>
        <v>1.2790876406173397</v>
      </c>
      <c r="P5" s="13">
        <f t="shared" ref="P5:P68" si="33">EXP(-1.0587+0.8836*LN(O5)+0.284)</f>
        <v>0.57280812840105289</v>
      </c>
      <c r="Q5" s="20">
        <f t="shared" si="2"/>
        <v>3.2253851310403672</v>
      </c>
      <c r="R5" s="59">
        <f t="shared" si="0"/>
        <v>404.84760735326256</v>
      </c>
      <c r="S5" s="59">
        <f ca="1">AVERAGE(OFFSET($R$3,0,0,'Données projet'!$E$9+1,1))-AVERAGE(OFFSET($H$3,0,0,'Données projet'!$E$9+1,1))</f>
        <v>273.89826011924487</v>
      </c>
      <c r="T5" s="59">
        <f t="shared" ref="T5:T68" si="34">$T$3</f>
        <v>332.17519939974227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108.5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1.0333333333333334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7.9</v>
      </c>
      <c r="AI5" s="13">
        <f>IF('Données projet'!$A$62&gt;35,AI4+AH5-AQ4,IF(A5&lt;'Données projet'!$A$62,$AF$205^A5,IF(A5='Données projet'!$A$62,'Données projet'!$B$62,AI4+AH5-AQ4)))</f>
        <v>1.6590738140266501</v>
      </c>
      <c r="AJ5" s="13">
        <f>AI5*VLOOKUP('Données projet'!$B$10,Paramètres!$A$1:$I$89,3,0)*VLOOKUP('Données projet'!$B$10,Paramètres!$A$1:$I$89,5,0)</f>
        <v>0.77644654496447219</v>
      </c>
      <c r="AK5" s="13">
        <f t="shared" ref="AK5:AK68" si="35">EXP(-1.0587+0.8836*LN(AJ5)+0.284)</f>
        <v>0.36851455096495994</v>
      </c>
      <c r="AL5" s="20">
        <f t="shared" si="4"/>
        <v>1.9941405754104276</v>
      </c>
      <c r="AM5" s="59">
        <f t="shared" si="5"/>
        <v>403.61636279763263</v>
      </c>
      <c r="AN5" s="59">
        <f ca="1">AVERAGE(OFFSET($AM$3,0,0,'Données projet'!$E$10+1,1))-AVERAGE(OFFSET($H$3,0,0,'Données projet'!$E$10+1,1))</f>
        <v>293.42903587188346</v>
      </c>
      <c r="AO5" s="59">
        <f t="shared" ref="AO5:AO68" si="36">$AO$3</f>
        <v>267.80827667062124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108.5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1.0333333333333334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1.3148539668633961</v>
      </c>
      <c r="BF5" s="13">
        <f t="shared" ref="BF5:BF68" si="37">EXP(-1.0587+0.8836*LN(BE5)+0.284)</f>
        <v>0.58693801963664449</v>
      </c>
      <c r="BG5" s="20">
        <f t="shared" si="7"/>
        <v>3.3122877098209038</v>
      </c>
      <c r="BH5" s="59">
        <f t="shared" si="8"/>
        <v>404.93450993204311</v>
      </c>
      <c r="BI5" s="59">
        <f ca="1">AVERAGE(OFFSET($BH$3,0,0,'Données projet'!$E$11+1,1))-AVERAGE(OFFSET($H$3,0,0,'Données projet'!$E$11+1,1))</f>
        <v>324.41828402031939</v>
      </c>
      <c r="BJ5" s="59">
        <f t="shared" ref="BJ5:BJ68" si="38">$BJ$3</f>
        <v>233.01060088065992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108.5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1.0333333333333334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</v>
      </c>
      <c r="BY5" s="12">
        <f>IF('Données projet'!$A$114&gt;35,BY4+BX5-CG4,IF(A5&lt;'Données projet'!$A$114,$BV$205^A5,IF(A5='Données projet'!$A$114,'Données projet'!$B$114,BY4+BX5-CG4)))</f>
        <v>2.0476725110792193</v>
      </c>
      <c r="BZ5" s="13">
        <f>BY5*VLOOKUP('Données projet'!$B$12,Paramètres!$A$1:$I$89,3,0)*VLOOKUP('Données projet'!$B$12,Paramètres!$A$1:$I$89,5,0)</f>
        <v>1.1180291910492537</v>
      </c>
      <c r="CA5" s="13">
        <f t="shared" ref="CA5:CA68" si="39">EXP(-1.0587+0.8836*LN(BZ5)+0.284)</f>
        <v>0.50858700810998547</v>
      </c>
      <c r="CB5" s="20">
        <f t="shared" si="10"/>
        <v>2.8330232135356752</v>
      </c>
      <c r="CC5" s="59">
        <f t="shared" si="11"/>
        <v>404.45524543575789</v>
      </c>
      <c r="CD5" s="59">
        <f ca="1">AVERAGE(OFFSET($CC$3,0,0,'Données projet'!$E$12+1,1))-AVERAGE(OFFSET($H$3,0,0,'Données projet'!$E$12+1,1))</f>
        <v>279.00060755204919</v>
      </c>
      <c r="CE5" s="59">
        <f t="shared" ref="CE5:CE68" si="40">$CE$3</f>
        <v>333.91128554211014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108.5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1.0333333333333334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7.6</v>
      </c>
      <c r="CT5" s="12">
        <f>IF('Données projet'!$A$140&gt;35,CT4+CS5-DB4,IF(A5&lt;'Données projet'!$A$140,$CQ$205^A5,IF(A5='Données projet'!$A$140,'Données projet'!$B$140,CT4+CS5-DB4)))</f>
        <v>1.652663207869894</v>
      </c>
      <c r="CU5" s="17">
        <f>CT5*VLOOKUP('Données projet'!$B$13,Paramètres!$A$1:$I$89,3,0)*VLOOKUP('Données projet'!$B$13,Paramètres!$A$1:$I$89,5,0)</f>
        <v>0.98829259830619676</v>
      </c>
      <c r="CV5" s="13">
        <f t="shared" ref="CV5:CV68" si="41">EXP(-1.0587+0.8836*LN(CU5)+0.284)</f>
        <v>0.45607149635956251</v>
      </c>
      <c r="CW5" s="20">
        <f t="shared" si="13"/>
        <v>2.5156007982095305</v>
      </c>
      <c r="CX5" s="59">
        <f t="shared" si="14"/>
        <v>404.13782302043171</v>
      </c>
      <c r="CY5" s="59">
        <f ca="1">AVERAGE(OFFSET($CX$3,0,0,'Données projet'!$E$13+1,1))-AVERAGE(OFFSET($H$3,0,0,'Données projet'!$E$13+1,1))</f>
        <v>380.01315081072897</v>
      </c>
      <c r="CZ5" s="59">
        <f t="shared" ref="CZ5:CZ68" si="42">$CZ$3</f>
        <v>404.90871625409181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108.5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1.0333333333333334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10</v>
      </c>
      <c r="DO5" s="12">
        <f>IF('Données projet'!$A$166&gt;35,DO4+DN5-DW4,IF(A5&lt;'Données projet'!$A$166,$DL$205^A5,IF(A5='Données projet'!$A$166,'Données projet'!$B$166,DO4+DN5-DW4)))</f>
        <v>4.7817624989501839</v>
      </c>
      <c r="DP5" s="17">
        <f>DO5*VLOOKUP('Données projet'!$B$14,Paramètres!$A$1:$I$89,3,0)*VLOOKUP('Données projet'!$B$14,Paramètres!$A$1:$I$89,5,0)</f>
        <v>4.3265387090501264</v>
      </c>
      <c r="DQ5" s="13">
        <f t="shared" ref="DQ5:DQ68" si="43">EXP(-1.0587+0.8836*LN(DP5)+0.284)</f>
        <v>1.6813026342328594</v>
      </c>
      <c r="DR5" s="20">
        <f t="shared" si="16"/>
        <v>10.463657006217867</v>
      </c>
      <c r="DS5" s="59">
        <f t="shared" si="17"/>
        <v>412.08587922844009</v>
      </c>
      <c r="DT5" s="59">
        <f ca="1">AVERAGE(OFFSET($DS$3,0,0,'Données projet'!$E$14+1,1))-AVERAGE(OFFSET($H$3,0,0,'Données projet'!$E$14+1,1))</f>
        <v>320.81451813551064</v>
      </c>
      <c r="DU5" s="59">
        <f t="shared" ref="DU5:DU68" si="44">$DU$3</f>
        <v>522.80818268773976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108.5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1.0333333333333334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</v>
      </c>
      <c r="EJ5" s="12">
        <f>IF('Données projet'!$A$192&gt;35,EJ4+EI5-ER4,IF(A5&lt;'Données projet'!$A$192,$EG$205^A5,IF(A5='Données projet'!$A$192,'Données projet'!$B$192,EJ4+EI5-ER4)))</f>
        <v>1.8171205928321397</v>
      </c>
      <c r="EK5" s="17">
        <f>EJ5*VLOOKUP('Données projet'!$B$15,Paramètres!$A$1:$I$89,3,0)*VLOOKUP('Données projet'!$B$15,Paramètres!$A$1:$I$89,5,0)</f>
        <v>1.0866381145136197</v>
      </c>
      <c r="EL5" s="13">
        <f t="shared" ref="EL5:EL68" si="45">EXP(-1.0587+0.8836*LN(EK5)+0.284)</f>
        <v>0.49594865026181029</v>
      </c>
      <c r="EM5" s="20">
        <f t="shared" si="19"/>
        <v>2.7563386153172069</v>
      </c>
      <c r="EN5" s="59">
        <f t="shared" si="20"/>
        <v>404.3785608375394</v>
      </c>
      <c r="EO5" s="59">
        <f ca="1">AVERAGE(OFFSET($EN$3,0,0,'Données projet'!$E$15+1,1))-AVERAGE(OFFSET($H$3,0,0,'Données projet'!$E$15+1,1))</f>
        <v>228.3393311631487</v>
      </c>
      <c r="EP5" s="59">
        <f t="shared" ref="EP5:EP68" si="46">$EP$3</f>
        <v>266.26050497804033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108.5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1.0333333333333334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4.4800000000000004</v>
      </c>
      <c r="FE5" s="12">
        <f>IF('Données projet'!$A$218&gt;35,FE4+FD5-FM4,IF(A5&lt;'Données projet'!$A$218,$FB$205^A5,IF(A5='Données projet'!$A$218,'Données projet'!$B$218,FE4+FD5-FM4)))</f>
        <v>1.4586041397104781</v>
      </c>
      <c r="FF5" s="17">
        <f>FE5*VLOOKUP('Données projet'!$B$16,Paramètres!$A$1:$I$89,3,0)*VLOOKUP('Données projet'!$B$16,Paramètres!$A$1:$I$89,5,0)</f>
        <v>0.83432156791439349</v>
      </c>
      <c r="FG5" s="13">
        <f t="shared" ref="FG5:FG68" si="47">EXP(-1.0587+0.8836*LN(FF5)+0.284)</f>
        <v>0.39268319825281084</v>
      </c>
      <c r="FH5" s="20">
        <f t="shared" si="22"/>
        <v>2.1370333010745477</v>
      </c>
      <c r="FI5" s="59">
        <f t="shared" si="23"/>
        <v>403.75925552329676</v>
      </c>
      <c r="FJ5" s="59">
        <f ca="1">AVERAGE(OFFSET($FI$3,0,0,'Données projet'!$E$16+1,1))-AVERAGE(OFFSET($H$3,0,0,'Données projet'!$E$16+1,1))</f>
        <v>242.10913976205194</v>
      </c>
      <c r="FK5" s="59">
        <f t="shared" ref="FK5:FK68" si="48">$FK$3</f>
        <v>198.24795425321133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108.5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1.0333333333333334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108.5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1.0333333333333334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1.4671799999999999</v>
      </c>
      <c r="D6" s="11">
        <f t="shared" si="32"/>
        <v>0.64663140850198297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8.97442738346456</v>
      </c>
      <c r="H6" s="67">
        <f t="shared" si="1"/>
        <v>401.51488820314091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108.5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1.55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4.75</v>
      </c>
      <c r="N6" s="13">
        <f>IF('Données projet'!$A$36&gt;35,N5+M6-V5,IF(A6&lt;'Données projet'!$A$36,$K$205^A6,IF(A6='Données projet'!$A$36,'Données projet'!$B$36,N5+M6-V5)))</f>
        <v>1.9799696845186814</v>
      </c>
      <c r="O6" s="13">
        <f>N6*VLOOKUP('Données projet'!$B$9,Paramètres!$A$1:$I$89,3,0)*VLOOKUP('Données projet'!$B$9,Paramètres!$A$1:$I$89,5,0)</f>
        <v>1.6061514080815542</v>
      </c>
      <c r="P6" s="13">
        <f t="shared" si="33"/>
        <v>0.70046267939367102</v>
      </c>
      <c r="Q6" s="20">
        <f t="shared" si="2"/>
        <v>4.0173528690193505</v>
      </c>
      <c r="R6" s="59">
        <f t="shared" si="0"/>
        <v>407.53401953568601</v>
      </c>
      <c r="S6" s="59">
        <f ca="1">AVERAGE(OFFSET($R$3,0,0,'Données projet'!$E$9+1,1))-AVERAGE(OFFSET($H$3,0,0,'Données projet'!$E$9+1,1))</f>
        <v>273.89826011924487</v>
      </c>
      <c r="T6" s="59">
        <f t="shared" si="34"/>
        <v>332.17519939974227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108.5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1.55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7.9</v>
      </c>
      <c r="AI6" s="13">
        <f>IF('Données projet'!$A$62&gt;35,AI5+AH6-AQ5,IF(A6&lt;'Données projet'!$A$62,$AF$205^A6,IF(A6='Données projet'!$A$62,'Données projet'!$B$62,AI5+AH6-AQ5)))</f>
        <v>2.1369706776057753</v>
      </c>
      <c r="AJ6" s="13">
        <f>AI6*VLOOKUP('Données projet'!$B$10,Paramètres!$A$1:$I$89,3,0)*VLOOKUP('Données projet'!$B$10,Paramètres!$A$1:$I$89,5,0)</f>
        <v>1.0001022771195029</v>
      </c>
      <c r="AK6" s="13">
        <f t="shared" si="35"/>
        <v>0.46088365986243646</v>
      </c>
      <c r="AL6" s="20">
        <f t="shared" si="4"/>
        <v>2.5445505069102112</v>
      </c>
      <c r="AM6" s="59">
        <f t="shared" si="5"/>
        <v>406.06121717357684</v>
      </c>
      <c r="AN6" s="59">
        <f ca="1">AVERAGE(OFFSET($AM$3,0,0,'Données projet'!$E$10+1,1))-AVERAGE(OFFSET($H$3,0,0,'Données projet'!$E$10+1,1))</f>
        <v>293.42903587188346</v>
      </c>
      <c r="AO6" s="59">
        <f t="shared" si="36"/>
        <v>267.80827667062124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108.5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1.55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1.5850391202371266</v>
      </c>
      <c r="BF6" s="13">
        <f t="shared" si="37"/>
        <v>0.69232082604846479</v>
      </c>
      <c r="BG6" s="20">
        <f t="shared" si="7"/>
        <v>3.966401906447405</v>
      </c>
      <c r="BH6" s="59">
        <f t="shared" si="8"/>
        <v>407.48306857311405</v>
      </c>
      <c r="BI6" s="59">
        <f ca="1">AVERAGE(OFFSET($BH$3,0,0,'Données projet'!$E$11+1,1))-AVERAGE(OFFSET($H$3,0,0,'Données projet'!$E$11+1,1))</f>
        <v>324.41828402031939</v>
      </c>
      <c r="BJ6" s="59">
        <f t="shared" si="38"/>
        <v>233.01060088065992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108.5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1.55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</v>
      </c>
      <c r="BY6" s="12">
        <f>IF('Données projet'!$A$114&gt;35,BY5+BX6-CG5,IF(A6&lt;'Données projet'!$A$114,$BV$205^A6,IF(A6='Données projet'!$A$114,'Données projet'!$B$114,BY5+BX6-CG5)))</f>
        <v>2.9301560515835217</v>
      </c>
      <c r="BZ6" s="13">
        <f>BY6*VLOOKUP('Données projet'!$B$12,Paramètres!$A$1:$I$89,3,0)*VLOOKUP('Données projet'!$B$12,Paramètres!$A$1:$I$89,5,0)</f>
        <v>1.5998652041646029</v>
      </c>
      <c r="CA6" s="13">
        <f t="shared" si="39"/>
        <v>0.6980397444734262</v>
      </c>
      <c r="CB6" s="20">
        <f t="shared" si="10"/>
        <v>4.0021844522112344</v>
      </c>
      <c r="CC6" s="59">
        <f t="shared" si="11"/>
        <v>407.51885111887788</v>
      </c>
      <c r="CD6" s="59">
        <f ca="1">AVERAGE(OFFSET($CC$3,0,0,'Données projet'!$E$12+1,1))-AVERAGE(OFFSET($H$3,0,0,'Données projet'!$E$12+1,1))</f>
        <v>279.00060755204919</v>
      </c>
      <c r="CE6" s="59">
        <f t="shared" si="40"/>
        <v>333.91128554211014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108.5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1.55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7.6</v>
      </c>
      <c r="CT6" s="12">
        <f>IF('Données projet'!$A$140&gt;35,CT5+CS6-DB5,IF(A6&lt;'Données projet'!$A$140,$CQ$205^A6,IF(A6='Données projet'!$A$140,'Données projet'!$B$140,CT5+CS6-DB5)))</f>
        <v>2.1245968742125205</v>
      </c>
      <c r="CU6" s="17">
        <f>CT6*VLOOKUP('Données projet'!$B$13,Paramètres!$A$1:$I$89,3,0)*VLOOKUP('Données projet'!$B$13,Paramètres!$A$1:$I$89,5,0)</f>
        <v>1.2705089307790873</v>
      </c>
      <c r="CV6" s="13">
        <f t="shared" si="41"/>
        <v>0.56941221606900616</v>
      </c>
      <c r="CW6" s="20">
        <f t="shared" si="13"/>
        <v>3.2045293307604297</v>
      </c>
      <c r="CX6" s="59">
        <f t="shared" si="14"/>
        <v>406.72119599742706</v>
      </c>
      <c r="CY6" s="59">
        <f ca="1">AVERAGE(OFFSET($CX$3,0,0,'Données projet'!$E$13+1,1))-AVERAGE(OFFSET($H$3,0,0,'Données projet'!$E$13+1,1))</f>
        <v>380.01315081072897</v>
      </c>
      <c r="CZ6" s="59">
        <f t="shared" si="42"/>
        <v>404.90871625409181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108.5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1.55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10</v>
      </c>
      <c r="DO6" s="12">
        <f>IF('Données projet'!$A$166&gt;35,DO5+DN6-DW5,IF(A6&lt;'Données projet'!$A$166,$DL$205^A6,IF(A6='Données projet'!$A$166,'Données projet'!$B$166,DO5+DN6-DW5)))</f>
        <v>10.456395525912729</v>
      </c>
      <c r="DP6" s="17">
        <f>DO6*VLOOKUP('Données projet'!$B$14,Paramètres!$A$1:$I$89,3,0)*VLOOKUP('Données projet'!$B$14,Paramètres!$A$1:$I$89,5,0)</f>
        <v>9.4609466718458357</v>
      </c>
      <c r="DQ6" s="13">
        <f t="shared" si="43"/>
        <v>3.3565094371737341</v>
      </c>
      <c r="DR6" s="20">
        <f t="shared" si="16"/>
        <v>22.323736056542419</v>
      </c>
      <c r="DS6" s="59">
        <f t="shared" si="17"/>
        <v>425.84040272320908</v>
      </c>
      <c r="DT6" s="59">
        <f ca="1">AVERAGE(OFFSET($DS$3,0,0,'Données projet'!$E$14+1,1))-AVERAGE(OFFSET($H$3,0,0,'Données projet'!$E$14+1,1))</f>
        <v>320.81451813551064</v>
      </c>
      <c r="DU6" s="59">
        <f t="shared" si="44"/>
        <v>522.80818268773976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108.5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1.55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</v>
      </c>
      <c r="EJ6" s="12">
        <f>IF('Données projet'!$A$192&gt;35,EJ5+EI6-ER5,IF(A6&lt;'Données projet'!$A$192,$EG$205^A6,IF(A6='Données projet'!$A$192,'Données projet'!$B$192,EJ5+EI6-ER5)))</f>
        <v>2.4494897427831783</v>
      </c>
      <c r="EK6" s="17">
        <f>EJ6*VLOOKUP('Données projet'!$B$15,Paramètres!$A$1:$I$89,3,0)*VLOOKUP('Données projet'!$B$15,Paramètres!$A$1:$I$89,5,0)</f>
        <v>1.4647948661843406</v>
      </c>
      <c r="EL6" s="13">
        <f t="shared" si="45"/>
        <v>0.64570247854798968</v>
      </c>
      <c r="EM6" s="20">
        <f t="shared" si="19"/>
        <v>3.6757828754088084</v>
      </c>
      <c r="EN6" s="59">
        <f t="shared" si="20"/>
        <v>407.19244954207545</v>
      </c>
      <c r="EO6" s="59">
        <f ca="1">AVERAGE(OFFSET($EN$3,0,0,'Données projet'!$E$15+1,1))-AVERAGE(OFFSET($H$3,0,0,'Données projet'!$E$15+1,1))</f>
        <v>228.3393311631487</v>
      </c>
      <c r="EP6" s="59">
        <f t="shared" si="46"/>
        <v>266.26050497804033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108.5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1.55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4.4800000000000004</v>
      </c>
      <c r="FE6" s="12">
        <f>IF('Données projet'!$A$218&gt;35,FE5+FD6-FM5,IF(A6&lt;'Données projet'!$A$218,$FB$205^A6,IF(A6='Données projet'!$A$218,'Données projet'!$B$218,FE5+FD6-FM5)))</f>
        <v>1.7615953803318418</v>
      </c>
      <c r="FF6" s="17">
        <f>FE6*VLOOKUP('Données projet'!$B$16,Paramètres!$A$1:$I$89,3,0)*VLOOKUP('Données projet'!$B$16,Paramètres!$A$1:$I$89,5,0)</f>
        <v>1.0076325575498135</v>
      </c>
      <c r="FG6" s="13">
        <f t="shared" si="47"/>
        <v>0.46394861361679152</v>
      </c>
      <c r="FH6" s="20">
        <f t="shared" si="22"/>
        <v>2.5630038731151701</v>
      </c>
      <c r="FI6" s="59">
        <f t="shared" si="23"/>
        <v>406.07967053978183</v>
      </c>
      <c r="FJ6" s="59">
        <f ca="1">AVERAGE(OFFSET($FI$3,0,0,'Données projet'!$E$16+1,1))-AVERAGE(OFFSET($H$3,0,0,'Données projet'!$E$16+1,1))</f>
        <v>242.10913976205194</v>
      </c>
      <c r="FK6" s="59">
        <f t="shared" si="48"/>
        <v>198.24795425321133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108.5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1.55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108.5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1.55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1.95624</v>
      </c>
      <c r="D7" s="11">
        <f t="shared" si="32"/>
        <v>0.83378228422236333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11.845357768101964</v>
      </c>
      <c r="H7" s="67">
        <f t="shared" si="1"/>
        <v>402.69262214502061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108.5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2.0666666666666669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4.75</v>
      </c>
      <c r="N7" s="13">
        <f>IF('Données projet'!$A$36&gt;35,N6+M7-V6,IF(A7&lt;'Données projet'!$A$36,$K$205^A7,IF(A7='Données projet'!$A$36,'Données projet'!$B$36,N6+M7-V6)))</f>
        <v>2.4862495702121006</v>
      </c>
      <c r="O7" s="13">
        <f>N7*VLOOKUP('Données projet'!$B$9,Paramètres!$A$1:$I$89,3,0)*VLOOKUP('Données projet'!$B$9,Paramètres!$A$1:$I$89,5,0)</f>
        <v>2.0168456513560562</v>
      </c>
      <c r="P7" s="13">
        <f t="shared" si="33"/>
        <v>0.8565659963537261</v>
      </c>
      <c r="Q7" s="20">
        <f t="shared" si="2"/>
        <v>5.00452528642787</v>
      </c>
      <c r="R7" s="59">
        <f t="shared" si="0"/>
        <v>410.41563639753895</v>
      </c>
      <c r="S7" s="59">
        <f ca="1">AVERAGE(OFFSET($R$3,0,0,'Données projet'!$E$9+1,1))-AVERAGE(OFFSET($H$3,0,0,'Données projet'!$E$9+1,1))</f>
        <v>273.89826011924487</v>
      </c>
      <c r="T7" s="59">
        <f t="shared" si="34"/>
        <v>332.17519939974227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108.5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2.0666666666666669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7.9</v>
      </c>
      <c r="AI7" s="13">
        <f>IF('Données projet'!$A$62&gt;35,AI6+AH7-AQ6,IF(A7&lt;'Données projet'!$A$62,$AF$205^A7,IF(A7='Données projet'!$A$62,'Données projet'!$B$62,AI6+AH7-AQ6)))</f>
        <v>2.7525259203889356</v>
      </c>
      <c r="AJ7" s="13">
        <f>AI7*VLOOKUP('Données projet'!$B$10,Paramètres!$A$1:$I$89,3,0)*VLOOKUP('Données projet'!$B$10,Paramètres!$A$1:$I$89,5,0)</f>
        <v>1.2881821307420218</v>
      </c>
      <c r="AK7" s="13">
        <f t="shared" si="35"/>
        <v>0.57640532069082717</v>
      </c>
      <c r="AL7" s="20">
        <f t="shared" si="4"/>
        <v>3.2474898112455457</v>
      </c>
      <c r="AM7" s="59">
        <f t="shared" si="5"/>
        <v>408.65860092235664</v>
      </c>
      <c r="AN7" s="59">
        <f ca="1">AVERAGE(OFFSET($AM$3,0,0,'Données projet'!$E$10+1,1))-AVERAGE(OFFSET($H$3,0,0,'Données projet'!$E$10+1,1))</f>
        <v>293.42903587188346</v>
      </c>
      <c r="AO7" s="59">
        <f t="shared" si="36"/>
        <v>267.80827667062124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108.5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2.0666666666666669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1.9107437601419195</v>
      </c>
      <c r="BF7" s="13">
        <f t="shared" si="37"/>
        <v>0.81662477151702284</v>
      </c>
      <c r="BG7" s="20">
        <f t="shared" si="7"/>
        <v>4.7501668593059909</v>
      </c>
      <c r="BH7" s="59">
        <f t="shared" si="8"/>
        <v>410.16127797041707</v>
      </c>
      <c r="BI7" s="59">
        <f ca="1">AVERAGE(OFFSET($BH$3,0,0,'Données projet'!$E$11+1,1))-AVERAGE(OFFSET($H$3,0,0,'Données projet'!$E$11+1,1))</f>
        <v>324.41828402031939</v>
      </c>
      <c r="BJ7" s="59">
        <f t="shared" si="38"/>
        <v>233.01060088065992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108.5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2.0666666666666669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</v>
      </c>
      <c r="BY7" s="12">
        <f>IF('Données projet'!$A$114&gt;35,BY6+BX7-CG6,IF(A7&lt;'Données projet'!$A$114,$BV$205^A7,IF(A7='Données projet'!$A$114,'Données projet'!$B$114,BY6+BX7-CG6)))</f>
        <v>4.192962712629476</v>
      </c>
      <c r="BZ7" s="13">
        <f>BY7*VLOOKUP('Données projet'!$B$12,Paramètres!$A$1:$I$89,3,0)*VLOOKUP('Données projet'!$B$12,Paramètres!$A$1:$I$89,5,0)</f>
        <v>2.2893576410956937</v>
      </c>
      <c r="CA7" s="13">
        <f t="shared" si="39"/>
        <v>0.95806514341623272</v>
      </c>
      <c r="CB7" s="20">
        <f t="shared" si="10"/>
        <v>5.6559280163582706</v>
      </c>
      <c r="CC7" s="59">
        <f t="shared" si="11"/>
        <v>411.06703912746934</v>
      </c>
      <c r="CD7" s="59">
        <f ca="1">AVERAGE(OFFSET($CC$3,0,0,'Données projet'!$E$12+1,1))-AVERAGE(OFFSET($H$3,0,0,'Données projet'!$E$12+1,1))</f>
        <v>279.00060755204919</v>
      </c>
      <c r="CE7" s="59">
        <f t="shared" si="40"/>
        <v>333.91128554211014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108.5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2.0666666666666669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7.6</v>
      </c>
      <c r="CT7" s="12">
        <f>IF('Données projet'!$A$140&gt;35,CT6+CS7-DB6,IF(A7&lt;'Données projet'!$A$140,$CQ$205^A7,IF(A7='Données projet'!$A$140,'Données projet'!$B$140,CT6+CS7-DB6)))</f>
        <v>2.7312956786468083</v>
      </c>
      <c r="CU7" s="17">
        <f>CT7*VLOOKUP('Données projet'!$B$13,Paramètres!$A$1:$I$89,3,0)*VLOOKUP('Données projet'!$B$13,Paramètres!$A$1:$I$89,5,0)</f>
        <v>1.6333148158307915</v>
      </c>
      <c r="CV7" s="13">
        <f t="shared" si="41"/>
        <v>0.71091983251897084</v>
      </c>
      <c r="CW7" s="20">
        <f t="shared" si="13"/>
        <v>4.082875345875836</v>
      </c>
      <c r="CX7" s="59">
        <f t="shared" si="14"/>
        <v>409.49398645698693</v>
      </c>
      <c r="CY7" s="59">
        <f ca="1">AVERAGE(OFFSET($CX$3,0,0,'Données projet'!$E$13+1,1))-AVERAGE(OFFSET($H$3,0,0,'Données projet'!$E$13+1,1))</f>
        <v>380.01315081072897</v>
      </c>
      <c r="CZ7" s="59">
        <f t="shared" si="42"/>
        <v>404.90871625409181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108.5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2.0666666666666669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10</v>
      </c>
      <c r="DO7" s="12">
        <f>IF('Données projet'!$A$166&gt;35,DO6+DN7-DW6,IF(A7&lt;'Données projet'!$A$166,$DL$205^A7,IF(A7='Données projet'!$A$166,'Données projet'!$B$166,DO6+DN7-DW6)))</f>
        <v>22.865252596366307</v>
      </c>
      <c r="DP7" s="17">
        <f>DO7*VLOOKUP('Données projet'!$B$14,Paramètres!$A$1:$I$89,3,0)*VLOOKUP('Données projet'!$B$14,Paramètres!$A$1:$I$89,5,0)</f>
        <v>20.688480549192235</v>
      </c>
      <c r="DQ7" s="13">
        <f t="shared" si="43"/>
        <v>6.7008493131736753</v>
      </c>
      <c r="DR7" s="20">
        <f t="shared" si="16"/>
        <v>47.703082843620628</v>
      </c>
      <c r="DS7" s="59">
        <f t="shared" si="17"/>
        <v>453.11419395473172</v>
      </c>
      <c r="DT7" s="59">
        <f ca="1">AVERAGE(OFFSET($DS$3,0,0,'Données projet'!$E$14+1,1))-AVERAGE(OFFSET($H$3,0,0,'Données projet'!$E$14+1,1))</f>
        <v>320.81451813551064</v>
      </c>
      <c r="DU7" s="59">
        <f t="shared" si="44"/>
        <v>522.80818268773976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108.5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2.0666666666666669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</v>
      </c>
      <c r="EJ7" s="12">
        <f>IF('Données projet'!$A$192&gt;35,EJ6+EI7-ER6,IF(A7&lt;'Données projet'!$A$192,$EG$205^A7,IF(A7='Données projet'!$A$192,'Données projet'!$B$192,EJ6+EI7-ER6)))</f>
        <v>3.3019272488946267</v>
      </c>
      <c r="EK7" s="17">
        <f>EJ7*VLOOKUP('Données projet'!$B$15,Paramètres!$A$1:$I$89,3,0)*VLOOKUP('Données projet'!$B$15,Paramètres!$A$1:$I$89,5,0)</f>
        <v>1.974552494838987</v>
      </c>
      <c r="EL7" s="13">
        <f t="shared" si="45"/>
        <v>0.84067511945625772</v>
      </c>
      <c r="EM7" s="20">
        <f t="shared" si="19"/>
        <v>4.9031880948975504</v>
      </c>
      <c r="EN7" s="59">
        <f t="shared" si="20"/>
        <v>410.31429920600863</v>
      </c>
      <c r="EO7" s="59">
        <f ca="1">AVERAGE(OFFSET($EN$3,0,0,'Données projet'!$E$15+1,1))-AVERAGE(OFFSET($H$3,0,0,'Données projet'!$E$15+1,1))</f>
        <v>228.3393311631487</v>
      </c>
      <c r="EP7" s="59">
        <f t="shared" si="46"/>
        <v>266.26050497804033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108.5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2.0666666666666669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4.4800000000000004</v>
      </c>
      <c r="FE7" s="12">
        <f>IF('Données projet'!$A$218&gt;35,FE6+FD7-FM6,IF(A7&lt;'Données projet'!$A$218,$FB$205^A7,IF(A7='Données projet'!$A$218,'Données projet'!$B$218,FE6+FD7-FM6)))</f>
        <v>2.1275260363805439</v>
      </c>
      <c r="FF7" s="17">
        <f>FE7*VLOOKUP('Données projet'!$B$16,Paramètres!$A$1:$I$89,3,0)*VLOOKUP('Données projet'!$B$16,Paramètres!$A$1:$I$89,5,0)</f>
        <v>1.2169448928096713</v>
      </c>
      <c r="FG7" s="13">
        <f t="shared" si="47"/>
        <v>0.54814750678068325</v>
      </c>
      <c r="FH7" s="20">
        <f t="shared" si="22"/>
        <v>3.0742025959532011</v>
      </c>
      <c r="FI7" s="59">
        <f t="shared" si="23"/>
        <v>408.48531370706428</v>
      </c>
      <c r="FJ7" s="59">
        <f ca="1">AVERAGE(OFFSET($FI$3,0,0,'Données projet'!$E$16+1,1))-AVERAGE(OFFSET($H$3,0,0,'Données projet'!$E$16+1,1))</f>
        <v>242.10913976205194</v>
      </c>
      <c r="FK7" s="59">
        <f t="shared" si="48"/>
        <v>198.24795425321133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108.5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2.0666666666666669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108.5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2.0666666666666669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2.4453</v>
      </c>
      <c r="D8" s="11">
        <f t="shared" si="32"/>
        <v>1.0155056655989092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14.693245106577825</v>
      </c>
      <c r="H8" s="67">
        <f t="shared" si="1"/>
        <v>403.86090320091807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108.5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2.5833333333333335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4.75</v>
      </c>
      <c r="N8" s="13">
        <f>IF('Données projet'!$A$36&gt;35,N7+M8-V7,IF(A8&lt;'Données projet'!$A$36,$K$205^A8,IF(A8='Données projet'!$A$36,'Données projet'!$B$36,N7+M8-V7)))</f>
        <v>3.121985641352143</v>
      </c>
      <c r="O8" s="13">
        <f>N8*VLOOKUP('Données projet'!$B$9,Paramètres!$A$1:$I$89,3,0)*VLOOKUP('Données projet'!$B$9,Paramètres!$A$1:$I$89,5,0)</f>
        <v>2.5325547522648586</v>
      </c>
      <c r="P8" s="13">
        <f t="shared" si="33"/>
        <v>1.0474580983308857</v>
      </c>
      <c r="Q8" s="20">
        <f t="shared" si="2"/>
        <v>6.2351890481209198</v>
      </c>
      <c r="R8" s="59">
        <f t="shared" si="0"/>
        <v>413.54074460367639</v>
      </c>
      <c r="S8" s="59">
        <f ca="1">AVERAGE(OFFSET($R$3,0,0,'Données projet'!$E$9+1,1))-AVERAGE(OFFSET($H$3,0,0,'Données projet'!$E$9+1,1))</f>
        <v>273.89826011924487</v>
      </c>
      <c r="T8" s="59">
        <f t="shared" si="34"/>
        <v>332.17519939974227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108.5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2.5833333333333335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7.9</v>
      </c>
      <c r="AI8" s="13">
        <f>IF('Données projet'!$A$62&gt;35,AI7+AH8-AQ7,IF(A8&lt;'Données projet'!$A$62,$AF$205^A8,IF(A8='Données projet'!$A$62,'Données projet'!$B$62,AI7+AH8-AQ7)))</f>
        <v>3.5453920925585285</v>
      </c>
      <c r="AJ8" s="13">
        <f>AI8*VLOOKUP('Données projet'!$B$10,Paramètres!$A$1:$I$89,3,0)*VLOOKUP('Données projet'!$B$10,Paramètres!$A$1:$I$89,5,0)</f>
        <v>1.6592434993173915</v>
      </c>
      <c r="AK8" s="13">
        <f t="shared" si="35"/>
        <v>0.72088277944126433</v>
      </c>
      <c r="AL8" s="20">
        <f t="shared" si="4"/>
        <v>4.1453866021713255</v>
      </c>
      <c r="AM8" s="59">
        <f t="shared" si="5"/>
        <v>411.45094215772679</v>
      </c>
      <c r="AN8" s="59">
        <f ca="1">AVERAGE(OFFSET($AM$3,0,0,'Données projet'!$E$10+1,1))-AVERAGE(OFFSET($H$3,0,0,'Données projet'!$E$10+1,1))</f>
        <v>293.42903587188346</v>
      </c>
      <c r="AO8" s="59">
        <f t="shared" si="36"/>
        <v>267.80827667062124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108.5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2.5833333333333335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2.3033764090157529</v>
      </c>
      <c r="BF8" s="13">
        <f t="shared" si="37"/>
        <v>0.96324708482559218</v>
      </c>
      <c r="BG8" s="20">
        <f t="shared" si="7"/>
        <v>5.6893692517736758</v>
      </c>
      <c r="BH8" s="59">
        <f t="shared" si="8"/>
        <v>412.99492480732914</v>
      </c>
      <c r="BI8" s="59">
        <f ca="1">AVERAGE(OFFSET($BH$3,0,0,'Données projet'!$E$11+1,1))-AVERAGE(OFFSET($H$3,0,0,'Données projet'!$E$11+1,1))</f>
        <v>324.41828402031939</v>
      </c>
      <c r="BJ8" s="59">
        <f t="shared" si="38"/>
        <v>233.01060088065992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108.5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2.5833333333333335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</v>
      </c>
      <c r="BY8" s="12">
        <f>IF('Données projet'!$A$114&gt;35,BY7+BX8-CG7,IF(A8&lt;'Données projet'!$A$114,$BV$205^A8,IF(A8='Données projet'!$A$114,'Données projet'!$B$114,BY7+BX8-CG7)))</f>
        <v>6.0000000000000009</v>
      </c>
      <c r="BZ8" s="13">
        <f>BY8*VLOOKUP('Données projet'!$B$12,Paramètres!$A$1:$I$89,3,0)*VLOOKUP('Données projet'!$B$12,Paramètres!$A$1:$I$89,5,0)</f>
        <v>3.2760000000000007</v>
      </c>
      <c r="CA8" s="13">
        <f t="shared" si="39"/>
        <v>1.3149520873221716</v>
      </c>
      <c r="CB8" s="20">
        <f t="shared" si="10"/>
        <v>7.9959082187527839</v>
      </c>
      <c r="CC8" s="59">
        <f t="shared" si="11"/>
        <v>415.30146377430827</v>
      </c>
      <c r="CD8" s="59">
        <f ca="1">AVERAGE(OFFSET($CC$3,0,0,'Données projet'!$E$12+1,1))-AVERAGE(OFFSET($H$3,0,0,'Données projet'!$E$12+1,1))</f>
        <v>279.00060755204919</v>
      </c>
      <c r="CE8" s="59">
        <f t="shared" si="40"/>
        <v>333.91128554211014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108.5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2.5833333333333335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7.6</v>
      </c>
      <c r="CT8" s="12">
        <f>IF('Données projet'!$A$140&gt;35,CT7+CS8-DB7,IF(A8&lt;'Données projet'!$A$140,$CQ$205^A8,IF(A8='Données projet'!$A$140,'Données projet'!$B$140,CT7+CS8-DB7)))</f>
        <v>3.5112430855664138</v>
      </c>
      <c r="CU8" s="17">
        <f>CT8*VLOOKUP('Données projet'!$B$13,Paramètres!$A$1:$I$89,3,0)*VLOOKUP('Données projet'!$B$13,Paramètres!$A$1:$I$89,5,0)</f>
        <v>2.0997233651687157</v>
      </c>
      <c r="CV8" s="13">
        <f t="shared" si="41"/>
        <v>0.88759424895715988</v>
      </c>
      <c r="CW8" s="20">
        <f t="shared" si="13"/>
        <v>5.2029115112692326</v>
      </c>
      <c r="CX8" s="59">
        <f t="shared" si="14"/>
        <v>412.50846706682472</v>
      </c>
      <c r="CY8" s="59">
        <f ca="1">AVERAGE(OFFSET($CX$3,0,0,'Données projet'!$E$13+1,1))-AVERAGE(OFFSET($H$3,0,0,'Données projet'!$E$13+1,1))</f>
        <v>380.01315081072897</v>
      </c>
      <c r="CZ8" s="59">
        <f t="shared" si="42"/>
        <v>404.90871625409181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108.5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2.5833333333333335</v>
      </c>
      <c r="DL8" s="12">
        <f>VLOOKUP(A8,'Données projet'!$A$165:$I$185,2,0)</f>
        <v>50</v>
      </c>
      <c r="DM8" s="12">
        <f>VLOOKUP(A8,'Données projet'!$A$165:$I$185,9,0)</f>
        <v>10</v>
      </c>
      <c r="DN8" s="12">
        <f t="array" ref="DN8">INDEX(DM:DM,MIN(IF(ISNUMBER(DM8:DM204),ROW(DM8:DM204),"")))</f>
        <v>10</v>
      </c>
      <c r="DO8" s="12">
        <f>IF('Données projet'!$A$166&gt;35,DO7+DN8-DW7,IF(A8&lt;'Données projet'!$A$166,$DL$205^A8,IF(A8='Données projet'!$A$166,'Données projet'!$B$166,DO7+DN8-DW7)))</f>
        <v>50</v>
      </c>
      <c r="DP8" s="17">
        <f>DO8*VLOOKUP('Données projet'!$B$14,Paramètres!$A$1:$I$89,3,0)*VLOOKUP('Données projet'!$B$14,Paramètres!$A$1:$I$89,5,0)</f>
        <v>45.239999999999995</v>
      </c>
      <c r="DQ8" s="13">
        <f t="shared" si="43"/>
        <v>13.377403626687906</v>
      </c>
      <c r="DR8" s="20">
        <f t="shared" si="16"/>
        <v>102.09197798314808</v>
      </c>
      <c r="DS8" s="59">
        <f t="shared" si="17"/>
        <v>509.39753353870356</v>
      </c>
      <c r="DT8" s="59">
        <f ca="1">AVERAGE(OFFSET($DS$3,0,0,'Données projet'!$E$14+1,1))-AVERAGE(OFFSET($H$3,0,0,'Données projet'!$E$14+1,1))</f>
        <v>320.81451813551064</v>
      </c>
      <c r="DU8" s="59">
        <f t="shared" si="44"/>
        <v>522.80818268773976</v>
      </c>
      <c r="DV8" s="15">
        <f>IF(ISNA(VLOOKUP(A8,'Données projet'!$A$165:$I$185,3,0)),0,VLOOKUP(A8,'Données projet'!$A$165:$I$185,3,0))</f>
        <v>1</v>
      </c>
      <c r="DW8" s="15">
        <f>IF(ISNA(VLOOKUP(A8,'Données projet'!$A$165:$I$185,4,0)),0,VLOOKUP(A8,'Données projet'!$A$165:$I$185,4,0))</f>
        <v>16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7.4999999999999997E-2</v>
      </c>
      <c r="DZ8" s="16">
        <f>IF(ISNA(VLOOKUP(A8,'Données projet'!$A$165:$I$185,7,0)),0%,VLOOKUP(A8,'Données projet'!$A$165:$I$185,7,0))</f>
        <v>0.25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1.1955495772214559</v>
      </c>
      <c r="EC8" s="21">
        <f>EXP(-LN(2)/2)*EC7+(1-EXP(-LN(2)/2))/(LN(2)/2)*DW8*DZ8*VLOOKUP('Données projet'!$B$14,Paramètres!$A$1:$I$89,3,0)*0.475*44/12</f>
        <v>3.4148126093398208</v>
      </c>
      <c r="ED8" s="22">
        <f t="shared" si="18"/>
        <v>4.6103621865612769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108.5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2.5833333333333335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</v>
      </c>
      <c r="EJ8" s="12">
        <f>IF('Données projet'!$A$192&gt;35,EJ7+EI8-ER7,IF(A8&lt;'Données projet'!$A$192,$EG$205^A8,IF(A8='Données projet'!$A$192,'Données projet'!$B$192,EJ7+EI8-ER7)))</f>
        <v>4.4510182535424141</v>
      </c>
      <c r="EK8" s="17">
        <f>EJ8*VLOOKUP('Données projet'!$B$15,Paramètres!$A$1:$I$89,3,0)*VLOOKUP('Données projet'!$B$15,Paramètres!$A$1:$I$89,5,0)</f>
        <v>2.6617089156183638</v>
      </c>
      <c r="EL8" s="13">
        <f t="shared" si="45"/>
        <v>1.0945205879680817</v>
      </c>
      <c r="EM8" s="20">
        <f t="shared" si="19"/>
        <v>6.5420997187463925</v>
      </c>
      <c r="EN8" s="59">
        <f t="shared" si="20"/>
        <v>413.84765527430187</v>
      </c>
      <c r="EO8" s="59">
        <f ca="1">AVERAGE(OFFSET($EN$3,0,0,'Données projet'!$E$15+1,1))-AVERAGE(OFFSET($H$3,0,0,'Données projet'!$E$15+1,1))</f>
        <v>228.3393311631487</v>
      </c>
      <c r="EP8" s="59">
        <f t="shared" si="46"/>
        <v>266.26050497804033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108.5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2.5833333333333335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4.4800000000000004</v>
      </c>
      <c r="FE8" s="12">
        <f>IF('Données projet'!$A$218&gt;35,FE7+FD8-FM7,IF(A8&lt;'Données projet'!$A$218,$FB$205^A8,IF(A8='Données projet'!$A$218,'Données projet'!$B$218,FE7+FD8-FM7)))</f>
        <v>2.5694703142468787</v>
      </c>
      <c r="FF8" s="17">
        <f>FE8*VLOOKUP('Données projet'!$B$16,Paramètres!$A$1:$I$89,3,0)*VLOOKUP('Données projet'!$B$16,Paramètres!$A$1:$I$89,5,0)</f>
        <v>1.4697370197492146</v>
      </c>
      <c r="FG8" s="13">
        <f t="shared" si="47"/>
        <v>0.64762708707662009</v>
      </c>
      <c r="FH8" s="20">
        <f t="shared" si="22"/>
        <v>3.687742486054995</v>
      </c>
      <c r="FI8" s="59">
        <f t="shared" si="23"/>
        <v>410.9932980416105</v>
      </c>
      <c r="FJ8" s="59">
        <f ca="1">AVERAGE(OFFSET($FI$3,0,0,'Données projet'!$E$16+1,1))-AVERAGE(OFFSET($H$3,0,0,'Données projet'!$E$16+1,1))</f>
        <v>242.10913976205194</v>
      </c>
      <c r="FK8" s="59">
        <f t="shared" si="48"/>
        <v>198.24795425321133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108.5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2.5833333333333335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108.5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2.5833333333333335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2.9343599999999999</v>
      </c>
      <c r="D9" s="11">
        <f t="shared" si="32"/>
        <v>1.1930177348076609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17.523252839007966</v>
      </c>
      <c r="H9" s="67">
        <f t="shared" si="1"/>
        <v>405.02184955478998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108.5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3.1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4.75</v>
      </c>
      <c r="N9" s="13">
        <f>IF('Données projet'!$A$36&gt;35,N8+M9-V8,IF(A9&lt;'Données projet'!$A$36,$K$205^A9,IF(A9='Données projet'!$A$36,'Données projet'!$B$36,N8+M9-V8)))</f>
        <v>3.920279951613006</v>
      </c>
      <c r="O9" s="13">
        <f>N9*VLOOKUP('Données projet'!$B$9,Paramètres!$A$1:$I$89,3,0)*VLOOKUP('Données projet'!$B$9,Paramètres!$A$1:$I$89,5,0)</f>
        <v>3.1801310967484708</v>
      </c>
      <c r="P9" s="13">
        <f t="shared" si="33"/>
        <v>1.2808919247663788</v>
      </c>
      <c r="Q9" s="20">
        <f t="shared" si="2"/>
        <v>7.7696150958050287</v>
      </c>
      <c r="R9" s="59">
        <f t="shared" si="0"/>
        <v>416.96961509580501</v>
      </c>
      <c r="S9" s="59">
        <f ca="1">AVERAGE(OFFSET($R$3,0,0,'Données projet'!$E$9+1,1))-AVERAGE(OFFSET($H$3,0,0,'Données projet'!$E$9+1,1))</f>
        <v>273.89826011924487</v>
      </c>
      <c r="T9" s="59">
        <f t="shared" si="34"/>
        <v>332.17519939974227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108.5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3.1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7.9</v>
      </c>
      <c r="AI9" s="13">
        <f>IF('Données projet'!$A$62&gt;35,AI8+AH9-AQ8,IF(A9&lt;'Données projet'!$A$62,$AF$205^A9,IF(A9='Données projet'!$A$62,'Données projet'!$B$62,AI8+AH9-AQ8)))</f>
        <v>4.566643676946887</v>
      </c>
      <c r="AJ9" s="13">
        <f>AI9*VLOOKUP('Données projet'!$B$10,Paramètres!$A$1:$I$89,3,0)*VLOOKUP('Données projet'!$B$10,Paramètres!$A$1:$I$89,5,0)</f>
        <v>2.1371892408111433</v>
      </c>
      <c r="AK9" s="13">
        <f t="shared" si="35"/>
        <v>0.9015738804633705</v>
      </c>
      <c r="AL9" s="20">
        <f t="shared" si="4"/>
        <v>5.292512436219778</v>
      </c>
      <c r="AM9" s="59">
        <f t="shared" si="5"/>
        <v>414.49251243621978</v>
      </c>
      <c r="AN9" s="59">
        <f ca="1">AVERAGE(OFFSET($AM$3,0,0,'Données projet'!$E$10+1,1))-AVERAGE(OFFSET($H$3,0,0,'Données projet'!$E$10+1,1))</f>
        <v>293.42903587188346</v>
      </c>
      <c r="AO9" s="59">
        <f t="shared" si="36"/>
        <v>267.80827667062124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108.5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3.1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2.7766898902321886</v>
      </c>
      <c r="BF9" s="13">
        <f t="shared" si="37"/>
        <v>1.1361949561012803</v>
      </c>
      <c r="BG9" s="20">
        <f t="shared" si="7"/>
        <v>6.8149411073641248</v>
      </c>
      <c r="BH9" s="59">
        <f t="shared" si="8"/>
        <v>416.01494110736411</v>
      </c>
      <c r="BI9" s="59">
        <f ca="1">AVERAGE(OFFSET($BH$3,0,0,'Données projet'!$E$11+1,1))-AVERAGE(OFFSET($H$3,0,0,'Données projet'!$E$11+1,1))</f>
        <v>324.41828402031939</v>
      </c>
      <c r="BJ9" s="59">
        <f t="shared" si="38"/>
        <v>233.01060088065992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108.5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3.1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</v>
      </c>
      <c r="BY9" s="12">
        <f>IF('Données projet'!$A$114&gt;35,BY8+BX9-CG8,IF(A9&lt;'Données projet'!$A$114,$BV$205^A9,IF(A9='Données projet'!$A$114,'Données projet'!$B$114,BY8+BX9-CG8)))</f>
        <v>8.5858144866315342</v>
      </c>
      <c r="BZ9" s="13">
        <f>BY9*VLOOKUP('Données projet'!$B$12,Paramètres!$A$1:$I$89,3,0)*VLOOKUP('Données projet'!$B$12,Paramètres!$A$1:$I$89,5,0)</f>
        <v>4.6878547097008179</v>
      </c>
      <c r="CA9" s="13">
        <f t="shared" si="39"/>
        <v>1.8047822779434171</v>
      </c>
      <c r="CB9" s="20">
        <f t="shared" si="10"/>
        <v>11.308009420147043</v>
      </c>
      <c r="CC9" s="59">
        <f t="shared" si="11"/>
        <v>420.508009420147</v>
      </c>
      <c r="CD9" s="59">
        <f ca="1">AVERAGE(OFFSET($CC$3,0,0,'Données projet'!$E$12+1,1))-AVERAGE(OFFSET($H$3,0,0,'Données projet'!$E$12+1,1))</f>
        <v>279.00060755204919</v>
      </c>
      <c r="CE9" s="59">
        <f t="shared" si="40"/>
        <v>333.91128554211014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108.5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3.1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7.6</v>
      </c>
      <c r="CT9" s="12">
        <f>IF('Données projet'!$A$140&gt;35,CT8+CS9-DB8,IF(A9&lt;'Données projet'!$A$140,$CQ$205^A9,IF(A9='Données projet'!$A$140,'Données projet'!$B$140,CT8+CS9-DB8)))</f>
        <v>4.5139118779136131</v>
      </c>
      <c r="CU9" s="17">
        <f>CT9*VLOOKUP('Données projet'!$B$13,Paramètres!$A$1:$I$89,3,0)*VLOOKUP('Données projet'!$B$13,Paramètres!$A$1:$I$89,5,0)</f>
        <v>2.699319302992341</v>
      </c>
      <c r="CV9" s="13">
        <f t="shared" si="41"/>
        <v>1.1081749513026866</v>
      </c>
      <c r="CW9" s="20">
        <f t="shared" si="13"/>
        <v>6.6313858262305061</v>
      </c>
      <c r="CX9" s="59">
        <f t="shared" si="14"/>
        <v>415.83138582623047</v>
      </c>
      <c r="CY9" s="59">
        <f ca="1">AVERAGE(OFFSET($CX$3,0,0,'Données projet'!$E$13+1,1))-AVERAGE(OFFSET($H$3,0,0,'Données projet'!$E$13+1,1))</f>
        <v>380.01315081072897</v>
      </c>
      <c r="CZ9" s="59">
        <f t="shared" si="42"/>
        <v>404.90871625409181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108.5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3.1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20</v>
      </c>
      <c r="DO9" s="12">
        <f>IF('Données projet'!$A$166&gt;35,DO8+DN9-DW8,IF(A9&lt;'Données projet'!$A$166,$DL$205^A9,IF(A9='Données projet'!$A$166,'Données projet'!$B$166,DO8+DN9-DW8)))</f>
        <v>54</v>
      </c>
      <c r="DP9" s="17">
        <f>DO9*VLOOKUP('Données projet'!$B$14,Paramètres!$A$1:$I$89,3,0)*VLOOKUP('Données projet'!$B$14,Paramètres!$A$1:$I$89,5,0)</f>
        <v>48.859199999999994</v>
      </c>
      <c r="DQ9" s="13">
        <f t="shared" si="43"/>
        <v>14.318748507569314</v>
      </c>
      <c r="DR9" s="20">
        <f t="shared" si="16"/>
        <v>110.03492698401654</v>
      </c>
      <c r="DS9" s="59">
        <f t="shared" si="17"/>
        <v>519.23492698401651</v>
      </c>
      <c r="DT9" s="59">
        <f ca="1">AVERAGE(OFFSET($DS$3,0,0,'Données projet'!$E$14+1,1))-AVERAGE(OFFSET($H$3,0,0,'Données projet'!$E$14+1,1))</f>
        <v>320.81451813551064</v>
      </c>
      <c r="DU9" s="59">
        <f t="shared" si="44"/>
        <v>522.80818268773976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1.1628572111611155</v>
      </c>
      <c r="EC9" s="21">
        <f>EXP(-LN(2)/2)*EC8+(1-EXP(-LN(2)/2))/(LN(2)/2)*DW9*DZ9*VLOOKUP('Données projet'!$B$14,Paramètres!$A$1:$I$89,3,0)*0.475*44/12</f>
        <v>2.4146371525455161</v>
      </c>
      <c r="ED9" s="22">
        <f t="shared" si="18"/>
        <v>3.5774943637066317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108.5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3.1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</v>
      </c>
      <c r="EJ9" s="12">
        <f>IF('Données projet'!$A$192&gt;35,EJ8+EI9-ER8,IF(A9&lt;'Données projet'!$A$192,$EG$205^A9,IF(A9='Données projet'!$A$192,'Données projet'!$B$192,EJ8+EI9-ER8)))</f>
        <v>6</v>
      </c>
      <c r="EK9" s="17">
        <f>EJ9*VLOOKUP('Données projet'!$B$15,Paramètres!$A$1:$I$89,3,0)*VLOOKUP('Données projet'!$B$15,Paramètres!$A$1:$I$89,5,0)</f>
        <v>3.5880000000000005</v>
      </c>
      <c r="EL9" s="13">
        <f t="shared" si="45"/>
        <v>1.4250157876217819</v>
      </c>
      <c r="EM9" s="20">
        <f t="shared" si="19"/>
        <v>8.7310024967746021</v>
      </c>
      <c r="EN9" s="59">
        <f t="shared" si="20"/>
        <v>417.93100249677457</v>
      </c>
      <c r="EO9" s="59">
        <f ca="1">AVERAGE(OFFSET($EN$3,0,0,'Données projet'!$E$15+1,1))-AVERAGE(OFFSET($H$3,0,0,'Données projet'!$E$15+1,1))</f>
        <v>228.3393311631487</v>
      </c>
      <c r="EP9" s="59">
        <f t="shared" si="46"/>
        <v>266.26050497804033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108.5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3.1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4.4800000000000004</v>
      </c>
      <c r="FE9" s="12">
        <f>IF('Données projet'!$A$218&gt;35,FE8+FD9-FM8,IF(A9&lt;'Données projet'!$A$218,$FB$205^A9,IF(A9='Données projet'!$A$218,'Données projet'!$B$218,FE8+FD9-FM8)))</f>
        <v>3.1032182840064868</v>
      </c>
      <c r="FF9" s="17">
        <f>FE9*VLOOKUP('Données projet'!$B$16,Paramètres!$A$1:$I$89,3,0)*VLOOKUP('Données projet'!$B$16,Paramètres!$A$1:$I$89,5,0)</f>
        <v>1.7750408584517106</v>
      </c>
      <c r="FG9" s="13">
        <f t="shared" si="47"/>
        <v>0.76516054296888503</v>
      </c>
      <c r="FH9" s="20">
        <f t="shared" si="22"/>
        <v>4.4241841074742041</v>
      </c>
      <c r="FI9" s="59">
        <f t="shared" si="23"/>
        <v>413.62418410747421</v>
      </c>
      <c r="FJ9" s="59">
        <f ca="1">AVERAGE(OFFSET($FI$3,0,0,'Données projet'!$E$16+1,1))-AVERAGE(OFFSET($H$3,0,0,'Données projet'!$E$16+1,1))</f>
        <v>242.10913976205194</v>
      </c>
      <c r="FK9" s="59">
        <f t="shared" si="48"/>
        <v>198.24795425321133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108.5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3.1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108.5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3.1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3.4234199999999997</v>
      </c>
      <c r="D10" s="11">
        <f t="shared" si="32"/>
        <v>1.3671025174731435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20.338709635587733</v>
      </c>
      <c r="H10" s="67">
        <f t="shared" si="1"/>
        <v>406.17682671793239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108.5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3.6166666666666667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4.75</v>
      </c>
      <c r="N10" s="13">
        <f>IF('Données projet'!$A$36&gt;35,N9+M10-V9,IF(A10&lt;'Données projet'!$A$36,$K$205^A10,IF(A10='Données projet'!$A$36,'Données projet'!$B$36,N9+M10-V9)))</f>
        <v>4.9226987771675601</v>
      </c>
      <c r="O10" s="13">
        <f>N10*VLOOKUP('Données projet'!$B$9,Paramètres!$A$1:$I$89,3,0)*VLOOKUP('Données projet'!$B$9,Paramètres!$A$1:$I$89,5,0)</f>
        <v>3.993293248038325</v>
      </c>
      <c r="P10" s="13">
        <f t="shared" si="33"/>
        <v>1.566348215309169</v>
      </c>
      <c r="Q10" s="20">
        <f t="shared" si="2"/>
        <v>9.683042215330218</v>
      </c>
      <c r="R10" s="59">
        <f t="shared" si="0"/>
        <v>420.77748665977464</v>
      </c>
      <c r="S10" s="59">
        <f ca="1">AVERAGE(OFFSET($R$3,0,0,'Données projet'!$E$9+1,1))-AVERAGE(OFFSET($H$3,0,0,'Données projet'!$E$9+1,1))</f>
        <v>273.89826011924487</v>
      </c>
      <c r="T10" s="59">
        <f t="shared" si="34"/>
        <v>332.17519939974227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108.5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3.6166666666666667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7.9</v>
      </c>
      <c r="AI10" s="13">
        <f>IF('Données projet'!$A$62&gt;35,AI9+AH10-AQ9,IF(A10&lt;'Données projet'!$A$62,$AF$205^A10,IF(A10='Données projet'!$A$62,'Données projet'!$B$62,AI9+AH10-AQ9)))</f>
        <v>5.8820671812210037</v>
      </c>
      <c r="AJ10" s="13">
        <f>AI10*VLOOKUP('Données projet'!$B$10,Paramètres!$A$1:$I$89,3,0)*VLOOKUP('Données projet'!$B$10,Paramètres!$A$1:$I$89,5,0)</f>
        <v>2.7528074408114294</v>
      </c>
      <c r="AK10" s="13">
        <f t="shared" si="35"/>
        <v>1.1275556652411438</v>
      </c>
      <c r="AL10" s="20">
        <f t="shared" si="4"/>
        <v>6.7582990763748976</v>
      </c>
      <c r="AM10" s="59">
        <f t="shared" si="5"/>
        <v>417.85274352081933</v>
      </c>
      <c r="AN10" s="59">
        <f ca="1">AVERAGE(OFFSET($AM$3,0,0,'Données projet'!$E$10+1,1))-AVERAGE(OFFSET($H$3,0,0,'Données projet'!$E$10+1,1))</f>
        <v>293.42903587188346</v>
      </c>
      <c r="AO10" s="59">
        <f t="shared" si="36"/>
        <v>267.80827667062124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108.5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3.6166666666666667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3.3472630510321921</v>
      </c>
      <c r="BF10" s="13">
        <f t="shared" si="37"/>
        <v>1.34019505338418</v>
      </c>
      <c r="BG10" s="20">
        <f t="shared" si="7"/>
        <v>8.1639895318585136</v>
      </c>
      <c r="BH10" s="59">
        <f t="shared" si="8"/>
        <v>419.25843397630297</v>
      </c>
      <c r="BI10" s="59">
        <f ca="1">AVERAGE(OFFSET($BH$3,0,0,'Données projet'!$E$11+1,1))-AVERAGE(OFFSET($H$3,0,0,'Données projet'!$E$11+1,1))</f>
        <v>324.41828402031939</v>
      </c>
      <c r="BJ10" s="59">
        <f t="shared" si="38"/>
        <v>233.01060088065992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108.5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3.6166666666666667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</v>
      </c>
      <c r="BY10" s="12">
        <f>IF('Données projet'!$A$114&gt;35,BY9+BX10-CG9,IF(A10&lt;'Données projet'!$A$114,$BV$205^A10,IF(A10='Données projet'!$A$114,'Données projet'!$B$114,BY9+BX10-CG9)))</f>
        <v>12.286035066475318</v>
      </c>
      <c r="BZ10" s="13">
        <f>BY10*VLOOKUP('Données projet'!$B$12,Paramètres!$A$1:$I$89,3,0)*VLOOKUP('Données projet'!$B$12,Paramètres!$A$1:$I$89,5,0)</f>
        <v>6.708175146295523</v>
      </c>
      <c r="CA10" s="13">
        <f t="shared" si="39"/>
        <v>2.4770781400954469</v>
      </c>
      <c r="CB10" s="20">
        <f t="shared" si="10"/>
        <v>15.997649473797606</v>
      </c>
      <c r="CC10" s="59">
        <f t="shared" si="11"/>
        <v>427.09209391824203</v>
      </c>
      <c r="CD10" s="59">
        <f ca="1">AVERAGE(OFFSET($CC$3,0,0,'Données projet'!$E$12+1,1))-AVERAGE(OFFSET($H$3,0,0,'Données projet'!$E$12+1,1))</f>
        <v>279.00060755204919</v>
      </c>
      <c r="CE10" s="59">
        <f t="shared" si="40"/>
        <v>333.91128554211014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108.5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3.6166666666666667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7.6</v>
      </c>
      <c r="CT10" s="12">
        <f>IF('Données projet'!$A$140&gt;35,CT9+CS10-DB9,IF(A10&lt;'Données projet'!$A$140,$CQ$205^A10,IF(A10='Données projet'!$A$140,'Données projet'!$B$140,CT9+CS10-DB9)))</f>
        <v>5.8029022614031742</v>
      </c>
      <c r="CU10" s="17">
        <f>CT10*VLOOKUP('Données projet'!$B$13,Paramètres!$A$1:$I$89,3,0)*VLOOKUP('Données projet'!$B$13,Paramètres!$A$1:$I$89,5,0)</f>
        <v>3.4701355523190984</v>
      </c>
      <c r="CV10" s="13">
        <f t="shared" si="41"/>
        <v>1.3835733209600647</v>
      </c>
      <c r="CW10" s="20">
        <f t="shared" si="13"/>
        <v>8.4535429542945408</v>
      </c>
      <c r="CX10" s="59">
        <f t="shared" si="14"/>
        <v>419.547987398739</v>
      </c>
      <c r="CY10" s="59">
        <f ca="1">AVERAGE(OFFSET($CX$3,0,0,'Données projet'!$E$13+1,1))-AVERAGE(OFFSET($H$3,0,0,'Données projet'!$E$13+1,1))</f>
        <v>380.01315081072897</v>
      </c>
      <c r="CZ10" s="59">
        <f t="shared" si="42"/>
        <v>404.90871625409181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108.5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3.6166666666666667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20</v>
      </c>
      <c r="DO10" s="12">
        <f>IF('Données projet'!$A$166&gt;35,DO9+DN10-DW9,IF(A10&lt;'Données projet'!$A$166,$DL$205^A10,IF(A10='Données projet'!$A$166,'Données projet'!$B$166,DO9+DN10-DW9)))</f>
        <v>74</v>
      </c>
      <c r="DP10" s="17">
        <f>DO10*VLOOKUP('Données projet'!$B$14,Paramètres!$A$1:$I$89,3,0)*VLOOKUP('Données projet'!$B$14,Paramètres!$A$1:$I$89,5,0)</f>
        <v>66.955199999999991</v>
      </c>
      <c r="DQ10" s="13">
        <f t="shared" si="43"/>
        <v>18.915380530436497</v>
      </c>
      <c r="DR10" s="20">
        <f t="shared" si="16"/>
        <v>149.55792775717688</v>
      </c>
      <c r="DS10" s="59">
        <f t="shared" si="17"/>
        <v>560.65237220162135</v>
      </c>
      <c r="DT10" s="59">
        <f ca="1">AVERAGE(OFFSET($DS$3,0,0,'Données projet'!$E$14+1,1))-AVERAGE(OFFSET($H$3,0,0,'Données projet'!$E$14+1,1))</f>
        <v>320.81451813551064</v>
      </c>
      <c r="DU10" s="59">
        <f t="shared" si="44"/>
        <v>522.80818268773976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1.1310588195699118</v>
      </c>
      <c r="EC10" s="21">
        <f>EXP(-LN(2)/2)*EC9+(1-EXP(-LN(2)/2))/(LN(2)/2)*DW10*DZ10*VLOOKUP('Données projet'!$B$14,Paramètres!$A$1:$I$89,3,0)*0.475*44/12</f>
        <v>1.7074063046699106</v>
      </c>
      <c r="ED10" s="22">
        <f t="shared" si="18"/>
        <v>2.8384651242398222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108.5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3.6166666666666667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</v>
      </c>
      <c r="EJ10" s="12">
        <f>IF('Données projet'!$A$192&gt;35,EJ9+EI10-ER9,IF(A10&lt;'Données projet'!$A$192,$EG$205^A10,IF(A10='Données projet'!$A$192,'Données projet'!$B$192,EJ9+EI10-ER9)))</f>
        <v>8.0880369275836674</v>
      </c>
      <c r="EK10" s="17">
        <f>EJ10*VLOOKUP('Données projet'!$B$15,Paramètres!$A$1:$I$89,3,0)*VLOOKUP('Données projet'!$B$15,Paramètres!$A$1:$I$89,5,0)</f>
        <v>4.836646082695033</v>
      </c>
      <c r="EL10" s="13">
        <f t="shared" si="45"/>
        <v>1.8553054344470195</v>
      </c>
      <c r="EM10" s="20">
        <f t="shared" si="19"/>
        <v>11.65514889235574</v>
      </c>
      <c r="EN10" s="59">
        <f t="shared" si="20"/>
        <v>422.74959333680016</v>
      </c>
      <c r="EO10" s="59">
        <f ca="1">AVERAGE(OFFSET($EN$3,0,0,'Données projet'!$E$15+1,1))-AVERAGE(OFFSET($H$3,0,0,'Données projet'!$E$15+1,1))</f>
        <v>228.3393311631487</v>
      </c>
      <c r="EP10" s="59">
        <f t="shared" si="46"/>
        <v>266.26050497804033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108.5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3.6166666666666667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4.4800000000000004</v>
      </c>
      <c r="FE10" s="12">
        <f>IF('Données projet'!$A$218&gt;35,FE9+FD10-FM9,IF(A10&lt;'Données projet'!$A$218,$FB$205^A10,IF(A10='Données projet'!$A$218,'Données projet'!$B$218,FE9+FD10-FM9)))</f>
        <v>3.7478400372236802</v>
      </c>
      <c r="FF10" s="17">
        <f>FE10*VLOOKUP('Données projet'!$B$16,Paramètres!$A$1:$I$89,3,0)*VLOOKUP('Données projet'!$B$16,Paramètres!$A$1:$I$89,5,0)</f>
        <v>2.1437645012919453</v>
      </c>
      <c r="FG10" s="13">
        <f t="shared" si="47"/>
        <v>0.90402435012291638</v>
      </c>
      <c r="FH10" s="20">
        <f t="shared" si="22"/>
        <v>5.3082322495475509</v>
      </c>
      <c r="FI10" s="59">
        <f t="shared" si="23"/>
        <v>416.40267669399196</v>
      </c>
      <c r="FJ10" s="59">
        <f ca="1">AVERAGE(OFFSET($FI$3,0,0,'Données projet'!$E$16+1,1))-AVERAGE(OFFSET($H$3,0,0,'Données projet'!$E$16+1,1))</f>
        <v>242.10913976205194</v>
      </c>
      <c r="FK10" s="59">
        <f t="shared" si="48"/>
        <v>198.24795425321133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108.5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3.6166666666666667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108.5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3.6166666666666667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3.9124799999999995</v>
      </c>
      <c r="D11" s="11">
        <f t="shared" si="32"/>
        <v>1.5383061183961508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23.14193404652401</v>
      </c>
      <c r="H11" s="67">
        <f t="shared" si="1"/>
        <v>407.32678582287326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108.5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4.1333333333333337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4.75</v>
      </c>
      <c r="N11" s="13">
        <f>IF('Données projet'!$A$36&gt;35,N10+M11-V10,IF(A11&lt;'Données projet'!$A$36,$K$205^A11,IF(A11='Données projet'!$A$36,'Données projet'!$B$36,N10+M11-V10)))</f>
        <v>6.1814369253798551</v>
      </c>
      <c r="O11" s="13">
        <f>N11*VLOOKUP('Données projet'!$B$9,Paramètres!$A$1:$I$89,3,0)*VLOOKUP('Données projet'!$B$9,Paramètres!$A$1:$I$89,5,0)</f>
        <v>5.0143816338681386</v>
      </c>
      <c r="P11" s="13">
        <f t="shared" si="33"/>
        <v>1.9154205629407037</v>
      </c>
      <c r="Q11" s="20">
        <f t="shared" si="2"/>
        <v>12.069405492775401</v>
      </c>
      <c r="R11" s="59">
        <f t="shared" si="0"/>
        <v>425.05829438166427</v>
      </c>
      <c r="S11" s="59">
        <f ca="1">AVERAGE(OFFSET($R$3,0,0,'Données projet'!$E$9+1,1))-AVERAGE(OFFSET($H$3,0,0,'Données projet'!$E$9+1,1))</f>
        <v>273.89826011924487</v>
      </c>
      <c r="T11" s="59">
        <f t="shared" si="34"/>
        <v>332.17519939974227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108.5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4.1333333333333337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7.9</v>
      </c>
      <c r="AI11" s="13">
        <f>IF('Données projet'!$A$62&gt;35,AI10+AH11-AQ10,IF(A11&lt;'Données projet'!$A$62,$AF$205^A11,IF(A11='Données projet'!$A$62,'Données projet'!$B$62,AI10+AH11-AQ10)))</f>
        <v>7.5763989424129567</v>
      </c>
      <c r="AJ11" s="13">
        <f>AI11*VLOOKUP('Données projet'!$B$10,Paramètres!$A$1:$I$89,3,0)*VLOOKUP('Données projet'!$B$10,Paramètres!$A$1:$I$89,5,0)</f>
        <v>3.5457547050492639</v>
      </c>
      <c r="AK11" s="13">
        <f t="shared" si="35"/>
        <v>1.4101803587787649</v>
      </c>
      <c r="AL11" s="20">
        <f t="shared" si="4"/>
        <v>8.631586902833817</v>
      </c>
      <c r="AM11" s="59">
        <f t="shared" si="5"/>
        <v>421.6204757917227</v>
      </c>
      <c r="AN11" s="59">
        <f ca="1">AVERAGE(OFFSET($AM$3,0,0,'Données projet'!$E$10+1,1))-AVERAGE(OFFSET($H$3,0,0,'Données projet'!$E$10+1,1))</f>
        <v>293.42903587188346</v>
      </c>
      <c r="AO11" s="59">
        <f t="shared" si="36"/>
        <v>267.80827667062124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108.5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4.1333333333333337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4.0350814731667564</v>
      </c>
      <c r="BF11" s="13">
        <f t="shared" si="37"/>
        <v>1.5808227025391921</v>
      </c>
      <c r="BG11" s="20">
        <f t="shared" si="7"/>
        <v>9.7810331060211926</v>
      </c>
      <c r="BH11" s="59">
        <f t="shared" si="8"/>
        <v>422.76992199491008</v>
      </c>
      <c r="BI11" s="59">
        <f ca="1">AVERAGE(OFFSET($BH$3,0,0,'Données projet'!$E$11+1,1))-AVERAGE(OFFSET($H$3,0,0,'Données projet'!$E$11+1,1))</f>
        <v>324.41828402031939</v>
      </c>
      <c r="BJ11" s="59">
        <f t="shared" si="38"/>
        <v>233.01060088065992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108.5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4.1333333333333337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</v>
      </c>
      <c r="BY11" s="12">
        <f>IF('Données projet'!$A$114&gt;35,BY10+BX11-CG10,IF(A11&lt;'Données projet'!$A$114,$BV$205^A11,IF(A11='Données projet'!$A$114,'Données projet'!$B$114,BY10+BX11-CG10)))</f>
        <v>17.580936309501134</v>
      </c>
      <c r="BZ11" s="13">
        <f>BY11*VLOOKUP('Données projet'!$B$12,Paramètres!$A$1:$I$89,3,0)*VLOOKUP('Données projet'!$B$12,Paramètres!$A$1:$I$89,5,0)</f>
        <v>9.599191224987619</v>
      </c>
      <c r="CA11" s="13">
        <f t="shared" si="39"/>
        <v>3.3998095987127641</v>
      </c>
      <c r="CB11" s="20">
        <f t="shared" si="10"/>
        <v>22.6399264346115</v>
      </c>
      <c r="CC11" s="59">
        <f t="shared" si="11"/>
        <v>435.62881532350036</v>
      </c>
      <c r="CD11" s="59">
        <f ca="1">AVERAGE(OFFSET($CC$3,0,0,'Données projet'!$E$12+1,1))-AVERAGE(OFFSET($H$3,0,0,'Données projet'!$E$12+1,1))</f>
        <v>279.00060755204919</v>
      </c>
      <c r="CE11" s="59">
        <f t="shared" si="40"/>
        <v>333.91128554211014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108.5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4.1333333333333337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7.6</v>
      </c>
      <c r="CT11" s="12">
        <f>IF('Données projet'!$A$140&gt;35,CT10+CS11-DB10,IF(A11&lt;'Données projet'!$A$140,$CQ$205^A11,IF(A11='Données projet'!$A$140,'Données projet'!$B$140,CT10+CS11-DB10)))</f>
        <v>7.4599760841947296</v>
      </c>
      <c r="CU11" s="17">
        <f>CT11*VLOOKUP('Données projet'!$B$13,Paramètres!$A$1:$I$89,3,0)*VLOOKUP('Données projet'!$B$13,Paramètres!$A$1:$I$89,5,0)</f>
        <v>4.461065698348448</v>
      </c>
      <c r="CV11" s="13">
        <f t="shared" si="41"/>
        <v>1.7274123839581328</v>
      </c>
      <c r="CW11" s="20">
        <f t="shared" si="13"/>
        <v>10.77826599335063</v>
      </c>
      <c r="CX11" s="59">
        <f t="shared" si="14"/>
        <v>423.76715488223954</v>
      </c>
      <c r="CY11" s="59">
        <f ca="1">AVERAGE(OFFSET($CX$3,0,0,'Données projet'!$E$13+1,1))-AVERAGE(OFFSET($H$3,0,0,'Données projet'!$E$13+1,1))</f>
        <v>380.01315081072897</v>
      </c>
      <c r="CZ11" s="59">
        <f t="shared" si="42"/>
        <v>404.90871625409181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108.5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4.1333333333333337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20</v>
      </c>
      <c r="DO11" s="12">
        <f>IF('Données projet'!$A$166&gt;35,DO10+DN11-DW10,IF(A11&lt;'Données projet'!$A$166,$DL$205^A11,IF(A11='Données projet'!$A$166,'Données projet'!$B$166,DO10+DN11-DW10)))</f>
        <v>94</v>
      </c>
      <c r="DP11" s="17">
        <f>DO11*VLOOKUP('Données projet'!$B$14,Paramètres!$A$1:$I$89,3,0)*VLOOKUP('Données projet'!$B$14,Paramètres!$A$1:$I$89,5,0)</f>
        <v>85.051199999999994</v>
      </c>
      <c r="DQ11" s="13">
        <f t="shared" si="43"/>
        <v>23.367793520672731</v>
      </c>
      <c r="DR11" s="20">
        <f t="shared" si="16"/>
        <v>188.82974704850497</v>
      </c>
      <c r="DS11" s="59">
        <f t="shared" si="17"/>
        <v>601.81863593739388</v>
      </c>
      <c r="DT11" s="59">
        <f ca="1">AVERAGE(OFFSET($DS$3,0,0,'Données projet'!$E$14+1,1))-AVERAGE(OFFSET($H$3,0,0,'Données projet'!$E$14+1,1))</f>
        <v>320.81451813551064</v>
      </c>
      <c r="DU11" s="59">
        <f t="shared" si="44"/>
        <v>522.80818268773976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1.1001299566689744</v>
      </c>
      <c r="EC11" s="21">
        <f>EXP(-LN(2)/2)*EC10+(1-EXP(-LN(2)/2))/(LN(2)/2)*DW11*DZ11*VLOOKUP('Données projet'!$B$14,Paramètres!$A$1:$I$89,3,0)*0.475*44/12</f>
        <v>1.2073185762727583</v>
      </c>
      <c r="ED11" s="22">
        <f t="shared" si="18"/>
        <v>2.3074485329417325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108.5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4.1333333333333337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</v>
      </c>
      <c r="EJ11" s="12">
        <f>IF('Données projet'!$A$192&gt;35,EJ10+EI11-ER10,IF(A11&lt;'Données projet'!$A$192,$EG$205^A11,IF(A11='Données projet'!$A$192,'Données projet'!$B$192,EJ10+EI11-ER10)))</f>
        <v>10.902723556992838</v>
      </c>
      <c r="EK11" s="17">
        <f>EJ11*VLOOKUP('Données projet'!$B$15,Paramètres!$A$1:$I$89,3,0)*VLOOKUP('Données projet'!$B$15,Paramètres!$A$1:$I$89,5,0)</f>
        <v>6.5198286870817181</v>
      </c>
      <c r="EL11" s="13">
        <f t="shared" si="45"/>
        <v>2.4155228910363733</v>
      </c>
      <c r="EM11" s="20">
        <f t="shared" si="19"/>
        <v>15.562403998555673</v>
      </c>
      <c r="EN11" s="59">
        <f t="shared" si="20"/>
        <v>428.55129288744456</v>
      </c>
      <c r="EO11" s="59">
        <f ca="1">AVERAGE(OFFSET($EN$3,0,0,'Données projet'!$E$15+1,1))-AVERAGE(OFFSET($H$3,0,0,'Données projet'!$E$15+1,1))</f>
        <v>228.3393311631487</v>
      </c>
      <c r="EP11" s="59">
        <f t="shared" si="46"/>
        <v>266.26050497804033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108.5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4.1333333333333337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4.4800000000000004</v>
      </c>
      <c r="FE11" s="12">
        <f>IF('Données projet'!$A$218&gt;35,FE10+FD11-FM10,IF(A11&lt;'Données projet'!$A$218,$FB$205^A11,IF(A11='Données projet'!$A$218,'Données projet'!$B$218,FE10+FD11-FM10)))</f>
        <v>4.5263670354771079</v>
      </c>
      <c r="FF11" s="17">
        <f>FE11*VLOOKUP('Données projet'!$B$16,Paramètres!$A$1:$I$89,3,0)*VLOOKUP('Données projet'!$B$16,Paramètres!$A$1:$I$89,5,0)</f>
        <v>2.5890819442929058</v>
      </c>
      <c r="FG11" s="13">
        <f t="shared" si="47"/>
        <v>1.0680896095924211</v>
      </c>
      <c r="FH11" s="20">
        <f t="shared" si="22"/>
        <v>6.36957378968361</v>
      </c>
      <c r="FI11" s="59">
        <f t="shared" si="23"/>
        <v>419.35846267857249</v>
      </c>
      <c r="FJ11" s="59">
        <f ca="1">AVERAGE(OFFSET($FI$3,0,0,'Données projet'!$E$16+1,1))-AVERAGE(OFFSET($H$3,0,0,'Données projet'!$E$16+1,1))</f>
        <v>242.10913976205194</v>
      </c>
      <c r="FK11" s="59">
        <f t="shared" si="48"/>
        <v>198.24795425321133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108.5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4.1333333333333337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108.5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4.1333333333333337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4.4015399999999998</v>
      </c>
      <c r="D12" s="11">
        <f t="shared" si="32"/>
        <v>1.7070299315522777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25.934630235713183</v>
      </c>
      <c r="H12" s="67">
        <f t="shared" si="1"/>
        <v>408.47242596412019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108.5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4.6500000000000004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4.75</v>
      </c>
      <c r="N12" s="13">
        <f>IF('Données projet'!$A$36&gt;35,N11+M12-V11,IF(A12&lt;'Données projet'!$A$36,$K$205^A12,IF(A12='Données projet'!$A$36,'Données projet'!$B$36,N11+M12-V11)))</f>
        <v>7.7620354590201153</v>
      </c>
      <c r="O12" s="13">
        <f>N12*VLOOKUP('Données projet'!$B$9,Paramètres!$A$1:$I$89,3,0)*VLOOKUP('Données projet'!$B$9,Paramètres!$A$1:$I$89,5,0)</f>
        <v>6.296563164357118</v>
      </c>
      <c r="P12" s="13">
        <f t="shared" si="33"/>
        <v>2.3422862790518897</v>
      </c>
      <c r="Q12" s="20">
        <f t="shared" si="2"/>
        <v>15.045996113937354</v>
      </c>
      <c r="R12" s="59">
        <f t="shared" si="0"/>
        <v>429.92932944727073</v>
      </c>
      <c r="S12" s="59">
        <f ca="1">AVERAGE(OFFSET($R$3,0,0,'Données projet'!$E$9+1,1))-AVERAGE(OFFSET($H$3,0,0,'Données projet'!$E$9+1,1))</f>
        <v>273.89826011924487</v>
      </c>
      <c r="T12" s="59">
        <f t="shared" si="34"/>
        <v>332.17519939974227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108.5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4.6500000000000004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7.9</v>
      </c>
      <c r="AI12" s="13">
        <f>IF('Données projet'!$A$62&gt;35,AI11+AH12-AQ11,IF(A12&lt;'Données projet'!$A$62,$AF$205^A12,IF(A12='Données projet'!$A$62,'Données projet'!$B$62,AI11+AH12-AQ11)))</f>
        <v>9.7587836327093171</v>
      </c>
      <c r="AJ12" s="13">
        <f>AI12*VLOOKUP('Données projet'!$B$10,Paramètres!$A$1:$I$89,3,0)*VLOOKUP('Données projet'!$B$10,Paramètres!$A$1:$I$89,5,0)</f>
        <v>4.5671107401079603</v>
      </c>
      <c r="AK12" s="13">
        <f t="shared" si="35"/>
        <v>1.763645650133036</v>
      </c>
      <c r="AL12" s="20">
        <f t="shared" si="4"/>
        <v>11.026067379669733</v>
      </c>
      <c r="AM12" s="59">
        <f t="shared" si="5"/>
        <v>425.90940071300309</v>
      </c>
      <c r="AN12" s="59">
        <f ca="1">AVERAGE(OFFSET($AM$3,0,0,'Données projet'!$E$10+1,1))-AVERAGE(OFFSET($H$3,0,0,'Données projet'!$E$10+1,1))</f>
        <v>293.42903587188346</v>
      </c>
      <c r="AO12" s="59">
        <f t="shared" si="36"/>
        <v>267.80827667062124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108.5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4.6500000000000004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4.8642375119197085</v>
      </c>
      <c r="BF12" s="13">
        <f t="shared" si="37"/>
        <v>1.8646542609995393</v>
      </c>
      <c r="BG12" s="20">
        <f t="shared" si="7"/>
        <v>11.719486504501022</v>
      </c>
      <c r="BH12" s="59">
        <f t="shared" si="8"/>
        <v>426.60281983783443</v>
      </c>
      <c r="BI12" s="59">
        <f ca="1">AVERAGE(OFFSET($BH$3,0,0,'Données projet'!$E$11+1,1))-AVERAGE(OFFSET($H$3,0,0,'Données projet'!$E$11+1,1))</f>
        <v>324.41828402031939</v>
      </c>
      <c r="BJ12" s="59">
        <f t="shared" si="38"/>
        <v>233.01060088065992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108.5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4.6500000000000004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</v>
      </c>
      <c r="BY12" s="12">
        <f>IF('Données projet'!$A$114&gt;35,BY11+BX12-CG11,IF(A12&lt;'Données projet'!$A$114,$BV$205^A12,IF(A12='Données projet'!$A$114,'Données projet'!$B$114,BY11+BX12-CG11)))</f>
        <v>25.157776275776861</v>
      </c>
      <c r="BZ12" s="13">
        <f>BY12*VLOOKUP('Données projet'!$B$12,Paramètres!$A$1:$I$89,3,0)*VLOOKUP('Données projet'!$B$12,Paramètres!$A$1:$I$89,5,0)</f>
        <v>13.736145846574166</v>
      </c>
      <c r="CA12" s="13">
        <f t="shared" si="39"/>
        <v>4.6662659204824557</v>
      </c>
      <c r="CB12" s="20">
        <f t="shared" si="10"/>
        <v>32.050867160956948</v>
      </c>
      <c r="CC12" s="59">
        <f t="shared" si="11"/>
        <v>446.93420049429034</v>
      </c>
      <c r="CD12" s="59">
        <f ca="1">AVERAGE(OFFSET($CC$3,0,0,'Données projet'!$E$12+1,1))-AVERAGE(OFFSET($H$3,0,0,'Données projet'!$E$12+1,1))</f>
        <v>279.00060755204919</v>
      </c>
      <c r="CE12" s="59">
        <f t="shared" si="40"/>
        <v>333.91128554211014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108.5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4.6500000000000004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7.6</v>
      </c>
      <c r="CT12" s="12">
        <f>IF('Données projet'!$A$140&gt;35,CT11+CS12-DB11,IF(A12&lt;'Données projet'!$A$140,$CQ$205^A12,IF(A12='Données projet'!$A$140,'Données projet'!$B$140,CT11+CS12-DB11)))</f>
        <v>9.5902430662860318</v>
      </c>
      <c r="CU12" s="17">
        <f>CT12*VLOOKUP('Données projet'!$B$13,Paramètres!$A$1:$I$89,3,0)*VLOOKUP('Données projet'!$B$13,Paramètres!$A$1:$I$89,5,0)</f>
        <v>5.7349653536390477</v>
      </c>
      <c r="CV12" s="13">
        <f t="shared" si="41"/>
        <v>2.1567006959785462</v>
      </c>
      <c r="CW12" s="20">
        <f t="shared" si="13"/>
        <v>13.744651703083976</v>
      </c>
      <c r="CX12" s="59">
        <f t="shared" si="14"/>
        <v>428.62798503641739</v>
      </c>
      <c r="CY12" s="59">
        <f ca="1">AVERAGE(OFFSET($CX$3,0,0,'Données projet'!$E$13+1,1))-AVERAGE(OFFSET($H$3,0,0,'Données projet'!$E$13+1,1))</f>
        <v>380.01315081072897</v>
      </c>
      <c r="CZ12" s="59">
        <f t="shared" si="42"/>
        <v>404.90871625409181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108.5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4.6500000000000004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20</v>
      </c>
      <c r="DO12" s="12">
        <f>IF('Données projet'!$A$166&gt;35,DO11+DN12-DW11,IF(A12&lt;'Données projet'!$A$166,$DL$205^A12,IF(A12='Données projet'!$A$166,'Données projet'!$B$166,DO11+DN12-DW11)))</f>
        <v>114</v>
      </c>
      <c r="DP12" s="17">
        <f>DO12*VLOOKUP('Données projet'!$B$14,Paramètres!$A$1:$I$89,3,0)*VLOOKUP('Données projet'!$B$14,Paramètres!$A$1:$I$89,5,0)</f>
        <v>103.14719999999998</v>
      </c>
      <c r="DQ12" s="13">
        <f t="shared" si="43"/>
        <v>27.710417026801451</v>
      </c>
      <c r="DR12" s="20">
        <f t="shared" si="16"/>
        <v>227.91034965501251</v>
      </c>
      <c r="DS12" s="59">
        <f t="shared" si="17"/>
        <v>642.79368298834584</v>
      </c>
      <c r="DT12" s="59">
        <f ca="1">AVERAGE(OFFSET($DS$3,0,0,'Données projet'!$E$14+1,1))-AVERAGE(OFFSET($H$3,0,0,'Données projet'!$E$14+1,1))</f>
        <v>320.81451813551064</v>
      </c>
      <c r="DU12" s="59">
        <f t="shared" si="44"/>
        <v>522.80818268773976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1.0700468451505412</v>
      </c>
      <c r="EC12" s="21">
        <f>EXP(-LN(2)/2)*EC11+(1-EXP(-LN(2)/2))/(LN(2)/2)*DW12*DZ12*VLOOKUP('Données projet'!$B$14,Paramètres!$A$1:$I$89,3,0)*0.475*44/12</f>
        <v>0.85370315233495542</v>
      </c>
      <c r="ED12" s="22">
        <f t="shared" si="18"/>
        <v>1.9237499974854966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108.5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4.6500000000000004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</v>
      </c>
      <c r="EJ12" s="12">
        <f>IF('Données projet'!$A$192&gt;35,EJ11+EI12-ER11,IF(A12&lt;'Données projet'!$A$192,$EG$205^A12,IF(A12='Données projet'!$A$192,'Données projet'!$B$192,EJ11+EI12-ER11)))</f>
        <v>14.696938456699069</v>
      </c>
      <c r="EK12" s="17">
        <f>EJ12*VLOOKUP('Données projet'!$B$15,Paramètres!$A$1:$I$89,3,0)*VLOOKUP('Données projet'!$B$15,Paramètres!$A$1:$I$89,5,0)</f>
        <v>8.7887691971060438</v>
      </c>
      <c r="EL12" s="13">
        <f t="shared" si="45"/>
        <v>3.1449004184369191</v>
      </c>
      <c r="EM12" s="20">
        <f t="shared" si="19"/>
        <v>20.784474580403991</v>
      </c>
      <c r="EN12" s="59">
        <f t="shared" si="20"/>
        <v>435.66780791373736</v>
      </c>
      <c r="EO12" s="59">
        <f ca="1">AVERAGE(OFFSET($EN$3,0,0,'Données projet'!$E$15+1,1))-AVERAGE(OFFSET($H$3,0,0,'Données projet'!$E$15+1,1))</f>
        <v>228.3393311631487</v>
      </c>
      <c r="EP12" s="59">
        <f t="shared" si="46"/>
        <v>266.26050497804033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108.5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4.6500000000000004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4.4800000000000004</v>
      </c>
      <c r="FE12" s="12">
        <f>IF('Données projet'!$A$218&gt;35,FE11+FD12-FM11,IF(A12&lt;'Données projet'!$A$218,$FB$205^A12,IF(A12='Données projet'!$A$218,'Données projet'!$B$218,FE11+FD12-FM11)))</f>
        <v>5.4666149932671333</v>
      </c>
      <c r="FF12" s="17">
        <f>FE12*VLOOKUP('Données projet'!$B$16,Paramètres!$A$1:$I$89,3,0)*VLOOKUP('Données projet'!$B$16,Paramètres!$A$1:$I$89,5,0)</f>
        <v>3.1269037761488003</v>
      </c>
      <c r="FG12" s="13">
        <f t="shared" si="47"/>
        <v>1.2619299623557472</v>
      </c>
      <c r="FH12" s="20">
        <f t="shared" si="22"/>
        <v>7.6438854278954196</v>
      </c>
      <c r="FI12" s="59">
        <f t="shared" si="23"/>
        <v>422.52721876122882</v>
      </c>
      <c r="FJ12" s="59">
        <f ca="1">AVERAGE(OFFSET($FI$3,0,0,'Données projet'!$E$16+1,1))-AVERAGE(OFFSET($H$3,0,0,'Données projet'!$E$16+1,1))</f>
        <v>242.10913976205194</v>
      </c>
      <c r="FK12" s="59">
        <f t="shared" si="48"/>
        <v>198.24795425321133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108.5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4.6500000000000004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108.5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4.6500000000000004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4.8906000000000001</v>
      </c>
      <c r="D13" s="11">
        <f t="shared" si="32"/>
        <v>1.8735809194047854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28.718101447297514</v>
      </c>
      <c r="H13" s="67">
        <f t="shared" si="1"/>
        <v>409.61428176796329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108.5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5.166666666666667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4.75</v>
      </c>
      <c r="N13" s="13">
        <f>IF('Données projet'!$A$36&gt;35,N12+M13-V12,IF(A13&lt;'Données projet'!$A$36,$K$205^A13,IF(A13='Données projet'!$A$36,'Données projet'!$B$36,N12+M13-V12)))</f>
        <v>9.7467943448089507</v>
      </c>
      <c r="O13" s="13">
        <f>N13*VLOOKUP('Données projet'!$B$9,Paramètres!$A$1:$I$89,3,0)*VLOOKUP('Données projet'!$B$9,Paramètres!$A$1:$I$89,5,0)</f>
        <v>7.9065995725090206</v>
      </c>
      <c r="P13" s="13">
        <f t="shared" si="33"/>
        <v>2.8642821943039705</v>
      </c>
      <c r="Q13" s="20">
        <f t="shared" si="2"/>
        <v>18.759285743865959</v>
      </c>
      <c r="R13" s="59">
        <f t="shared" si="0"/>
        <v>435.5370635216438</v>
      </c>
      <c r="S13" s="59">
        <f ca="1">AVERAGE(OFFSET($R$3,0,0,'Données projet'!$E$9+1,1))-AVERAGE(OFFSET($H$3,0,0,'Données projet'!$E$9+1,1))</f>
        <v>273.89826011924487</v>
      </c>
      <c r="T13" s="59">
        <f t="shared" si="34"/>
        <v>332.17519939974227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108.5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5.166666666666667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7.9</v>
      </c>
      <c r="AI13" s="13">
        <f>IF('Données projet'!$A$62&gt;35,AI12+AH13-AQ12,IF(A13&lt;'Données projet'!$A$62,$AF$205^A13,IF(A13='Données projet'!$A$62,'Données projet'!$B$62,AI12+AH13-AQ12)))</f>
        <v>12.569805089976542</v>
      </c>
      <c r="AJ13" s="13">
        <f>AI13*VLOOKUP('Données projet'!$B$10,Paramètres!$A$1:$I$89,3,0)*VLOOKUP('Données projet'!$B$10,Paramètres!$A$1:$I$89,5,0)</f>
        <v>5.8826687821090227</v>
      </c>
      <c r="AK13" s="13">
        <f t="shared" si="35"/>
        <v>2.2057079152108381</v>
      </c>
      <c r="AL13" s="20">
        <f t="shared" si="4"/>
        <v>14.087256081165423</v>
      </c>
      <c r="AM13" s="59">
        <f t="shared" si="5"/>
        <v>430.86503385894326</v>
      </c>
      <c r="AN13" s="59">
        <f ca="1">AVERAGE(OFFSET($AM$3,0,0,'Données projet'!$E$10+1,1))-AVERAGE(OFFSET($H$3,0,0,'Données projet'!$E$10+1,1))</f>
        <v>293.42903587188346</v>
      </c>
      <c r="AO13" s="59">
        <f t="shared" si="36"/>
        <v>267.80827667062124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108.5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5.166666666666667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5.8637741839194364</v>
      </c>
      <c r="BF13" s="13">
        <f t="shared" si="37"/>
        <v>2.1994468497187687</v>
      </c>
      <c r="BG13" s="20">
        <f t="shared" si="7"/>
        <v>14.043443300253207</v>
      </c>
      <c r="BH13" s="59">
        <f t="shared" si="8"/>
        <v>430.82122107803104</v>
      </c>
      <c r="BI13" s="59">
        <f ca="1">AVERAGE(OFFSET($BH$3,0,0,'Données projet'!$E$11+1,1))-AVERAGE(OFFSET($H$3,0,0,'Données projet'!$E$11+1,1))</f>
        <v>324.41828402031939</v>
      </c>
      <c r="BJ13" s="59">
        <f t="shared" si="38"/>
        <v>233.01060088065992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108.5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5.166666666666667</v>
      </c>
      <c r="BV13" s="12">
        <f>VLOOKUP(A13,'Données projet'!$A$113:$I$133,2,0)</f>
        <v>36</v>
      </c>
      <c r="BW13" s="12">
        <f>VLOOKUP(A13,'Données projet'!$A$113:$I$133,9,0)</f>
        <v>3.6</v>
      </c>
      <c r="BX13" s="12">
        <f t="array" ref="BX13">INDEX(BW:BW,MIN(IF(ISNUMBER(BW13:BW209),ROW(BW13:BW209),"")))</f>
        <v>3.6</v>
      </c>
      <c r="BY13" s="12">
        <f>IF('Données projet'!$A$114&gt;35,BY12+BX13-CG12,IF(A13&lt;'Données projet'!$A$114,$BV$205^A13,IF(A13='Données projet'!$A$114,'Données projet'!$B$114,BY12+BX13-CG12)))</f>
        <v>36</v>
      </c>
      <c r="BZ13" s="13">
        <f>BY13*VLOOKUP('Données projet'!$B$12,Paramètres!$A$1:$I$89,3,0)*VLOOKUP('Données projet'!$B$12,Paramètres!$A$1:$I$89,5,0)</f>
        <v>19.655999999999999</v>
      </c>
      <c r="CA13" s="13">
        <f t="shared" si="39"/>
        <v>6.4044873715575275</v>
      </c>
      <c r="CB13" s="20">
        <f t="shared" si="10"/>
        <v>45.388682172129364</v>
      </c>
      <c r="CC13" s="59">
        <f t="shared" si="11"/>
        <v>462.16645994990722</v>
      </c>
      <c r="CD13" s="59">
        <f ca="1">AVERAGE(OFFSET($CC$3,0,0,'Données projet'!$E$12+1,1))-AVERAGE(OFFSET($H$3,0,0,'Données projet'!$E$12+1,1))</f>
        <v>279.00060755204919</v>
      </c>
      <c r="CE13" s="59">
        <f t="shared" si="40"/>
        <v>333.91128554211014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108.5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5.166666666666667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7.6</v>
      </c>
      <c r="CT13" s="12">
        <f>IF('Données projet'!$A$140&gt;35,CT12+CS13-DB12,IF(A13&lt;'Données projet'!$A$140,$CQ$205^A13,IF(A13='Données projet'!$A$140,'Données projet'!$B$140,CT12+CS13-DB12)))</f>
        <v>12.328828005937952</v>
      </c>
      <c r="CU13" s="17">
        <f>CT13*VLOOKUP('Données projet'!$B$13,Paramètres!$A$1:$I$89,3,0)*VLOOKUP('Données projet'!$B$13,Paramètres!$A$1:$I$89,5,0)</f>
        <v>7.3726391475508954</v>
      </c>
      <c r="CV13" s="13">
        <f t="shared" si="41"/>
        <v>2.6926736980873009</v>
      </c>
      <c r="CW13" s="20">
        <f t="shared" si="13"/>
        <v>17.530419872819859</v>
      </c>
      <c r="CX13" s="59">
        <f t="shared" si="14"/>
        <v>434.30819765059766</v>
      </c>
      <c r="CY13" s="59">
        <f ca="1">AVERAGE(OFFSET($CX$3,0,0,'Données projet'!$E$13+1,1))-AVERAGE(OFFSET($H$3,0,0,'Données projet'!$E$13+1,1))</f>
        <v>380.01315081072897</v>
      </c>
      <c r="CZ13" s="59">
        <f t="shared" si="42"/>
        <v>404.90871625409181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108.5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5.166666666666667</v>
      </c>
      <c r="DL13" s="12">
        <f>VLOOKUP(A13,'Données projet'!$A$165:$I$185,2,0)</f>
        <v>134</v>
      </c>
      <c r="DM13" s="12">
        <f>VLOOKUP(A13,'Données projet'!$A$165:$I$185,9,0)</f>
        <v>20</v>
      </c>
      <c r="DN13" s="12">
        <f t="array" ref="DN13">INDEX(DM:DM,MIN(IF(ISNUMBER(DM13:DM209),ROW(DM13:DM209),"")))</f>
        <v>20</v>
      </c>
      <c r="DO13" s="12">
        <f>IF('Données projet'!$A$166&gt;35,DO12+DN13-DW12,IF(A13&lt;'Données projet'!$A$166,$DL$205^A13,IF(A13='Données projet'!$A$166,'Données projet'!$B$166,DO12+DN13-DW12)))</f>
        <v>134</v>
      </c>
      <c r="DP13" s="17">
        <f>DO13*VLOOKUP('Données projet'!$B$14,Paramètres!$A$1:$I$89,3,0)*VLOOKUP('Données projet'!$B$14,Paramètres!$A$1:$I$89,5,0)</f>
        <v>121.2432</v>
      </c>
      <c r="DQ13" s="13">
        <f t="shared" si="43"/>
        <v>31.964781119270334</v>
      </c>
      <c r="DR13" s="20">
        <f t="shared" si="16"/>
        <v>266.83723378272913</v>
      </c>
      <c r="DS13" s="59">
        <f t="shared" si="17"/>
        <v>683.6150115605069</v>
      </c>
      <c r="DT13" s="59">
        <f ca="1">AVERAGE(OFFSET($DS$3,0,0,'Données projet'!$E$14+1,1))-AVERAGE(OFFSET($H$3,0,0,'Données projet'!$E$14+1,1))</f>
        <v>320.81451813551064</v>
      </c>
      <c r="DU13" s="59">
        <f t="shared" si="44"/>
        <v>522.80818268773976</v>
      </c>
      <c r="DV13" s="15">
        <f>IF(ISNA(VLOOKUP(A13,'Données projet'!$A$165:$I$185,3,0)),0,VLOOKUP(A13,'Données projet'!$A$165:$I$185,3,0))</f>
        <v>2</v>
      </c>
      <c r="DW13" s="15">
        <f>IF(ISNA(VLOOKUP(A13,'Données projet'!$A$165:$I$185,4,0)),0,VLOOKUP(A13,'Données projet'!$A$165:$I$185,4,0))</f>
        <v>50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7.4999999999999997E-2</v>
      </c>
      <c r="DZ13" s="16">
        <f>IF(ISNA(VLOOKUP(A13,'Données projet'!$A$165:$I$185,7,0)),0%,VLOOKUP(A13,'Données projet'!$A$165:$I$185,7,0))</f>
        <v>0.25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4.7768787867156313</v>
      </c>
      <c r="EC13" s="21">
        <f>EXP(-LN(2)/2)*EC12+(1-EXP(-LN(2)/2))/(LN(2)/2)*DW13*DZ13*VLOOKUP('Données projet'!$B$14,Paramètres!$A$1:$I$89,3,0)*0.475*44/12</f>
        <v>11.274948692323317</v>
      </c>
      <c r="ED13" s="22">
        <f t="shared" si="18"/>
        <v>16.051827479038948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108.5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5.166666666666667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</v>
      </c>
      <c r="EJ13" s="12">
        <f>IF('Données projet'!$A$192&gt;35,EJ12+EI13-ER12,IF(A13&lt;'Données projet'!$A$192,$EG$205^A13,IF(A13='Données projet'!$A$192,'Données projet'!$B$192,EJ12+EI13-ER12)))</f>
        <v>19.81156349336776</v>
      </c>
      <c r="EK13" s="17">
        <f>EJ13*VLOOKUP('Données projet'!$B$15,Paramètres!$A$1:$I$89,3,0)*VLOOKUP('Données projet'!$B$15,Paramètres!$A$1:$I$89,5,0)</f>
        <v>11.847314969033921</v>
      </c>
      <c r="EL13" s="13">
        <f t="shared" si="45"/>
        <v>4.094516627677768</v>
      </c>
      <c r="EM13" s="20">
        <f t="shared" si="19"/>
        <v>27.76535669760619</v>
      </c>
      <c r="EN13" s="59">
        <f t="shared" si="20"/>
        <v>444.54313447538402</v>
      </c>
      <c r="EO13" s="59">
        <f ca="1">AVERAGE(OFFSET($EN$3,0,0,'Données projet'!$E$15+1,1))-AVERAGE(OFFSET($H$3,0,0,'Données projet'!$E$15+1,1))</f>
        <v>228.3393311631487</v>
      </c>
      <c r="EP13" s="59">
        <f t="shared" si="46"/>
        <v>266.26050497804033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108.5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5.166666666666667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4.4800000000000004</v>
      </c>
      <c r="FE13" s="12">
        <f>IF('Données projet'!$A$218&gt;35,FE12+FD13-FM12,IF(A13&lt;'Données projet'!$A$218,$FB$205^A13,IF(A13='Données projet'!$A$218,'Données projet'!$B$218,FE12+FD13-FM12)))</f>
        <v>6.6021776957959544</v>
      </c>
      <c r="FF13" s="17">
        <f>FE13*VLOOKUP('Données projet'!$B$16,Paramètres!$A$1:$I$89,3,0)*VLOOKUP('Données projet'!$B$16,Paramètres!$A$1:$I$89,5,0)</f>
        <v>3.7764456419952861</v>
      </c>
      <c r="FG13" s="13">
        <f t="shared" si="47"/>
        <v>1.4909490885309304</v>
      </c>
      <c r="FH13" s="20">
        <f t="shared" si="22"/>
        <v>9.1740458223331611</v>
      </c>
      <c r="FI13" s="59">
        <f t="shared" si="23"/>
        <v>425.95182360011097</v>
      </c>
      <c r="FJ13" s="59">
        <f ca="1">AVERAGE(OFFSET($FI$3,0,0,'Données projet'!$E$16+1,1))-AVERAGE(OFFSET($H$3,0,0,'Données projet'!$E$16+1,1))</f>
        <v>242.10913976205194</v>
      </c>
      <c r="FK13" s="59">
        <f t="shared" si="48"/>
        <v>198.24795425321133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108.5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5.166666666666667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108.5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5.166666666666667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5.3796600000000003</v>
      </c>
      <c r="D14" s="11">
        <f t="shared" si="32"/>
        <v>2.0382010993048167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31.493375193539752</v>
      </c>
      <c r="H14" s="67">
        <f t="shared" si="1"/>
        <v>410.75277474795587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108.5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5.6833333333333336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4.75</v>
      </c>
      <c r="N14" s="13">
        <f>IF('Données projet'!$A$36&gt;35,N13+M14-V13,IF(A14&lt;'Données projet'!$A$36,$K$205^A14,IF(A14='Données projet'!$A$36,'Données projet'!$B$36,N13+M14-V13)))</f>
        <v>12.239057719016479</v>
      </c>
      <c r="O14" s="13">
        <f>N14*VLOOKUP('Données projet'!$B$9,Paramètres!$A$1:$I$89,3,0)*VLOOKUP('Données projet'!$B$9,Paramètres!$A$1:$I$89,5,0)</f>
        <v>9.9283236216661681</v>
      </c>
      <c r="P14" s="13">
        <f t="shared" si="33"/>
        <v>3.5026087809930875</v>
      </c>
      <c r="Q14" s="20">
        <f t="shared" si="2"/>
        <v>23.392207267964867</v>
      </c>
      <c r="R14" s="59">
        <f t="shared" si="0"/>
        <v>442.06442949018708</v>
      </c>
      <c r="S14" s="59">
        <f ca="1">AVERAGE(OFFSET($R$3,0,0,'Données projet'!$E$9+1,1))-AVERAGE(OFFSET($H$3,0,0,'Données projet'!$E$9+1,1))</f>
        <v>273.89826011924487</v>
      </c>
      <c r="T14" s="59">
        <f t="shared" si="34"/>
        <v>332.17519939974227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108.5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5.6833333333333336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7.9</v>
      </c>
      <c r="AI14" s="13">
        <f>IF('Données projet'!$A$62&gt;35,AI13+AH14-AQ13,IF(A14&lt;'Données projet'!$A$62,$AF$205^A14,IF(A14='Données projet'!$A$62,'Données projet'!$B$62,AI13+AH14-AQ13)))</f>
        <v>16.190542381779895</v>
      </c>
      <c r="AJ14" s="13">
        <f>AI14*VLOOKUP('Données projet'!$B$10,Paramètres!$A$1:$I$89,3,0)*VLOOKUP('Données projet'!$B$10,Paramètres!$A$1:$I$89,5,0)</f>
        <v>7.5771738346729904</v>
      </c>
      <c r="AK14" s="13">
        <f t="shared" si="35"/>
        <v>2.7585742106736397</v>
      </c>
      <c r="AL14" s="20">
        <f t="shared" si="4"/>
        <v>18.001427845645381</v>
      </c>
      <c r="AM14" s="59">
        <f t="shared" si="5"/>
        <v>436.67365006786758</v>
      </c>
      <c r="AN14" s="59">
        <f ca="1">AVERAGE(OFFSET($AM$3,0,0,'Données projet'!$E$10+1,1))-AVERAGE(OFFSET($H$3,0,0,'Données projet'!$E$10+1,1))</f>
        <v>293.42903587188346</v>
      </c>
      <c r="AO14" s="59">
        <f t="shared" si="36"/>
        <v>267.80827667062124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108.5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5.6833333333333336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7.0687024627689707</v>
      </c>
      <c r="BF14" s="13">
        <f t="shared" si="37"/>
        <v>2.5943503554083325</v>
      </c>
      <c r="BG14" s="20">
        <f t="shared" si="7"/>
        <v>16.829816991658799</v>
      </c>
      <c r="BH14" s="59">
        <f t="shared" si="8"/>
        <v>435.50203921388101</v>
      </c>
      <c r="BI14" s="59">
        <f ca="1">AVERAGE(OFFSET($BH$3,0,0,'Données projet'!$E$11+1,1))-AVERAGE(OFFSET($H$3,0,0,'Données projet'!$E$11+1,1))</f>
        <v>324.41828402031939</v>
      </c>
      <c r="BJ14" s="59">
        <f t="shared" si="38"/>
        <v>233.01060088065992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108.5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5.6833333333333336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14.1</v>
      </c>
      <c r="BY14" s="12">
        <f>IF('Données projet'!$A$114&gt;35,BY13+BX14-CG13,IF(A14&lt;'Données projet'!$A$114,$BV$205^A14,IF(A14='Données projet'!$A$114,'Données projet'!$B$114,BY13+BX14-CG13)))</f>
        <v>50.1</v>
      </c>
      <c r="BZ14" s="13">
        <f>BY14*VLOOKUP('Données projet'!$B$12,Paramètres!$A$1:$I$89,3,0)*VLOOKUP('Données projet'!$B$12,Paramètres!$A$1:$I$89,5,0)</f>
        <v>27.354600000000001</v>
      </c>
      <c r="CA14" s="13">
        <f t="shared" si="39"/>
        <v>8.5765396264451574</v>
      </c>
      <c r="CB14" s="20">
        <f t="shared" si="10"/>
        <v>62.580068182725313</v>
      </c>
      <c r="CC14" s="59">
        <f t="shared" si="11"/>
        <v>481.25229040494753</v>
      </c>
      <c r="CD14" s="59">
        <f ca="1">AVERAGE(OFFSET($CC$3,0,0,'Données projet'!$E$12+1,1))-AVERAGE(OFFSET($H$3,0,0,'Données projet'!$E$12+1,1))</f>
        <v>279.00060755204919</v>
      </c>
      <c r="CE14" s="59">
        <f t="shared" si="40"/>
        <v>333.91128554211014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108.5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5.6833333333333336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7.6</v>
      </c>
      <c r="CT14" s="12">
        <f>IF('Données projet'!$A$140&gt;35,CT13+CS14-DB13,IF(A14&lt;'Données projet'!$A$140,$CQ$205^A14,IF(A14='Données projet'!$A$140,'Données projet'!$B$140,CT13+CS14-DB13)))</f>
        <v>15.849441870180282</v>
      </c>
      <c r="CU14" s="17">
        <f>CT14*VLOOKUP('Données projet'!$B$13,Paramètres!$A$1:$I$89,3,0)*VLOOKUP('Données projet'!$B$13,Paramètres!$A$1:$I$89,5,0)</f>
        <v>9.4779662383678094</v>
      </c>
      <c r="CV14" s="13">
        <f t="shared" si="41"/>
        <v>3.3618441621921122</v>
      </c>
      <c r="CW14" s="20">
        <f t="shared" si="13"/>
        <v>22.362669780975192</v>
      </c>
      <c r="CX14" s="59">
        <f t="shared" si="14"/>
        <v>441.0348920031974</v>
      </c>
      <c r="CY14" s="59">
        <f ca="1">AVERAGE(OFFSET($CX$3,0,0,'Données projet'!$E$13+1,1))-AVERAGE(OFFSET($H$3,0,0,'Données projet'!$E$13+1,1))</f>
        <v>380.01315081072897</v>
      </c>
      <c r="CZ14" s="59">
        <f t="shared" si="42"/>
        <v>404.90871625409181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108.5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5.6833333333333336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17.2</v>
      </c>
      <c r="DO14" s="12">
        <f>IF('Données projet'!$A$166&gt;35,DO13+DN14-DW13,IF(A14&lt;'Données projet'!$A$166,$DL$205^A14,IF(A14='Données projet'!$A$166,'Données projet'!$B$166,DO13+DN14-DW13)))</f>
        <v>101.19999999999999</v>
      </c>
      <c r="DP14" s="17">
        <f>DO14*VLOOKUP('Données projet'!$B$14,Paramètres!$A$1:$I$89,3,0)*VLOOKUP('Données projet'!$B$14,Paramètres!$A$1:$I$89,5,0)</f>
        <v>91.565759999999983</v>
      </c>
      <c r="DQ14" s="13">
        <f t="shared" si="43"/>
        <v>24.942468702082348</v>
      </c>
      <c r="DR14" s="20">
        <f t="shared" si="16"/>
        <v>202.9184983227934</v>
      </c>
      <c r="DS14" s="59">
        <f t="shared" si="17"/>
        <v>621.59072054501564</v>
      </c>
      <c r="DT14" s="59">
        <f ca="1">AVERAGE(OFFSET($DS$3,0,0,'Données projet'!$E$14+1,1))-AVERAGE(OFFSET($H$3,0,0,'Données projet'!$E$14+1,1))</f>
        <v>320.81451813551064</v>
      </c>
      <c r="DU14" s="59">
        <f t="shared" si="44"/>
        <v>522.80818268773976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4.6462547850877547</v>
      </c>
      <c r="EC14" s="21">
        <f>EXP(-LN(2)/2)*EC13+(1-EXP(-LN(2)/2))/(LN(2)/2)*DW14*DZ14*VLOOKUP('Données projet'!$B$14,Paramètres!$A$1:$I$89,3,0)*0.475*44/12</f>
        <v>7.972592677872214</v>
      </c>
      <c r="ED14" s="22">
        <f t="shared" si="18"/>
        <v>12.61884746295997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108.5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5.6833333333333336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</v>
      </c>
      <c r="EJ14" s="12">
        <f>IF('Données projet'!$A$192&gt;35,EJ13+EI14-ER13,IF(A14&lt;'Données projet'!$A$192,$EG$205^A14,IF(A14='Données projet'!$A$192,'Données projet'!$B$192,EJ13+EI14-ER13)))</f>
        <v>26.706109521254486</v>
      </c>
      <c r="EK14" s="17">
        <f>EJ14*VLOOKUP('Données projet'!$B$15,Paramètres!$A$1:$I$89,3,0)*VLOOKUP('Données projet'!$B$15,Paramètres!$A$1:$I$89,5,0)</f>
        <v>15.970253493710185</v>
      </c>
      <c r="EL14" s="13">
        <f t="shared" si="45"/>
        <v>5.3308735361046251</v>
      </c>
      <c r="EM14" s="20">
        <f t="shared" si="19"/>
        <v>37.09946291026079</v>
      </c>
      <c r="EN14" s="59">
        <f t="shared" si="20"/>
        <v>455.77168513248301</v>
      </c>
      <c r="EO14" s="59">
        <f ca="1">AVERAGE(OFFSET($EN$3,0,0,'Données projet'!$E$15+1,1))-AVERAGE(OFFSET($H$3,0,0,'Données projet'!$E$15+1,1))</f>
        <v>228.3393311631487</v>
      </c>
      <c r="EP14" s="59">
        <f t="shared" si="46"/>
        <v>266.26050497804033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108.5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5.6833333333333336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4.4800000000000004</v>
      </c>
      <c r="FE14" s="12">
        <f>IF('Données projet'!$A$218&gt;35,FE13+FD14-FM13,IF(A14&lt;'Données projet'!$A$218,$FB$205^A14,IF(A14='Données projet'!$A$218,'Données projet'!$B$218,FE13+FD14-FM13)))</f>
        <v>7.9736272593828073</v>
      </c>
      <c r="FF14" s="17">
        <f>FE14*VLOOKUP('Données projet'!$B$16,Paramètres!$A$1:$I$89,3,0)*VLOOKUP('Données projet'!$B$16,Paramètres!$A$1:$I$89,5,0)</f>
        <v>4.5609147923669662</v>
      </c>
      <c r="FG14" s="13">
        <f t="shared" si="47"/>
        <v>1.7615313455601684</v>
      </c>
      <c r="FH14" s="20">
        <f t="shared" si="22"/>
        <v>11.011593690223092</v>
      </c>
      <c r="FI14" s="59">
        <f t="shared" si="23"/>
        <v>429.68381591244531</v>
      </c>
      <c r="FJ14" s="59">
        <f ca="1">AVERAGE(OFFSET($FI$3,0,0,'Données projet'!$E$16+1,1))-AVERAGE(OFFSET($H$3,0,0,'Données projet'!$E$16+1,1))</f>
        <v>242.10913976205194</v>
      </c>
      <c r="FK14" s="59">
        <f t="shared" si="48"/>
        <v>198.24795425321133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108.5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5.6833333333333336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108.5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5.6833333333333336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5.8687200000000006</v>
      </c>
      <c r="D15" s="11">
        <f t="shared" si="32"/>
        <v>2.2010859615725553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34.26128145088699</v>
      </c>
      <c r="H15" s="67">
        <f t="shared" si="1"/>
        <v>411.88824538307216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108.5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6.2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4.75</v>
      </c>
      <c r="N15" s="13">
        <f>IF('Données projet'!$A$36&gt;35,N14+M15-V14,IF(A15&lt;'Données projet'!$A$36,$K$205^A15,IF(A15='Données projet'!$A$36,'Données projet'!$B$36,N14+M15-V14)))</f>
        <v>15.368594899018873</v>
      </c>
      <c r="O15" s="13">
        <f>N15*VLOOKUP('Données projet'!$B$9,Paramètres!$A$1:$I$89,3,0)*VLOOKUP('Données projet'!$B$9,Paramètres!$A$1:$I$89,5,0)</f>
        <v>12.467004182084111</v>
      </c>
      <c r="P15" s="13">
        <f t="shared" si="33"/>
        <v>4.2831911943198415</v>
      </c>
      <c r="Q15" s="20">
        <f t="shared" si="2"/>
        <v>29.173256947236883</v>
      </c>
      <c r="R15" s="59">
        <f t="shared" si="0"/>
        <v>449.73992361390356</v>
      </c>
      <c r="S15" s="59">
        <f ca="1">AVERAGE(OFFSET($R$3,0,0,'Données projet'!$E$9+1,1))-AVERAGE(OFFSET($H$3,0,0,'Données projet'!$E$9+1,1))</f>
        <v>273.89826011924487</v>
      </c>
      <c r="T15" s="59">
        <f t="shared" si="34"/>
        <v>332.17519939974227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108.5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6.2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7.9</v>
      </c>
      <c r="AI15" s="13">
        <f>IF('Données projet'!$A$62&gt;35,AI14+AH15-AQ14,IF(A15&lt;'Données projet'!$A$62,$AF$205^A15,IF(A15='Données projet'!$A$62,'Données projet'!$B$62,AI14+AH15-AQ14)))</f>
        <v>20.854234472198982</v>
      </c>
      <c r="AJ15" s="13">
        <f>AI15*VLOOKUP('Données projet'!$B$10,Paramètres!$A$1:$I$89,3,0)*VLOOKUP('Données projet'!$B$10,Paramètres!$A$1:$I$89,5,0)</f>
        <v>9.7597817329891239</v>
      </c>
      <c r="AK15" s="13">
        <f t="shared" si="35"/>
        <v>3.4500178483814818</v>
      </c>
      <c r="AL15" s="20">
        <f t="shared" si="4"/>
        <v>23.00706760422047</v>
      </c>
      <c r="AM15" s="59">
        <f t="shared" si="5"/>
        <v>443.57373427088714</v>
      </c>
      <c r="AN15" s="59">
        <f ca="1">AVERAGE(OFFSET($AM$3,0,0,'Données projet'!$E$10+1,1))-AVERAGE(OFFSET($H$3,0,0,'Données projet'!$E$10+1,1))</f>
        <v>293.42903587188346</v>
      </c>
      <c r="AO15" s="59">
        <f t="shared" si="36"/>
        <v>267.80827667062124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108.5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6.2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8.521227615514638</v>
      </c>
      <c r="BF15" s="13">
        <f t="shared" si="37"/>
        <v>3.0601574970852128</v>
      </c>
      <c r="BG15" s="20">
        <f t="shared" si="7"/>
        <v>20.170912404444739</v>
      </c>
      <c r="BH15" s="59">
        <f t="shared" si="8"/>
        <v>440.73757907111138</v>
      </c>
      <c r="BI15" s="59">
        <f ca="1">AVERAGE(OFFSET($BH$3,0,0,'Données projet'!$E$11+1,1))-AVERAGE(OFFSET($H$3,0,0,'Données projet'!$E$11+1,1))</f>
        <v>324.41828402031939</v>
      </c>
      <c r="BJ15" s="59">
        <f t="shared" si="38"/>
        <v>233.01060088065992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108.5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6.2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14.1</v>
      </c>
      <c r="BY15" s="12">
        <f>IF('Données projet'!$A$114&gt;35,BY14+BX15-CG14,IF(A15&lt;'Données projet'!$A$114,$BV$205^A15,IF(A15='Données projet'!$A$114,'Données projet'!$B$114,BY14+BX15-CG14)))</f>
        <v>64.2</v>
      </c>
      <c r="BZ15" s="13">
        <f>BY15*VLOOKUP('Données projet'!$B$12,Paramètres!$A$1:$I$89,3,0)*VLOOKUP('Données projet'!$B$12,Paramètres!$A$1:$I$89,5,0)</f>
        <v>35.053199999999997</v>
      </c>
      <c r="CA15" s="13">
        <f t="shared" si="39"/>
        <v>10.677594770675379</v>
      </c>
      <c r="CB15" s="20">
        <f t="shared" si="10"/>
        <v>79.64780089225961</v>
      </c>
      <c r="CC15" s="59">
        <f t="shared" si="11"/>
        <v>500.21446755892629</v>
      </c>
      <c r="CD15" s="59">
        <f ca="1">AVERAGE(OFFSET($CC$3,0,0,'Données projet'!$E$12+1,1))-AVERAGE(OFFSET($H$3,0,0,'Données projet'!$E$12+1,1))</f>
        <v>279.00060755204919</v>
      </c>
      <c r="CE15" s="59">
        <f t="shared" si="40"/>
        <v>333.91128554211014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108.5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6.2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7.6</v>
      </c>
      <c r="CT15" s="12">
        <f>IF('Données projet'!$A$140&gt;35,CT14+CS15-DB14,IF(A15&lt;'Données projet'!$A$140,$CQ$205^A15,IF(A15='Données projet'!$A$140,'Données projet'!$B$140,CT14+CS15-DB14)))</f>
        <v>20.375400441569603</v>
      </c>
      <c r="CU15" s="17">
        <f>CT15*VLOOKUP('Données projet'!$B$13,Paramètres!$A$1:$I$89,3,0)*VLOOKUP('Données projet'!$B$13,Paramètres!$A$1:$I$89,5,0)</f>
        <v>12.184489464058624</v>
      </c>
      <c r="CV15" s="13">
        <f t="shared" si="41"/>
        <v>4.1973136882101167</v>
      </c>
      <c r="CW15" s="20">
        <f t="shared" si="13"/>
        <v>28.531640490201386</v>
      </c>
      <c r="CX15" s="59">
        <f t="shared" si="14"/>
        <v>449.09830715686803</v>
      </c>
      <c r="CY15" s="59">
        <f ca="1">AVERAGE(OFFSET($CX$3,0,0,'Données projet'!$E$13+1,1))-AVERAGE(OFFSET($H$3,0,0,'Données projet'!$E$13+1,1))</f>
        <v>380.01315081072897</v>
      </c>
      <c r="CZ15" s="59">
        <f t="shared" si="42"/>
        <v>404.90871625409181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108.5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6.2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17.2</v>
      </c>
      <c r="DO15" s="12">
        <f>IF('Données projet'!$A$166&gt;35,DO14+DN15-DW14,IF(A15&lt;'Données projet'!$A$166,$DL$205^A15,IF(A15='Données projet'!$A$166,'Données projet'!$B$166,DO14+DN15-DW14)))</f>
        <v>118.39999999999999</v>
      </c>
      <c r="DP15" s="17">
        <f>DO15*VLOOKUP('Données projet'!$B$14,Paramètres!$A$1:$I$89,3,0)*VLOOKUP('Données projet'!$B$14,Paramètres!$A$1:$I$89,5,0)</f>
        <v>107.12832</v>
      </c>
      <c r="DQ15" s="13">
        <f t="shared" si="43"/>
        <v>28.653356241593332</v>
      </c>
      <c r="DR15" s="20">
        <f t="shared" si="16"/>
        <v>236.48641945410841</v>
      </c>
      <c r="DS15" s="59">
        <f t="shared" si="17"/>
        <v>657.05308612077511</v>
      </c>
      <c r="DT15" s="59">
        <f ca="1">AVERAGE(OFFSET($DS$3,0,0,'Données projet'!$E$14+1,1))-AVERAGE(OFFSET($H$3,0,0,'Données projet'!$E$14+1,1))</f>
        <v>320.81451813551064</v>
      </c>
      <c r="DU15" s="59">
        <f t="shared" si="44"/>
        <v>522.80818268773976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4.51920270365361</v>
      </c>
      <c r="EC15" s="21">
        <f>EXP(-LN(2)/2)*EC14+(1-EXP(-LN(2)/2))/(LN(2)/2)*DW15*DZ15*VLOOKUP('Données projet'!$B$14,Paramètres!$A$1:$I$89,3,0)*0.475*44/12</f>
        <v>5.6374743461616594</v>
      </c>
      <c r="ED15" s="22">
        <f t="shared" si="18"/>
        <v>10.156677049815269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108.5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6.2</v>
      </c>
      <c r="EG15" s="12">
        <f>VLOOKUP(A15,'Données projet'!$A$191:$I$211,2,0)</f>
        <v>36</v>
      </c>
      <c r="EH15" s="12">
        <f>VLOOKUP(A15,'Données projet'!$A$191:$I$211,9,0)</f>
        <v>3</v>
      </c>
      <c r="EI15" s="12">
        <f t="array" ref="EI15">INDEX(EH:EH,MIN(IF(ISNUMBER(EH15:EH211),ROW(EH15:EH211),"")))</f>
        <v>3</v>
      </c>
      <c r="EJ15" s="12">
        <f>IF('Données projet'!$A$192&gt;35,EJ14+EI15-ER14,IF(A15&lt;'Données projet'!$A$192,$EG$205^A15,IF(A15='Données projet'!$A$192,'Données projet'!$B$192,EJ14+EI15-ER14)))</f>
        <v>36</v>
      </c>
      <c r="EK15" s="17">
        <f>EJ15*VLOOKUP('Données projet'!$B$15,Paramètres!$A$1:$I$89,3,0)*VLOOKUP('Données projet'!$B$15,Paramètres!$A$1:$I$89,5,0)</f>
        <v>21.528000000000002</v>
      </c>
      <c r="EL15" s="13">
        <f t="shared" si="45"/>
        <v>6.9405537312613621</v>
      </c>
      <c r="EM15" s="20">
        <f t="shared" si="19"/>
        <v>49.582731081946882</v>
      </c>
      <c r="EN15" s="59">
        <f t="shared" si="20"/>
        <v>470.14939774861352</v>
      </c>
      <c r="EO15" s="59">
        <f ca="1">AVERAGE(OFFSET($EN$3,0,0,'Données projet'!$E$15+1,1))-AVERAGE(OFFSET($H$3,0,0,'Données projet'!$E$15+1,1))</f>
        <v>228.3393311631487</v>
      </c>
      <c r="EP15" s="59">
        <f t="shared" si="46"/>
        <v>266.26050497804033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108.5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6.2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4.4800000000000004</v>
      </c>
      <c r="FE15" s="12">
        <f>IF('Données projet'!$A$218&gt;35,FE14+FD15-FM14,IF(A15&lt;'Données projet'!$A$218,$FB$205^A15,IF(A15='Données projet'!$A$218,'Données projet'!$B$218,FE14+FD15-FM14)))</f>
        <v>9.6299637181921636</v>
      </c>
      <c r="FF15" s="17">
        <f>FE15*VLOOKUP('Données projet'!$B$16,Paramètres!$A$1:$I$89,3,0)*VLOOKUP('Données projet'!$B$16,Paramètres!$A$1:$I$89,5,0)</f>
        <v>5.5083392468059182</v>
      </c>
      <c r="FG15" s="13">
        <f t="shared" si="47"/>
        <v>2.0812197446986427</v>
      </c>
      <c r="FH15" s="20">
        <f t="shared" si="22"/>
        <v>13.218481910203776</v>
      </c>
      <c r="FI15" s="59">
        <f t="shared" si="23"/>
        <v>433.78514857687043</v>
      </c>
      <c r="FJ15" s="59">
        <f ca="1">AVERAGE(OFFSET($FI$3,0,0,'Données projet'!$E$16+1,1))-AVERAGE(OFFSET($H$3,0,0,'Données projet'!$E$16+1,1))</f>
        <v>242.10913976205194</v>
      </c>
      <c r="FK15" s="59">
        <f t="shared" si="48"/>
        <v>198.24795425321133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108.5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6.2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108.5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6.2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6.3577800000000009</v>
      </c>
      <c r="D16" s="11">
        <f t="shared" si="32"/>
        <v>2.3623965568610092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37.022503978252011</v>
      </c>
      <c r="H16" s="67">
        <f t="shared" si="1"/>
        <v>413.02097416986624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108.5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6.7166666666666677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4.75</v>
      </c>
      <c r="N16" s="13">
        <f>IF('Données projet'!$A$36&gt;35,N15+M16-V15,IF(A16&lt;'Données projet'!$A$36,$K$205^A16,IF(A16='Données projet'!$A$36,'Données projet'!$B$36,N15+M16-V15)))</f>
        <v>19.298357323959845</v>
      </c>
      <c r="O16" s="13">
        <f>N16*VLOOKUP('Données projet'!$B$9,Paramètres!$A$1:$I$89,3,0)*VLOOKUP('Données projet'!$B$9,Paramètres!$A$1:$I$89,5,0)</f>
        <v>15.654827461196227</v>
      </c>
      <c r="P16" s="13">
        <f t="shared" si="33"/>
        <v>5.2377322031087648</v>
      </c>
      <c r="Q16" s="20">
        <f t="shared" si="2"/>
        <v>36.387874748664522</v>
      </c>
      <c r="R16" s="59">
        <f t="shared" si="0"/>
        <v>458.84898585977567</v>
      </c>
      <c r="S16" s="59">
        <f ca="1">AVERAGE(OFFSET($R$3,0,0,'Données projet'!$E$9+1,1))-AVERAGE(OFFSET($H$3,0,0,'Données projet'!$E$9+1,1))</f>
        <v>273.89826011924487</v>
      </c>
      <c r="T16" s="59">
        <f t="shared" si="34"/>
        <v>332.17519939974227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108.5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6.7166666666666677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7.9</v>
      </c>
      <c r="AI16" s="13">
        <f>IF('Données projet'!$A$62&gt;35,AI15+AH16-AQ15,IF(A16&lt;'Données projet'!$A$62,$AF$205^A16,IF(A16='Données projet'!$A$62,'Données projet'!$B$62,AI15+AH16-AQ15)))</f>
        <v>26.861304900499697</v>
      </c>
      <c r="AJ16" s="13">
        <f>AI16*VLOOKUP('Données projet'!$B$10,Paramètres!$A$1:$I$89,3,0)*VLOOKUP('Données projet'!$B$10,Paramètres!$A$1:$I$89,5,0)</f>
        <v>12.571090693433858</v>
      </c>
      <c r="AK16" s="13">
        <f t="shared" si="35"/>
        <v>4.3147735914069099</v>
      </c>
      <c r="AL16" s="20">
        <f t="shared" si="4"/>
        <v>29.409546962764335</v>
      </c>
      <c r="AM16" s="59">
        <f t="shared" si="5"/>
        <v>451.87065807387552</v>
      </c>
      <c r="AN16" s="59">
        <f ca="1">AVERAGE(OFFSET($AM$3,0,0,'Données projet'!$E$10+1,1))-AVERAGE(OFFSET($H$3,0,0,'Données projet'!$E$10+1,1))</f>
        <v>293.42903587188346</v>
      </c>
      <c r="AO16" s="59">
        <f t="shared" si="36"/>
        <v>267.80827667062124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108.5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6.7166666666666677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10.272227535089344</v>
      </c>
      <c r="BF16" s="13">
        <f t="shared" si="37"/>
        <v>3.6095987912522753</v>
      </c>
      <c r="BG16" s="20">
        <f t="shared" si="7"/>
        <v>24.177514185044988</v>
      </c>
      <c r="BH16" s="59">
        <f t="shared" si="8"/>
        <v>446.63862529615614</v>
      </c>
      <c r="BI16" s="59">
        <f ca="1">AVERAGE(OFFSET($BH$3,0,0,'Données projet'!$E$11+1,1))-AVERAGE(OFFSET($H$3,0,0,'Données projet'!$E$11+1,1))</f>
        <v>324.41828402031939</v>
      </c>
      <c r="BJ16" s="59">
        <f t="shared" si="38"/>
        <v>233.01060088065992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108.5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6.7166666666666677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14.1</v>
      </c>
      <c r="BY16" s="12">
        <f>IF('Données projet'!$A$114&gt;35,BY15+BX16-CG15,IF(A16&lt;'Données projet'!$A$114,$BV$205^A16,IF(A16='Données projet'!$A$114,'Données projet'!$B$114,BY15+BX16-CG15)))</f>
        <v>78.3</v>
      </c>
      <c r="BZ16" s="13">
        <f>BY16*VLOOKUP('Données projet'!$B$12,Paramètres!$A$1:$I$89,3,0)*VLOOKUP('Données projet'!$B$12,Paramètres!$A$1:$I$89,5,0)</f>
        <v>42.751799999999996</v>
      </c>
      <c r="CA16" s="13">
        <f t="shared" si="39"/>
        <v>12.725163670396148</v>
      </c>
      <c r="CB16" s="20">
        <f t="shared" si="10"/>
        <v>96.622378392606606</v>
      </c>
      <c r="CC16" s="59">
        <f t="shared" si="11"/>
        <v>519.08348950371783</v>
      </c>
      <c r="CD16" s="59">
        <f ca="1">AVERAGE(OFFSET($CC$3,0,0,'Données projet'!$E$12+1,1))-AVERAGE(OFFSET($H$3,0,0,'Données projet'!$E$12+1,1))</f>
        <v>279.00060755204919</v>
      </c>
      <c r="CE16" s="59">
        <f t="shared" si="40"/>
        <v>333.91128554211014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108.5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6.7166666666666677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7.6</v>
      </c>
      <c r="CT16" s="12">
        <f>IF('Données projet'!$A$140&gt;35,CT15+CS16-DB15,IF(A16&lt;'Données projet'!$A$140,$CQ$205^A16,IF(A16='Données projet'!$A$140,'Données projet'!$B$140,CT15+CS16-DB15)))</f>
        <v>26.193789444119556</v>
      </c>
      <c r="CU16" s="17">
        <f>CT16*VLOOKUP('Données projet'!$B$13,Paramètres!$A$1:$I$89,3,0)*VLOOKUP('Données projet'!$B$13,Paramètres!$A$1:$I$89,5,0)</f>
        <v>15.663886087583496</v>
      </c>
      <c r="CV16" s="13">
        <f t="shared" si="41"/>
        <v>5.2404101282756796</v>
      </c>
      <c r="CW16" s="20">
        <f t="shared" si="13"/>
        <v>36.408315909288063</v>
      </c>
      <c r="CX16" s="59">
        <f t="shared" si="14"/>
        <v>458.86942702039926</v>
      </c>
      <c r="CY16" s="59">
        <f ca="1">AVERAGE(OFFSET($CX$3,0,0,'Données projet'!$E$13+1,1))-AVERAGE(OFFSET($H$3,0,0,'Données projet'!$E$13+1,1))</f>
        <v>380.01315081072897</v>
      </c>
      <c r="CZ16" s="59">
        <f t="shared" si="42"/>
        <v>404.90871625409181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108.5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6.7166666666666677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17.2</v>
      </c>
      <c r="DO16" s="12">
        <f>IF('Données projet'!$A$166&gt;35,DO15+DN16-DW15,IF(A16&lt;'Données projet'!$A$166,$DL$205^A16,IF(A16='Données projet'!$A$166,'Données projet'!$B$166,DO15+DN16-DW15)))</f>
        <v>135.6</v>
      </c>
      <c r="DP16" s="17">
        <f>DO16*VLOOKUP('Données projet'!$B$14,Paramètres!$A$1:$I$89,3,0)*VLOOKUP('Données projet'!$B$14,Paramètres!$A$1:$I$89,5,0)</f>
        <v>122.69087999999999</v>
      </c>
      <c r="DQ16" s="13">
        <f t="shared" si="43"/>
        <v>32.301790548935521</v>
      </c>
      <c r="DR16" s="20">
        <f t="shared" si="16"/>
        <v>269.94556787272933</v>
      </c>
      <c r="DS16" s="59">
        <f t="shared" si="17"/>
        <v>692.40667898384049</v>
      </c>
      <c r="DT16" s="59">
        <f ca="1">AVERAGE(OFFSET($DS$3,0,0,'Données projet'!$E$14+1,1))-AVERAGE(OFFSET($H$3,0,0,'Données projet'!$E$14+1,1))</f>
        <v>320.81451813551064</v>
      </c>
      <c r="DU16" s="59">
        <f t="shared" si="44"/>
        <v>522.80818268773976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4.3956248680676602</v>
      </c>
      <c r="EC16" s="21">
        <f>EXP(-LN(2)/2)*EC15+(1-EXP(-LN(2)/2))/(LN(2)/2)*DW16*DZ16*VLOOKUP('Données projet'!$B$14,Paramètres!$A$1:$I$89,3,0)*0.475*44/12</f>
        <v>3.9862963389361079</v>
      </c>
      <c r="ED16" s="22">
        <f t="shared" si="18"/>
        <v>8.3819212070037672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108.5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6.7166666666666677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11.25</v>
      </c>
      <c r="EJ16" s="12">
        <f>IF('Données projet'!$A$192&gt;35,EJ15+EI16-ER15,IF(A16&lt;'Données projet'!$A$192,$EG$205^A16,IF(A16='Données projet'!$A$192,'Données projet'!$B$192,EJ15+EI16-ER15)))</f>
        <v>47.25</v>
      </c>
      <c r="EK16" s="17">
        <f>EJ16*VLOOKUP('Données projet'!$B$15,Paramètres!$A$1:$I$89,3,0)*VLOOKUP('Données projet'!$B$15,Paramètres!$A$1:$I$89,5,0)</f>
        <v>28.255500000000001</v>
      </c>
      <c r="EL16" s="13">
        <f t="shared" si="45"/>
        <v>8.8256494369710552</v>
      </c>
      <c r="EM16" s="20">
        <f t="shared" si="19"/>
        <v>64.583001936057926</v>
      </c>
      <c r="EN16" s="59">
        <f t="shared" si="20"/>
        <v>487.04411304716911</v>
      </c>
      <c r="EO16" s="59">
        <f ca="1">AVERAGE(OFFSET($EN$3,0,0,'Données projet'!$E$15+1,1))-AVERAGE(OFFSET($H$3,0,0,'Données projet'!$E$15+1,1))</f>
        <v>228.3393311631487</v>
      </c>
      <c r="EP16" s="59">
        <f t="shared" si="46"/>
        <v>266.26050497804033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108.5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6.7166666666666677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4.4800000000000004</v>
      </c>
      <c r="FE16" s="12">
        <f>IF('Données projet'!$A$218&gt;35,FE15+FD16-FM15,IF(A16&lt;'Données projet'!$A$218,$FB$205^A16,IF(A16='Données projet'!$A$218,'Données projet'!$B$218,FE15+FD16-FM15)))</f>
        <v>11.630365729044078</v>
      </c>
      <c r="FF16" s="17">
        <f>FE16*VLOOKUP('Données projet'!$B$16,Paramètres!$A$1:$I$89,3,0)*VLOOKUP('Données projet'!$B$16,Paramètres!$A$1:$I$89,5,0)</f>
        <v>6.6525691970132135</v>
      </c>
      <c r="FG16" s="13">
        <f t="shared" si="47"/>
        <v>2.4589262272514785</v>
      </c>
      <c r="FH16" s="20">
        <f t="shared" si="22"/>
        <v>15.869187863927671</v>
      </c>
      <c r="FI16" s="59">
        <f t="shared" si="23"/>
        <v>438.33029897503883</v>
      </c>
      <c r="FJ16" s="59">
        <f ca="1">AVERAGE(OFFSET($FI$3,0,0,'Données projet'!$E$16+1,1))-AVERAGE(OFFSET($H$3,0,0,'Données projet'!$E$16+1,1))</f>
        <v>242.10913976205194</v>
      </c>
      <c r="FK16" s="59">
        <f t="shared" si="48"/>
        <v>198.24795425321133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108.5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6.7166666666666677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108.5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6.7166666666666677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6.8468400000000011</v>
      </c>
      <c r="D17" s="11">
        <f t="shared" si="32"/>
        <v>2.5222677513052778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39.777615365190833</v>
      </c>
      <c r="H17" s="67">
        <f t="shared" si="1"/>
        <v>414.15119600019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108.5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7.2333333333333334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4.75</v>
      </c>
      <c r="N17" s="13">
        <f>IF('Données projet'!$A$36&gt;35,N16+M17-V16,IF(A17&lt;'Données projet'!$A$36,$K$205^A17,IF(A17='Données projet'!$A$36,'Données projet'!$B$36,N16+M17-V16)))</f>
        <v>24.232963250726986</v>
      </c>
      <c r="O17" s="13">
        <f>N17*VLOOKUP('Données projet'!$B$9,Paramètres!$A$1:$I$89,3,0)*VLOOKUP('Données projet'!$B$9,Paramètres!$A$1:$I$89,5,0)</f>
        <v>19.657779788989732</v>
      </c>
      <c r="P17" s="13">
        <f t="shared" si="33"/>
        <v>6.4049997739685294</v>
      </c>
      <c r="Q17" s="20">
        <f t="shared" si="2"/>
        <v>45.392674405485643</v>
      </c>
      <c r="R17" s="59">
        <f t="shared" si="0"/>
        <v>469.7482299610412</v>
      </c>
      <c r="S17" s="59">
        <f ca="1">AVERAGE(OFFSET($R$3,0,0,'Données projet'!$E$9+1,1))-AVERAGE(OFFSET($H$3,0,0,'Données projet'!$E$9+1,1))</f>
        <v>273.89826011924487</v>
      </c>
      <c r="T17" s="59">
        <f t="shared" si="34"/>
        <v>332.17519939974227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108.5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7.2333333333333334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7.9</v>
      </c>
      <c r="AI17" s="13">
        <f>IF('Données projet'!$A$62&gt;35,AI16+AH17-AQ16,IF(A17&lt;'Données projet'!$A$62,$AF$205^A17,IF(A17='Données projet'!$A$62,'Données projet'!$B$62,AI16+AH17-AQ16)))</f>
        <v>34.598714324397214</v>
      </c>
      <c r="AJ17" s="13">
        <f>AI17*VLOOKUP('Données projet'!$B$10,Paramètres!$A$1:$I$89,3,0)*VLOOKUP('Données projet'!$B$10,Paramètres!$A$1:$I$89,5,0)</f>
        <v>16.192198303817896</v>
      </c>
      <c r="AK17" s="13">
        <f t="shared" si="35"/>
        <v>5.3962825594761723</v>
      </c>
      <c r="AL17" s="20">
        <f t="shared" si="4"/>
        <v>37.599937503570509</v>
      </c>
      <c r="AM17" s="59">
        <f t="shared" si="5"/>
        <v>461.95549305912607</v>
      </c>
      <c r="AN17" s="59">
        <f ca="1">AVERAGE(OFFSET($AM$3,0,0,'Données projet'!$E$10+1,1))-AVERAGE(OFFSET($H$3,0,0,'Données projet'!$E$10+1,1))</f>
        <v>293.42903587188346</v>
      </c>
      <c r="AO17" s="59">
        <f t="shared" si="36"/>
        <v>267.80827667062124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108.5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7.2333333333333334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12.383034850580612</v>
      </c>
      <c r="BF17" s="13">
        <f t="shared" si="37"/>
        <v>4.2576904771143838</v>
      </c>
      <c r="BG17" s="20">
        <f t="shared" si="7"/>
        <v>28.982596612402116</v>
      </c>
      <c r="BH17" s="59">
        <f t="shared" si="8"/>
        <v>453.33815216795767</v>
      </c>
      <c r="BI17" s="59">
        <f ca="1">AVERAGE(OFFSET($BH$3,0,0,'Données projet'!$E$11+1,1))-AVERAGE(OFFSET($H$3,0,0,'Données projet'!$E$11+1,1))</f>
        <v>324.41828402031939</v>
      </c>
      <c r="BJ17" s="59">
        <f t="shared" si="38"/>
        <v>233.01060088065992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108.5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7.2333333333333334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14.1</v>
      </c>
      <c r="BY17" s="12">
        <f>IF('Données projet'!$A$114&gt;35,BY16+BX17-CG16,IF(A17&lt;'Données projet'!$A$114,$BV$205^A17,IF(A17='Données projet'!$A$114,'Données projet'!$B$114,BY16+BX17-CG16)))</f>
        <v>92.399999999999991</v>
      </c>
      <c r="BZ17" s="13">
        <f>BY17*VLOOKUP('Données projet'!$B$12,Paramètres!$A$1:$I$89,3,0)*VLOOKUP('Données projet'!$B$12,Paramètres!$A$1:$I$89,5,0)</f>
        <v>50.450399999999995</v>
      </c>
      <c r="CA17" s="13">
        <f t="shared" si="39"/>
        <v>14.730016649594965</v>
      </c>
      <c r="CB17" s="20">
        <f t="shared" si="10"/>
        <v>113.52255899804454</v>
      </c>
      <c r="CC17" s="59">
        <f t="shared" si="11"/>
        <v>537.87811455360008</v>
      </c>
      <c r="CD17" s="59">
        <f ca="1">AVERAGE(OFFSET($CC$3,0,0,'Données projet'!$E$12+1,1))-AVERAGE(OFFSET($H$3,0,0,'Données projet'!$E$12+1,1))</f>
        <v>279.00060755204919</v>
      </c>
      <c r="CE17" s="59">
        <f t="shared" si="40"/>
        <v>333.91128554211014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108.5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7.2333333333333334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7.6</v>
      </c>
      <c r="CT17" s="12">
        <f>IF('Données projet'!$A$140&gt;35,CT16+CS17-DB16,IF(A17&lt;'Données projet'!$A$140,$CQ$205^A17,IF(A17='Données projet'!$A$140,'Données projet'!$B$140,CT16+CS17-DB16)))</f>
        <v>33.673674655398074</v>
      </c>
      <c r="CU17" s="17">
        <f>CT17*VLOOKUP('Données projet'!$B$13,Paramètres!$A$1:$I$89,3,0)*VLOOKUP('Données projet'!$B$13,Paramètres!$A$1:$I$89,5,0)</f>
        <v>20.136857443928051</v>
      </c>
      <c r="CV17" s="13">
        <f t="shared" si="41"/>
        <v>6.5427319358265699</v>
      </c>
      <c r="CW17" s="20">
        <f t="shared" si="13"/>
        <v>46.466951503072629</v>
      </c>
      <c r="CX17" s="59">
        <f t="shared" si="14"/>
        <v>470.82250705862816</v>
      </c>
      <c r="CY17" s="59">
        <f ca="1">AVERAGE(OFFSET($CX$3,0,0,'Données projet'!$E$13+1,1))-AVERAGE(OFFSET($H$3,0,0,'Données projet'!$E$13+1,1))</f>
        <v>380.01315081072897</v>
      </c>
      <c r="CZ17" s="59">
        <f t="shared" si="42"/>
        <v>404.90871625409181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108.5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7.2333333333333334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17.2</v>
      </c>
      <c r="DO17" s="12">
        <f>IF('Données projet'!$A$166&gt;35,DO16+DN17-DW16,IF(A17&lt;'Données projet'!$A$166,$DL$205^A17,IF(A17='Données projet'!$A$166,'Données projet'!$B$166,DO16+DN17-DW16)))</f>
        <v>152.79999999999998</v>
      </c>
      <c r="DP17" s="17">
        <f>DO17*VLOOKUP('Données projet'!$B$14,Paramètres!$A$1:$I$89,3,0)*VLOOKUP('Données projet'!$B$14,Paramètres!$A$1:$I$89,5,0)</f>
        <v>138.25343999999998</v>
      </c>
      <c r="DQ17" s="13">
        <f t="shared" si="43"/>
        <v>35.896601257774428</v>
      </c>
      <c r="DR17" s="20">
        <f t="shared" si="16"/>
        <v>303.31132185729041</v>
      </c>
      <c r="DS17" s="59">
        <f t="shared" si="17"/>
        <v>727.66687741284591</v>
      </c>
      <c r="DT17" s="59">
        <f ca="1">AVERAGE(OFFSET($DS$3,0,0,'Données projet'!$E$14+1,1))-AVERAGE(OFFSET($H$3,0,0,'Données projet'!$E$14+1,1))</f>
        <v>320.81451813551064</v>
      </c>
      <c r="DU17" s="59">
        <f t="shared" si="44"/>
        <v>522.80818268773976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4.2754262748944845</v>
      </c>
      <c r="EC17" s="21">
        <f>EXP(-LN(2)/2)*EC16+(1-EXP(-LN(2)/2))/(LN(2)/2)*DW17*DZ17*VLOOKUP('Données projet'!$B$14,Paramètres!$A$1:$I$89,3,0)*0.475*44/12</f>
        <v>2.8187371730808302</v>
      </c>
      <c r="ED17" s="22">
        <f t="shared" si="18"/>
        <v>7.0941634479753146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108.5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7.2333333333333334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11.25</v>
      </c>
      <c r="EJ17" s="12">
        <f>IF('Données projet'!$A$192&gt;35,EJ16+EI17-ER16,IF(A17&lt;'Données projet'!$A$192,$EG$205^A17,IF(A17='Données projet'!$A$192,'Données projet'!$B$192,EJ16+EI17-ER16)))</f>
        <v>58.5</v>
      </c>
      <c r="EK17" s="17">
        <f>EJ17*VLOOKUP('Données projet'!$B$15,Paramètres!$A$1:$I$89,3,0)*VLOOKUP('Données projet'!$B$15,Paramètres!$A$1:$I$89,5,0)</f>
        <v>34.983000000000004</v>
      </c>
      <c r="EL17" s="13">
        <f t="shared" si="45"/>
        <v>10.658697928430266</v>
      </c>
      <c r="EM17" s="20">
        <f t="shared" si="19"/>
        <v>79.492623892016056</v>
      </c>
      <c r="EN17" s="59">
        <f t="shared" si="20"/>
        <v>503.84817944757162</v>
      </c>
      <c r="EO17" s="59">
        <f ca="1">AVERAGE(OFFSET($EN$3,0,0,'Données projet'!$E$15+1,1))-AVERAGE(OFFSET($H$3,0,0,'Données projet'!$E$15+1,1))</f>
        <v>228.3393311631487</v>
      </c>
      <c r="EP17" s="59">
        <f t="shared" si="46"/>
        <v>266.26050497804033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108.5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7.2333333333333334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4.4800000000000004</v>
      </c>
      <c r="FE17" s="12">
        <f>IF('Données projet'!$A$218&gt;35,FE16+FD17-FM16,IF(A17&lt;'Données projet'!$A$218,$FB$205^A17,IF(A17='Données projet'!$A$218,'Données projet'!$B$218,FE16+FD17-FM16)))</f>
        <v>14.0463049446168</v>
      </c>
      <c r="FF17" s="17">
        <f>FE17*VLOOKUP('Données projet'!$B$16,Paramètres!$A$1:$I$89,3,0)*VLOOKUP('Données projet'!$B$16,Paramètres!$A$1:$I$89,5,0)</f>
        <v>8.0344864283208093</v>
      </c>
      <c r="FG17" s="13">
        <f t="shared" si="47"/>
        <v>2.9051801024214683</v>
      </c>
      <c r="FH17" s="20">
        <f t="shared" si="22"/>
        <v>19.053252541042799</v>
      </c>
      <c r="FI17" s="59">
        <f t="shared" si="23"/>
        <v>443.40880809659836</v>
      </c>
      <c r="FJ17" s="59">
        <f ca="1">AVERAGE(OFFSET($FI$3,0,0,'Données projet'!$E$16+1,1))-AVERAGE(OFFSET($H$3,0,0,'Données projet'!$E$16+1,1))</f>
        <v>242.10913976205194</v>
      </c>
      <c r="FK17" s="59">
        <f t="shared" si="48"/>
        <v>198.24795425321133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108.5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7.2333333333333334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108.5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7.2333333333333334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7.3359000000000014</v>
      </c>
      <c r="D18" s="11">
        <f t="shared" si="32"/>
        <v>2.6808140527138353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42.527101767662259</v>
      </c>
      <c r="H18" s="67">
        <f t="shared" si="1"/>
        <v>415.27911030847656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108.5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7.75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4.75</v>
      </c>
      <c r="N18" s="13">
        <f>IF('Données projet'!$A$36&gt;35,N17+M18-V17,IF(A18&lt;'Données projet'!$A$36,$K$205^A18,IF(A18='Données projet'!$A$36,'Données projet'!$B$36,N17+M18-V17)))</f>
        <v>30.429351993705815</v>
      </c>
      <c r="O18" s="13">
        <f>N18*VLOOKUP('Données projet'!$B$9,Paramètres!$A$1:$I$89,3,0)*VLOOKUP('Données projet'!$B$9,Paramètres!$A$1:$I$89,5,0)</f>
        <v>24.684290337294158</v>
      </c>
      <c r="P18" s="13">
        <f t="shared" si="33"/>
        <v>7.8324016031571553</v>
      </c>
      <c r="Q18" s="20">
        <f t="shared" si="2"/>
        <v>56.633238462952697</v>
      </c>
      <c r="R18" s="59">
        <f t="shared" si="0"/>
        <v>482.8832384629527</v>
      </c>
      <c r="S18" s="59">
        <f ca="1">AVERAGE(OFFSET($R$3,0,0,'Données projet'!$E$9+1,1))-AVERAGE(OFFSET($H$3,0,0,'Données projet'!$E$9+1,1))</f>
        <v>273.89826011924487</v>
      </c>
      <c r="T18" s="59">
        <f t="shared" si="34"/>
        <v>332.17519939974227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108.5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7.75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7.9</v>
      </c>
      <c r="AI18" s="13">
        <f>IF('Données projet'!$A$62&gt;35,AI17+AH18-AQ17,IF(A18&lt;'Données projet'!$A$62,$AF$205^A18,IF(A18='Données projet'!$A$62,'Données projet'!$B$62,AI17+AH18-AQ17)))</f>
        <v>44.564887571004775</v>
      </c>
      <c r="AJ18" s="13">
        <f>AI18*VLOOKUP('Données projet'!$B$10,Paramètres!$A$1:$I$89,3,0)*VLOOKUP('Données projet'!$B$10,Paramètres!$A$1:$I$89,5,0)</f>
        <v>20.856367383230236</v>
      </c>
      <c r="AK18" s="13">
        <f t="shared" si="35"/>
        <v>6.7488744993944465</v>
      </c>
      <c r="AL18" s="20">
        <f t="shared" si="4"/>
        <v>48.079129612237985</v>
      </c>
      <c r="AM18" s="59">
        <f t="shared" si="5"/>
        <v>474.32912961223798</v>
      </c>
      <c r="AN18" s="59">
        <f ca="1">AVERAGE(OFFSET($AM$3,0,0,'Données projet'!$E$10+1,1))-AVERAGE(OFFSET($H$3,0,0,'Données projet'!$E$10+1,1))</f>
        <v>293.42903587188346</v>
      </c>
      <c r="AO18" s="59">
        <f t="shared" si="36"/>
        <v>267.80827667062124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108.5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7.75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14.927585237660953</v>
      </c>
      <c r="BF18" s="13">
        <f t="shared" si="37"/>
        <v>5.0221449106318534</v>
      </c>
      <c r="BG18" s="20">
        <f t="shared" si="7"/>
        <v>34.745780008276633</v>
      </c>
      <c r="BH18" s="59">
        <f t="shared" si="8"/>
        <v>460.99578000827665</v>
      </c>
      <c r="BI18" s="59">
        <f ca="1">AVERAGE(OFFSET($BH$3,0,0,'Données projet'!$E$11+1,1))-AVERAGE(OFFSET($H$3,0,0,'Données projet'!$E$11+1,1))</f>
        <v>324.41828402031939</v>
      </c>
      <c r="BJ18" s="59">
        <f t="shared" si="38"/>
        <v>233.01060088065992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108.5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7.75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14.1</v>
      </c>
      <c r="BY18" s="12">
        <f>IF('Données projet'!$A$114&gt;35,BY17+BX18-CG17,IF(A18&lt;'Données projet'!$A$114,$BV$205^A18,IF(A18='Données projet'!$A$114,'Données projet'!$B$114,BY17+BX18-CG17)))</f>
        <v>106.49999999999999</v>
      </c>
      <c r="BZ18" s="13">
        <f>BY18*VLOOKUP('Données projet'!$B$12,Paramètres!$A$1:$I$89,3,0)*VLOOKUP('Données projet'!$B$12,Paramètres!$A$1:$I$89,5,0)</f>
        <v>58.148999999999987</v>
      </c>
      <c r="CA18" s="13">
        <f t="shared" si="39"/>
        <v>16.699428066773574</v>
      </c>
      <c r="CB18" s="20">
        <f t="shared" si="10"/>
        <v>130.36101221629727</v>
      </c>
      <c r="CC18" s="59">
        <f t="shared" si="11"/>
        <v>556.61101221629724</v>
      </c>
      <c r="CD18" s="59">
        <f ca="1">AVERAGE(OFFSET($CC$3,0,0,'Données projet'!$E$12+1,1))-AVERAGE(OFFSET($H$3,0,0,'Données projet'!$E$12+1,1))</f>
        <v>279.00060755204919</v>
      </c>
      <c r="CE18" s="59">
        <f t="shared" si="40"/>
        <v>333.91128554211014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108.5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7.75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7.6</v>
      </c>
      <c r="CT18" s="12">
        <f>IF('Données projet'!$A$140&gt;35,CT17+CS18-DB17,IF(A18&lt;'Données projet'!$A$140,$CQ$205^A18,IF(A18='Données projet'!$A$140,'Données projet'!$B$140,CT17+CS18-DB17)))</f>
        <v>43.289512088987195</v>
      </c>
      <c r="CU18" s="17">
        <f>CT18*VLOOKUP('Données projet'!$B$13,Paramètres!$A$1:$I$89,3,0)*VLOOKUP('Données projet'!$B$13,Paramètres!$A$1:$I$89,5,0)</f>
        <v>25.887128229214344</v>
      </c>
      <c r="CV18" s="13">
        <f t="shared" si="41"/>
        <v>8.168700566604377</v>
      </c>
      <c r="CW18" s="20">
        <f t="shared" si="13"/>
        <v>59.313901819384263</v>
      </c>
      <c r="CX18" s="59">
        <f t="shared" si="14"/>
        <v>485.56390181938428</v>
      </c>
      <c r="CY18" s="59">
        <f ca="1">AVERAGE(OFFSET($CX$3,0,0,'Données projet'!$E$13+1,1))-AVERAGE(OFFSET($H$3,0,0,'Données projet'!$E$13+1,1))</f>
        <v>380.01315081072897</v>
      </c>
      <c r="CZ18" s="59">
        <f t="shared" si="42"/>
        <v>404.90871625409181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108.5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7.75</v>
      </c>
      <c r="DL18" s="12">
        <f>VLOOKUP(A18,'Données projet'!$A$165:$I$185,2,0)</f>
        <v>170</v>
      </c>
      <c r="DM18" s="12">
        <f>VLOOKUP(A18,'Données projet'!$A$165:$I$185,9,0)</f>
        <v>17.2</v>
      </c>
      <c r="DN18" s="12">
        <f t="array" ref="DN18">INDEX(DM:DM,MIN(IF(ISNUMBER(DM18:DM214),ROW(DM18:DM214),"")))</f>
        <v>17.2</v>
      </c>
      <c r="DO18" s="12">
        <f>IF('Données projet'!$A$166&gt;35,DO17+DN18-DW17,IF(A18&lt;'Données projet'!$A$166,$DL$205^A18,IF(A18='Données projet'!$A$166,'Données projet'!$B$166,DO17+DN18-DW17)))</f>
        <v>169.99999999999997</v>
      </c>
      <c r="DP18" s="17">
        <f>DO18*VLOOKUP('Données projet'!$B$14,Paramètres!$A$1:$I$89,3,0)*VLOOKUP('Données projet'!$B$14,Paramètres!$A$1:$I$89,5,0)</f>
        <v>153.81599999999997</v>
      </c>
      <c r="DQ18" s="13">
        <f t="shared" si="43"/>
        <v>39.444513325737063</v>
      </c>
      <c r="DR18" s="20">
        <f t="shared" si="16"/>
        <v>336.59539404232532</v>
      </c>
      <c r="DS18" s="59">
        <f t="shared" si="17"/>
        <v>762.84539404232532</v>
      </c>
      <c r="DT18" s="59">
        <f ca="1">AVERAGE(OFFSET($DS$3,0,0,'Données projet'!$E$14+1,1))-AVERAGE(OFFSET($H$3,0,0,'Données projet'!$E$14+1,1))</f>
        <v>320.81451813551064</v>
      </c>
      <c r="DU18" s="59">
        <f t="shared" si="44"/>
        <v>522.80818268773976</v>
      </c>
      <c r="DV18" s="15">
        <f>IF(ISNA(VLOOKUP(A18,'Données projet'!$A$165:$I$185,3,0)),0,VLOOKUP(A18,'Données projet'!$A$165:$I$185,3,0))</f>
        <v>3</v>
      </c>
      <c r="DW18" s="15">
        <f>IF(ISNA(VLOOKUP(A18,'Données projet'!$A$165:$I$185,4,0)),0,VLOOKUP(A18,'Données projet'!$A$165:$I$185,4,0))</f>
        <v>34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7.4999999999999997E-2</v>
      </c>
      <c r="DZ18" s="16">
        <f>IF(ISNA(VLOOKUP(A18,'Données projet'!$A$165:$I$185,7,0)),0%,VLOOKUP(A18,'Données projet'!$A$165:$I$185,7,0))</f>
        <v>0.25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6.6990573701681928</v>
      </c>
      <c r="EC18" s="21">
        <f>EXP(-LN(2)/2)*EC17+(1-EXP(-LN(2)/2))/(LN(2)/2)*DW18*DZ18*VLOOKUP('Données projet'!$B$14,Paramètres!$A$1:$I$89,3,0)*0.475*44/12</f>
        <v>9.2496249643151724</v>
      </c>
      <c r="ED18" s="22">
        <f t="shared" si="18"/>
        <v>15.948682334483365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108.5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7.75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11.25</v>
      </c>
      <c r="EJ18" s="12">
        <f>IF('Données projet'!$A$192&gt;35,EJ17+EI18-ER17,IF(A18&lt;'Données projet'!$A$192,$EG$205^A18,IF(A18='Données projet'!$A$192,'Données projet'!$B$192,EJ17+EI18-ER17)))</f>
        <v>69.75</v>
      </c>
      <c r="EK18" s="17">
        <f>EJ18*VLOOKUP('Données projet'!$B$15,Paramètres!$A$1:$I$89,3,0)*VLOOKUP('Données projet'!$B$15,Paramètres!$A$1:$I$89,5,0)</f>
        <v>41.710500000000003</v>
      </c>
      <c r="EL18" s="13">
        <f t="shared" si="45"/>
        <v>12.450904347349248</v>
      </c>
      <c r="EM18" s="20">
        <f t="shared" si="19"/>
        <v>94.331112571633255</v>
      </c>
      <c r="EN18" s="59">
        <f t="shared" si="20"/>
        <v>520.5811125716333</v>
      </c>
      <c r="EO18" s="59">
        <f ca="1">AVERAGE(OFFSET($EN$3,0,0,'Données projet'!$E$15+1,1))-AVERAGE(OFFSET($H$3,0,0,'Données projet'!$E$15+1,1))</f>
        <v>228.3393311631487</v>
      </c>
      <c r="EP18" s="59">
        <f t="shared" si="46"/>
        <v>266.26050497804033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108.5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7.75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4.4800000000000004</v>
      </c>
      <c r="FE18" s="12">
        <f>IF('Données projet'!$A$218&gt;35,FE17+FD18-FM17,IF(A18&lt;'Données projet'!$A$218,$FB$205^A18,IF(A18='Données projet'!$A$218,'Données projet'!$B$218,FE17+FD18-FM17)))</f>
        <v>16.964099598730563</v>
      </c>
      <c r="FF18" s="17">
        <f>FE18*VLOOKUP('Données projet'!$B$16,Paramètres!$A$1:$I$89,3,0)*VLOOKUP('Données projet'!$B$16,Paramètres!$A$1:$I$89,5,0)</f>
        <v>9.7034649704738829</v>
      </c>
      <c r="FG18" s="13">
        <f t="shared" si="47"/>
        <v>3.4324215724599845</v>
      </c>
      <c r="FH18" s="20">
        <f t="shared" si="22"/>
        <v>22.878335728943153</v>
      </c>
      <c r="FI18" s="59">
        <f t="shared" si="23"/>
        <v>449.12833572894317</v>
      </c>
      <c r="FJ18" s="59">
        <f ca="1">AVERAGE(OFFSET($FI$3,0,0,'Données projet'!$E$16+1,1))-AVERAGE(OFFSET($H$3,0,0,'Données projet'!$E$16+1,1))</f>
        <v>242.10913976205194</v>
      </c>
      <c r="FK18" s="59">
        <f t="shared" si="48"/>
        <v>198.24795425321133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108.5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7.75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108.5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7.75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7.8249600000000017</v>
      </c>
      <c r="D19" s="11">
        <f t="shared" si="32"/>
        <v>2.8381338374226446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45.271380853618957</v>
      </c>
      <c r="H19" s="67">
        <f t="shared" si="1"/>
        <v>416.40488843351108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108.5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8.2666666666666675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4.75</v>
      </c>
      <c r="N19" s="13">
        <f>IF('Données projet'!$A$36&gt;35,N18+M19-V18,IF(A19&lt;'Données projet'!$A$36,$K$205^A19,IF(A19='Données projet'!$A$36,'Données projet'!$B$36,N18+M19-V18)))</f>
        <v>38.21016246244956</v>
      </c>
      <c r="O19" s="13">
        <f>N19*VLOOKUP('Données projet'!$B$9,Paramètres!$A$1:$I$89,3,0)*VLOOKUP('Données projet'!$B$9,Paramètres!$A$1:$I$89,5,0)</f>
        <v>30.996083789539089</v>
      </c>
      <c r="P19" s="13">
        <f t="shared" si="33"/>
        <v>9.5779105445820392</v>
      </c>
      <c r="Q19" s="20">
        <f t="shared" si="2"/>
        <v>70.666373465260961</v>
      </c>
      <c r="R19" s="59">
        <f t="shared" si="0"/>
        <v>498.81081790970541</v>
      </c>
      <c r="S19" s="59">
        <f ca="1">AVERAGE(OFFSET($R$3,0,0,'Données projet'!$E$9+1,1))-AVERAGE(OFFSET($H$3,0,0,'Données projet'!$E$9+1,1))</f>
        <v>273.89826011924487</v>
      </c>
      <c r="T19" s="59">
        <f t="shared" si="34"/>
        <v>332.17519939974227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108.5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8.2666666666666675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7.9</v>
      </c>
      <c r="AI19" s="13">
        <f>IF('Données projet'!$A$62&gt;35,AI18+AH19-AQ18,IF(A19&lt;'Données projet'!$A$62,$AF$205^A19,IF(A19='Données projet'!$A$62,'Données projet'!$B$62,AI18+AH19-AQ18)))</f>
        <v>57.401820934596167</v>
      </c>
      <c r="AJ19" s="13">
        <f>AI19*VLOOKUP('Données projet'!$B$10,Paramètres!$A$1:$I$89,3,0)*VLOOKUP('Données projet'!$B$10,Paramètres!$A$1:$I$89,5,0)</f>
        <v>26.864052197391008</v>
      </c>
      <c r="AK19" s="13">
        <f t="shared" si="35"/>
        <v>8.4404970471001413</v>
      </c>
      <c r="AL19" s="20">
        <f t="shared" si="4"/>
        <v>61.488756600822086</v>
      </c>
      <c r="AM19" s="59">
        <f t="shared" si="5"/>
        <v>489.63320104526656</v>
      </c>
      <c r="AN19" s="59">
        <f ca="1">AVERAGE(OFFSET($AM$3,0,0,'Données projet'!$E$10+1,1))-AVERAGE(OFFSET($H$3,0,0,'Données projet'!$E$10+1,1))</f>
        <v>293.42903587188346</v>
      </c>
      <c r="AO19" s="59">
        <f t="shared" si="36"/>
        <v>267.80827667062124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108.5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8.2666666666666675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17.995007178485412</v>
      </c>
      <c r="BF19" s="13">
        <f t="shared" si="37"/>
        <v>5.9238546434872337</v>
      </c>
      <c r="BG19" s="20">
        <f t="shared" si="7"/>
        <v>41.658684339935689</v>
      </c>
      <c r="BH19" s="59">
        <f t="shared" si="8"/>
        <v>469.80312878438014</v>
      </c>
      <c r="BI19" s="59">
        <f ca="1">AVERAGE(OFFSET($BH$3,0,0,'Données projet'!$E$11+1,1))-AVERAGE(OFFSET($H$3,0,0,'Données projet'!$E$11+1,1))</f>
        <v>324.41828402031939</v>
      </c>
      <c r="BJ19" s="59">
        <f t="shared" si="38"/>
        <v>233.01060088065992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108.5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8.2666666666666675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14.1</v>
      </c>
      <c r="BY19" s="12">
        <f>IF('Données projet'!$A$114&gt;35,BY18+BX19-CG18,IF(A19&lt;'Données projet'!$A$114,$BV$205^A19,IF(A19='Données projet'!$A$114,'Données projet'!$B$114,BY18+BX19-CG18)))</f>
        <v>120.59999999999998</v>
      </c>
      <c r="BZ19" s="13">
        <f>BY19*VLOOKUP('Données projet'!$B$12,Paramètres!$A$1:$I$89,3,0)*VLOOKUP('Données projet'!$B$12,Paramètres!$A$1:$I$89,5,0)</f>
        <v>65.847599999999986</v>
      </c>
      <c r="CA19" s="13">
        <f t="shared" si="39"/>
        <v>18.63862905611526</v>
      </c>
      <c r="CB19" s="20">
        <f t="shared" si="10"/>
        <v>147.14684893940071</v>
      </c>
      <c r="CC19" s="59">
        <f t="shared" si="11"/>
        <v>575.29129338384519</v>
      </c>
      <c r="CD19" s="59">
        <f ca="1">AVERAGE(OFFSET($CC$3,0,0,'Données projet'!$E$12+1,1))-AVERAGE(OFFSET($H$3,0,0,'Données projet'!$E$12+1,1))</f>
        <v>279.00060755204919</v>
      </c>
      <c r="CE19" s="59">
        <f t="shared" si="40"/>
        <v>333.91128554211014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108.5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8.2666666666666675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7.6</v>
      </c>
      <c r="CT19" s="12">
        <f>IF('Données projet'!$A$140&gt;35,CT18+CS19-DB18,IF(A19&lt;'Données projet'!$A$140,$CQ$205^A19,IF(A19='Données projet'!$A$140,'Données projet'!$B$140,CT18+CS19-DB18)))</f>
        <v>55.651243176757333</v>
      </c>
      <c r="CU19" s="17">
        <f>CT19*VLOOKUP('Données projet'!$B$13,Paramètres!$A$1:$I$89,3,0)*VLOOKUP('Données projet'!$B$13,Paramètres!$A$1:$I$89,5,0)</f>
        <v>33.27944341970089</v>
      </c>
      <c r="CV19" s="13">
        <f t="shared" si="41"/>
        <v>10.198747190215236</v>
      </c>
      <c r="CW19" s="20">
        <f t="shared" si="13"/>
        <v>75.724515312270583</v>
      </c>
      <c r="CX19" s="59">
        <f t="shared" si="14"/>
        <v>503.86895975671501</v>
      </c>
      <c r="CY19" s="59">
        <f ca="1">AVERAGE(OFFSET($CX$3,0,0,'Données projet'!$E$13+1,1))-AVERAGE(OFFSET($H$3,0,0,'Données projet'!$E$13+1,1))</f>
        <v>380.01315081072897</v>
      </c>
      <c r="CZ19" s="59">
        <f t="shared" si="42"/>
        <v>404.90871625409181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108.5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8.2666666666666675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13.4</v>
      </c>
      <c r="DO19" s="12">
        <f>IF('Données projet'!$A$166&gt;35,DO18+DN19-DW18,IF(A19&lt;'Données projet'!$A$166,$DL$205^A19,IF(A19='Données projet'!$A$166,'Données projet'!$B$166,DO18+DN19-DW18)))</f>
        <v>149.39999999999998</v>
      </c>
      <c r="DP19" s="17">
        <f>DO19*VLOOKUP('Données projet'!$B$14,Paramètres!$A$1:$I$89,3,0)*VLOOKUP('Données projet'!$B$14,Paramètres!$A$1:$I$89,5,0)</f>
        <v>135.17711999999997</v>
      </c>
      <c r="DQ19" s="13">
        <f t="shared" si="43"/>
        <v>35.189907319143778</v>
      </c>
      <c r="DR19" s="20">
        <f t="shared" si="16"/>
        <v>296.72257258084204</v>
      </c>
      <c r="DS19" s="59">
        <f t="shared" si="17"/>
        <v>724.86701702528649</v>
      </c>
      <c r="DT19" s="59">
        <f ca="1">AVERAGE(OFFSET($DS$3,0,0,'Données projet'!$E$14+1,1))-AVERAGE(OFFSET($H$3,0,0,'Données projet'!$E$14+1,1))</f>
        <v>320.81451813551064</v>
      </c>
      <c r="DU19" s="59">
        <f t="shared" si="44"/>
        <v>522.80818268773976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6.5158712940928272</v>
      </c>
      <c r="EC19" s="21">
        <f>EXP(-LN(2)/2)*EC18+(1-EXP(-LN(2)/2))/(LN(2)/2)*DW19*DZ19*VLOOKUP('Données projet'!$B$14,Paramètres!$A$1:$I$89,3,0)*0.475*44/12</f>
        <v>6.5404725356996369</v>
      </c>
      <c r="ED19" s="22">
        <f t="shared" si="18"/>
        <v>13.056343829792464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108.5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8.2666666666666675</v>
      </c>
      <c r="EG19" s="12">
        <f>VLOOKUP(A19,'Données projet'!$A$191:$I$211,2,0)</f>
        <v>81</v>
      </c>
      <c r="EH19" s="12">
        <f>VLOOKUP(A19,'Données projet'!$A$191:$I$211,9,0)</f>
        <v>11.25</v>
      </c>
      <c r="EI19" s="12">
        <f t="array" ref="EI19">INDEX(EH:EH,MIN(IF(ISNUMBER(EH19:EH215),ROW(EH19:EH215),"")))</f>
        <v>11.25</v>
      </c>
      <c r="EJ19" s="12">
        <f>IF('Données projet'!$A$192&gt;35,EJ18+EI19-ER18,IF(A19&lt;'Données projet'!$A$192,$EG$205^A19,IF(A19='Données projet'!$A$192,'Données projet'!$B$192,EJ18+EI19-ER18)))</f>
        <v>81</v>
      </c>
      <c r="EK19" s="17">
        <f>EJ19*VLOOKUP('Données projet'!$B$15,Paramètres!$A$1:$I$89,3,0)*VLOOKUP('Données projet'!$B$15,Paramètres!$A$1:$I$89,5,0)</f>
        <v>48.438000000000009</v>
      </c>
      <c r="EL19" s="13">
        <f t="shared" si="45"/>
        <v>14.209624244846971</v>
      </c>
      <c r="EM19" s="20">
        <f t="shared" si="19"/>
        <v>109.11127889310849</v>
      </c>
      <c r="EN19" s="59">
        <f t="shared" si="20"/>
        <v>537.25572333755292</v>
      </c>
      <c r="EO19" s="59">
        <f ca="1">AVERAGE(OFFSET($EN$3,0,0,'Données projet'!$E$15+1,1))-AVERAGE(OFFSET($H$3,0,0,'Données projet'!$E$15+1,1))</f>
        <v>228.3393311631487</v>
      </c>
      <c r="EP19" s="59">
        <f t="shared" si="46"/>
        <v>266.26050497804033</v>
      </c>
      <c r="EQ19" s="15">
        <f>IF(ISNA(VLOOKUP(A19,'Données projet'!$A$191:$I$211,3,0)),0,VLOOKUP(A19,'Données projet'!$A$191:$I$211,3,0))</f>
        <v>1</v>
      </c>
      <c r="ER19" s="15">
        <f>IF(ISNA(VLOOKUP(A19,'Données projet'!$A$191:$I$211,4,0)),0,VLOOKUP(A19,'Données projet'!$A$191:$I$211,4,0))</f>
        <v>15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0.22500000000000001</v>
      </c>
      <c r="EU19" s="16">
        <f>IF(ISNA(VLOOKUP(A19,'Données projet'!$A$191:$I$211,7,0)),0%,VLOOKUP(A19,'Données projet'!$A$191:$I$211,7,0))</f>
        <v>0.5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2.6667970095349296</v>
      </c>
      <c r="EX19" s="21">
        <f>EXP(-LN(2)/2)*EX18+(1-EXP(-LN(2)/2))/(LN(2)/2)*ER19*EU19*VLOOKUP('Données projet'!$B$15,Paramètres!$A$1:$I$89,3,0)*0.475*44/12</f>
        <v>5.0780618544061999</v>
      </c>
      <c r="EY19" s="22">
        <f t="shared" si="21"/>
        <v>7.7448588639411291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108.5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8.2666666666666675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4.4800000000000004</v>
      </c>
      <c r="FE19" s="12">
        <f>IF('Données projet'!$A$218&gt;35,FE18+FD19-FM18,IF(A19&lt;'Données projet'!$A$218,$FB$205^A19,IF(A19='Données projet'!$A$218,'Données projet'!$B$218,FE18+FD19-FM18)))</f>
        <v>20.487998539853823</v>
      </c>
      <c r="FF19" s="17">
        <f>FE19*VLOOKUP('Données projet'!$B$16,Paramètres!$A$1:$I$89,3,0)*VLOOKUP('Données projet'!$B$16,Paramètres!$A$1:$I$89,5,0)</f>
        <v>11.719135164796388</v>
      </c>
      <c r="FG19" s="13">
        <f t="shared" si="47"/>
        <v>4.0553485277104757</v>
      </c>
      <c r="FH19" s="20">
        <f t="shared" si="22"/>
        <v>27.473892431116116</v>
      </c>
      <c r="FI19" s="59">
        <f t="shared" si="23"/>
        <v>455.61833687556054</v>
      </c>
      <c r="FJ19" s="59">
        <f ca="1">AVERAGE(OFFSET($FI$3,0,0,'Données projet'!$E$16+1,1))-AVERAGE(OFFSET($H$3,0,0,'Données projet'!$E$16+1,1))</f>
        <v>242.10913976205194</v>
      </c>
      <c r="FK19" s="59">
        <f t="shared" si="48"/>
        <v>198.24795425321133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108.5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8.2666666666666675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108.5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8.2666666666666675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8.3140200000000011</v>
      </c>
      <c r="D20" s="11">
        <f t="shared" si="32"/>
        <v>2.9943124896946172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48.010815131685924</v>
      </c>
      <c r="H20" s="67">
        <f t="shared" si="1"/>
        <v>417.52867908621812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108.5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8.7833333333333332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4.75</v>
      </c>
      <c r="N20" s="13">
        <f>IF('Données projet'!$A$36&gt;35,N19+M20-V19,IF(A20&lt;'Données projet'!$A$36,$K$205^A20,IF(A20='Données projet'!$A$36,'Données projet'!$B$36,N19+M20-V19)))</f>
        <v>47.980532602494719</v>
      </c>
      <c r="O20" s="13">
        <f>N20*VLOOKUP('Données projet'!$B$9,Paramètres!$A$1:$I$89,3,0)*VLOOKUP('Données projet'!$B$9,Paramètres!$A$1:$I$89,5,0)</f>
        <v>38.92180804714372</v>
      </c>
      <c r="P20" s="13">
        <f t="shared" si="33"/>
        <v>11.712419133747929</v>
      </c>
      <c r="Q20" s="20">
        <f t="shared" si="2"/>
        <v>88.187945673386295</v>
      </c>
      <c r="R20" s="59">
        <f t="shared" si="0"/>
        <v>518.22683456227514</v>
      </c>
      <c r="S20" s="59">
        <f ca="1">AVERAGE(OFFSET($R$3,0,0,'Données projet'!$E$9+1,1))-AVERAGE(OFFSET($H$3,0,0,'Données projet'!$E$9+1,1))</f>
        <v>273.89826011924487</v>
      </c>
      <c r="T20" s="59">
        <f t="shared" si="34"/>
        <v>332.17519939974227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108.5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8.7833333333333332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7.9</v>
      </c>
      <c r="AI20" s="13">
        <f>IF('Données projet'!$A$62&gt;35,AI19+AH20-AQ19,IF(A20&lt;'Données projet'!$A$62,$AF$205^A20,IF(A20='Données projet'!$A$62,'Données projet'!$B$62,AI19+AH20-AQ19)))</f>
        <v>73.936437994095741</v>
      </c>
      <c r="AJ20" s="13">
        <f>AI20*VLOOKUP('Données projet'!$B$10,Paramètres!$A$1:$I$89,3,0)*VLOOKUP('Données projet'!$B$10,Paramètres!$A$1:$I$89,5,0)</f>
        <v>34.602252981236802</v>
      </c>
      <c r="AK20" s="13">
        <f t="shared" si="35"/>
        <v>10.556129086190376</v>
      </c>
      <c r="AL20" s="20">
        <f t="shared" si="4"/>
        <v>78.650848767435647</v>
      </c>
      <c r="AM20" s="59">
        <f t="shared" si="5"/>
        <v>508.6897376563245</v>
      </c>
      <c r="AN20" s="59">
        <f ca="1">AVERAGE(OFFSET($AM$3,0,0,'Données projet'!$E$10+1,1))-AVERAGE(OFFSET($H$3,0,0,'Données projet'!$E$10+1,1))</f>
        <v>293.42903587188346</v>
      </c>
      <c r="AO20" s="59">
        <f t="shared" si="36"/>
        <v>267.80827667062124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108.5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8.7833333333333332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21.692743883101215</v>
      </c>
      <c r="BF20" s="13">
        <f t="shared" si="37"/>
        <v>6.98746341685115</v>
      </c>
      <c r="BG20" s="20">
        <f t="shared" si="7"/>
        <v>49.951361047417038</v>
      </c>
      <c r="BH20" s="59">
        <f t="shared" si="8"/>
        <v>479.99024993630587</v>
      </c>
      <c r="BI20" s="59">
        <f ca="1">AVERAGE(OFFSET($BH$3,0,0,'Données projet'!$E$11+1,1))-AVERAGE(OFFSET($H$3,0,0,'Données projet'!$E$11+1,1))</f>
        <v>324.41828402031939</v>
      </c>
      <c r="BJ20" s="59">
        <f t="shared" si="38"/>
        <v>233.01060088065992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108.5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8.7833333333333332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14.1</v>
      </c>
      <c r="BY20" s="12">
        <f>IF('Données projet'!$A$114&gt;35,BY19+BX20-CG19,IF(A20&lt;'Données projet'!$A$114,$BV$205^A20,IF(A20='Données projet'!$A$114,'Données projet'!$B$114,BY19+BX20-CG19)))</f>
        <v>134.69999999999999</v>
      </c>
      <c r="BZ20" s="13">
        <f>BY20*VLOOKUP('Données projet'!$B$12,Paramètres!$A$1:$I$89,3,0)*VLOOKUP('Données projet'!$B$12,Paramètres!$A$1:$I$89,5,0)</f>
        <v>73.546199999999985</v>
      </c>
      <c r="CA20" s="13">
        <f t="shared" si="39"/>
        <v>20.551555184696866</v>
      </c>
      <c r="CB20" s="20">
        <f t="shared" si="10"/>
        <v>163.88692361334699</v>
      </c>
      <c r="CC20" s="59">
        <f t="shared" si="11"/>
        <v>593.92581250223589</v>
      </c>
      <c r="CD20" s="59">
        <f ca="1">AVERAGE(OFFSET($CC$3,0,0,'Données projet'!$E$12+1,1))-AVERAGE(OFFSET($H$3,0,0,'Données projet'!$E$12+1,1))</f>
        <v>279.00060755204919</v>
      </c>
      <c r="CE20" s="59">
        <f t="shared" si="40"/>
        <v>333.91128554211014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108.5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8.7833333333333332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7.6</v>
      </c>
      <c r="CT20" s="12">
        <f>IF('Données projet'!$A$140&gt;35,CT19+CS20-DB19,IF(A20&lt;'Données projet'!$A$140,$CQ$205^A20,IF(A20='Données projet'!$A$140,'Données projet'!$B$140,CT19+CS20-DB19)))</f>
        <v>71.542983916108128</v>
      </c>
      <c r="CU20" s="17">
        <f>CT20*VLOOKUP('Données projet'!$B$13,Paramètres!$A$1:$I$89,3,0)*VLOOKUP('Données projet'!$B$13,Paramètres!$A$1:$I$89,5,0)</f>
        <v>42.782704381832666</v>
      </c>
      <c r="CV20" s="13">
        <f t="shared" si="41"/>
        <v>12.73329134809511</v>
      </c>
      <c r="CW20" s="20">
        <f t="shared" si="13"/>
        <v>96.690359229624207</v>
      </c>
      <c r="CX20" s="59">
        <f t="shared" si="14"/>
        <v>526.72924811851306</v>
      </c>
      <c r="CY20" s="59">
        <f ca="1">AVERAGE(OFFSET($CX$3,0,0,'Données projet'!$E$13+1,1))-AVERAGE(OFFSET($H$3,0,0,'Données projet'!$E$13+1,1))</f>
        <v>380.01315081072897</v>
      </c>
      <c r="CZ20" s="59">
        <f t="shared" si="42"/>
        <v>404.90871625409181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108.5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8.7833333333333332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13.4</v>
      </c>
      <c r="DO20" s="12">
        <f>IF('Données projet'!$A$166&gt;35,DO19+DN20-DW19,IF(A20&lt;'Données projet'!$A$166,$DL$205^A20,IF(A20='Données projet'!$A$166,'Données projet'!$B$166,DO19+DN20-DW19)))</f>
        <v>162.79999999999998</v>
      </c>
      <c r="DP20" s="17">
        <f>DO20*VLOOKUP('Données projet'!$B$14,Paramètres!$A$1:$I$89,3,0)*VLOOKUP('Données projet'!$B$14,Paramètres!$A$1:$I$89,5,0)</f>
        <v>147.30143999999996</v>
      </c>
      <c r="DQ20" s="13">
        <f t="shared" si="43"/>
        <v>37.964681731408312</v>
      </c>
      <c r="DR20" s="20">
        <f t="shared" si="16"/>
        <v>322.67182868220272</v>
      </c>
      <c r="DS20" s="59">
        <f t="shared" si="17"/>
        <v>752.71071757109155</v>
      </c>
      <c r="DT20" s="59">
        <f ca="1">AVERAGE(OFFSET($DS$3,0,0,'Données projet'!$E$14+1,1))-AVERAGE(OFFSET($H$3,0,0,'Données projet'!$E$14+1,1))</f>
        <v>320.81451813551064</v>
      </c>
      <c r="DU20" s="59">
        <f t="shared" si="44"/>
        <v>522.80818268773976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6.33769445090108</v>
      </c>
      <c r="EC20" s="21">
        <f>EXP(-LN(2)/2)*EC19+(1-EXP(-LN(2)/2))/(LN(2)/2)*DW20*DZ20*VLOOKUP('Données projet'!$B$14,Paramètres!$A$1:$I$89,3,0)*0.475*44/12</f>
        <v>4.6248124821575871</v>
      </c>
      <c r="ED20" s="22">
        <f t="shared" si="18"/>
        <v>10.962506933058666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108.5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8.7833333333333332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13.25</v>
      </c>
      <c r="EJ20" s="12">
        <f>IF('Données projet'!$A$192&gt;35,EJ19+EI20-ER19,IF(A20&lt;'Données projet'!$A$192,$EG$205^A20,IF(A20='Données projet'!$A$192,'Données projet'!$B$192,EJ19+EI20-ER19)))</f>
        <v>79.25</v>
      </c>
      <c r="EK20" s="17">
        <f>EJ20*VLOOKUP('Données projet'!$B$15,Paramètres!$A$1:$I$89,3,0)*VLOOKUP('Données projet'!$B$15,Paramètres!$A$1:$I$89,5,0)</f>
        <v>47.391500000000001</v>
      </c>
      <c r="EL20" s="13">
        <f t="shared" si="45"/>
        <v>13.938016900926096</v>
      </c>
      <c r="EM20" s="20">
        <f t="shared" si="19"/>
        <v>106.81557526911295</v>
      </c>
      <c r="EN20" s="59">
        <f t="shared" si="20"/>
        <v>536.85446415800175</v>
      </c>
      <c r="EO20" s="59">
        <f ca="1">AVERAGE(OFFSET($EN$3,0,0,'Données projet'!$E$15+1,1))-AVERAGE(OFFSET($H$3,0,0,'Données projet'!$E$15+1,1))</f>
        <v>228.3393311631487</v>
      </c>
      <c r="EP20" s="59">
        <f t="shared" si="46"/>
        <v>266.26050497804033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2.5938733050684371</v>
      </c>
      <c r="EX20" s="21">
        <f>EXP(-LN(2)/2)*EX19+(1-EXP(-LN(2)/2))/(LN(2)/2)*ER20*EU20*VLOOKUP('Données projet'!$B$15,Paramètres!$A$1:$I$89,3,0)*0.475*44/12</f>
        <v>3.5907319725353588</v>
      </c>
      <c r="EY20" s="22">
        <f t="shared" si="21"/>
        <v>6.1846052776037954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108.5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8.7833333333333332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4.4800000000000004</v>
      </c>
      <c r="FE20" s="12">
        <f>IF('Données projet'!$A$218&gt;35,FE19+FD20-FM19,IF(A20&lt;'Données projet'!$A$218,$FB$205^A20,IF(A20='Données projet'!$A$218,'Données projet'!$B$218,FE19+FD20-FM19)))</f>
        <v>24.743905901169263</v>
      </c>
      <c r="FF20" s="17">
        <f>FE20*VLOOKUP('Données projet'!$B$16,Paramètres!$A$1:$I$89,3,0)*VLOOKUP('Données projet'!$B$16,Paramètres!$A$1:$I$89,5,0)</f>
        <v>14.153514175468819</v>
      </c>
      <c r="FG20" s="13">
        <f t="shared" si="47"/>
        <v>4.7913262791367854</v>
      </c>
      <c r="FH20" s="20">
        <f t="shared" si="22"/>
        <v>32.995597125104759</v>
      </c>
      <c r="FI20" s="59">
        <f t="shared" si="23"/>
        <v>463.03448601399361</v>
      </c>
      <c r="FJ20" s="59">
        <f ca="1">AVERAGE(OFFSET($FI$3,0,0,'Données projet'!$E$16+1,1))-AVERAGE(OFFSET($H$3,0,0,'Données projet'!$E$16+1,1))</f>
        <v>242.10913976205194</v>
      </c>
      <c r="FK20" s="59">
        <f t="shared" si="48"/>
        <v>198.24795425321133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108.5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8.7833333333333332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108.5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8.7833333333333332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8.8030800000000013</v>
      </c>
      <c r="D21" s="11">
        <f t="shared" si="32"/>
        <v>3.1494247811241762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50.74572205319388</v>
      </c>
      <c r="H21" s="67">
        <f t="shared" si="1"/>
        <v>418.65061249379124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108.5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9.3000000000000007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4.75</v>
      </c>
      <c r="N21" s="13">
        <f>IF('Données projet'!$A$36&gt;35,N20+M21-V20,IF(A21&lt;'Données projet'!$A$36,$K$205^A21,IF(A21='Données projet'!$A$36,'Données projet'!$B$36,N20+M21-V20)))</f>
        <v>60.249194467085609</v>
      </c>
      <c r="O21" s="13">
        <f>N21*VLOOKUP('Données projet'!$B$9,Paramètres!$A$1:$I$89,3,0)*VLOOKUP('Données projet'!$B$9,Paramètres!$A$1:$I$89,5,0)</f>
        <v>48.874146551699845</v>
      </c>
      <c r="P21" s="13">
        <f t="shared" si="33"/>
        <v>14.32261883487562</v>
      </c>
      <c r="Q21" s="20">
        <f t="shared" si="2"/>
        <v>110.06769971495227</v>
      </c>
      <c r="R21" s="59">
        <f t="shared" si="0"/>
        <v>542.00103304828565</v>
      </c>
      <c r="S21" s="59">
        <f ca="1">AVERAGE(OFFSET($R$3,0,0,'Données projet'!$E$9+1,1))-AVERAGE(OFFSET($H$3,0,0,'Données projet'!$E$9+1,1))</f>
        <v>273.89826011924487</v>
      </c>
      <c r="T21" s="59">
        <f t="shared" si="34"/>
        <v>332.17519939974227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108.5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9.3000000000000007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7.9</v>
      </c>
      <c r="AI21" s="13">
        <f>IF('Données projet'!$A$62&gt;35,AI20+AH21-AQ20,IF(A21&lt;'Données projet'!$A$62,$AF$205^A21,IF(A21='Données projet'!$A$62,'Données projet'!$B$62,AI20+AH21-AQ20)))</f>
        <v>95.233857990035276</v>
      </c>
      <c r="AJ21" s="13">
        <f>AI21*VLOOKUP('Données projet'!$B$10,Paramètres!$A$1:$I$89,3,0)*VLOOKUP('Données projet'!$B$10,Paramètres!$A$1:$I$89,5,0)</f>
        <v>44.569445539336513</v>
      </c>
      <c r="AK21" s="13">
        <f t="shared" si="35"/>
        <v>13.202049673437019</v>
      </c>
      <c r="AL21" s="20">
        <f t="shared" si="4"/>
        <v>100.61868749558056</v>
      </c>
      <c r="AM21" s="59">
        <f t="shared" si="5"/>
        <v>532.5520208289139</v>
      </c>
      <c r="AN21" s="59">
        <f ca="1">AVERAGE(OFFSET($AM$3,0,0,'Données projet'!$E$10+1,1))-AVERAGE(OFFSET($H$3,0,0,'Données projet'!$E$10+1,1))</f>
        <v>293.42903587188346</v>
      </c>
      <c r="AO21" s="59">
        <f t="shared" si="36"/>
        <v>267.80827667062124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108.5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9.3000000000000007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26.150316724543362</v>
      </c>
      <c r="BF21" s="13">
        <f t="shared" si="37"/>
        <v>8.2420396752158016</v>
      </c>
      <c r="BG21" s="20">
        <f t="shared" si="7"/>
        <v>59.900020729580547</v>
      </c>
      <c r="BH21" s="59">
        <f t="shared" si="8"/>
        <v>491.83335406291388</v>
      </c>
      <c r="BI21" s="59">
        <f ca="1">AVERAGE(OFFSET($BH$3,0,0,'Données projet'!$E$11+1,1))-AVERAGE(OFFSET($H$3,0,0,'Données projet'!$E$11+1,1))</f>
        <v>324.41828402031939</v>
      </c>
      <c r="BJ21" s="59">
        <f t="shared" si="38"/>
        <v>233.01060088065992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108.5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9.3000000000000007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14.1</v>
      </c>
      <c r="BY21" s="12">
        <f>IF('Données projet'!$A$114&gt;35,BY20+BX21-CG20,IF(A21&lt;'Données projet'!$A$114,$BV$205^A21,IF(A21='Données projet'!$A$114,'Données projet'!$B$114,BY20+BX21-CG20)))</f>
        <v>148.79999999999998</v>
      </c>
      <c r="BZ21" s="13">
        <f>BY21*VLOOKUP('Données projet'!$B$12,Paramètres!$A$1:$I$89,3,0)*VLOOKUP('Données projet'!$B$12,Paramètres!$A$1:$I$89,5,0)</f>
        <v>81.244799999999984</v>
      </c>
      <c r="CA21" s="13">
        <f t="shared" si="39"/>
        <v>22.441270156928962</v>
      </c>
      <c r="CB21" s="20">
        <f t="shared" si="10"/>
        <v>180.58657218998459</v>
      </c>
      <c r="CC21" s="59">
        <f t="shared" si="11"/>
        <v>612.5199055233179</v>
      </c>
      <c r="CD21" s="59">
        <f ca="1">AVERAGE(OFFSET($CC$3,0,0,'Données projet'!$E$12+1,1))-AVERAGE(OFFSET($H$3,0,0,'Données projet'!$E$12+1,1))</f>
        <v>279.00060755204919</v>
      </c>
      <c r="CE21" s="59">
        <f t="shared" si="40"/>
        <v>333.91128554211014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108.5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9.3000000000000007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7.6</v>
      </c>
      <c r="CT21" s="12">
        <f>IF('Données projet'!$A$140&gt;35,CT20+CS21-DB20,IF(A21&lt;'Données projet'!$A$140,$CQ$205^A21,IF(A21='Données projet'!$A$140,'Données projet'!$B$140,CT20+CS21-DB20)))</f>
        <v>91.972762070447317</v>
      </c>
      <c r="CU21" s="17">
        <f>CT21*VLOOKUP('Données projet'!$B$13,Paramètres!$A$1:$I$89,3,0)*VLOOKUP('Données projet'!$B$13,Paramètres!$A$1:$I$89,5,0)</f>
        <v>54.9997117181275</v>
      </c>
      <c r="CV21" s="13">
        <f t="shared" si="41"/>
        <v>15.897708368634639</v>
      </c>
      <c r="CW21" s="20">
        <f t="shared" si="13"/>
        <v>123.4796733177774</v>
      </c>
      <c r="CX21" s="59">
        <f t="shared" si="14"/>
        <v>555.41300665111078</v>
      </c>
      <c r="CY21" s="59">
        <f ca="1">AVERAGE(OFFSET($CX$3,0,0,'Données projet'!$E$13+1,1))-AVERAGE(OFFSET($H$3,0,0,'Données projet'!$E$13+1,1))</f>
        <v>380.01315081072897</v>
      </c>
      <c r="CZ21" s="59">
        <f t="shared" si="42"/>
        <v>404.90871625409181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108.5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9.3000000000000007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13.4</v>
      </c>
      <c r="DO21" s="12">
        <f>IF('Données projet'!$A$166&gt;35,DO20+DN21-DW20,IF(A21&lt;'Données projet'!$A$166,$DL$205^A21,IF(A21='Données projet'!$A$166,'Données projet'!$B$166,DO20+DN21-DW20)))</f>
        <v>176.2</v>
      </c>
      <c r="DP21" s="17">
        <f>DO21*VLOOKUP('Données projet'!$B$14,Paramètres!$A$1:$I$89,3,0)*VLOOKUP('Données projet'!$B$14,Paramètres!$A$1:$I$89,5,0)</f>
        <v>159.42575999999997</v>
      </c>
      <c r="DQ21" s="13">
        <f t="shared" si="43"/>
        <v>40.712966881186794</v>
      </c>
      <c r="DR21" s="20">
        <f t="shared" si="16"/>
        <v>348.57494931806696</v>
      </c>
      <c r="DS21" s="59">
        <f t="shared" si="17"/>
        <v>780.50828265140035</v>
      </c>
      <c r="DT21" s="59">
        <f ca="1">AVERAGE(OFFSET($DS$3,0,0,'Données projet'!$E$14+1,1))-AVERAGE(OFFSET($H$3,0,0,'Données projet'!$E$14+1,1))</f>
        <v>320.81451813551064</v>
      </c>
      <c r="DU21" s="59">
        <f t="shared" si="44"/>
        <v>522.80818268773976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6.1643898628563241</v>
      </c>
      <c r="EC21" s="21">
        <f>EXP(-LN(2)/2)*EC20+(1-EXP(-LN(2)/2))/(LN(2)/2)*DW21*DZ21*VLOOKUP('Données projet'!$B$14,Paramètres!$A$1:$I$89,3,0)*0.475*44/12</f>
        <v>3.2702362678498189</v>
      </c>
      <c r="ED21" s="22">
        <f t="shared" si="18"/>
        <v>9.4346261307061425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108.5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9.3000000000000007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13.25</v>
      </c>
      <c r="EJ21" s="12">
        <f>IF('Données projet'!$A$192&gt;35,EJ20+EI21-ER20,IF(A21&lt;'Données projet'!$A$192,$EG$205^A21,IF(A21='Données projet'!$A$192,'Données projet'!$B$192,EJ20+EI21-ER20)))</f>
        <v>92.5</v>
      </c>
      <c r="EK21" s="17">
        <f>EJ21*VLOOKUP('Données projet'!$B$15,Paramètres!$A$1:$I$89,3,0)*VLOOKUP('Données projet'!$B$15,Paramètres!$A$1:$I$89,5,0)</f>
        <v>55.315000000000005</v>
      </c>
      <c r="EL21" s="13">
        <f t="shared" si="45"/>
        <v>15.978207841877614</v>
      </c>
      <c r="EM21" s="20">
        <f t="shared" si="19"/>
        <v>124.16900365793684</v>
      </c>
      <c r="EN21" s="59">
        <f t="shared" si="20"/>
        <v>556.10233699127014</v>
      </c>
      <c r="EO21" s="59">
        <f ca="1">AVERAGE(OFFSET($EN$3,0,0,'Données projet'!$E$15+1,1))-AVERAGE(OFFSET($H$3,0,0,'Données projet'!$E$15+1,1))</f>
        <v>228.3393311631487</v>
      </c>
      <c r="EP21" s="59">
        <f t="shared" si="46"/>
        <v>266.26050497804033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2.5229437031354718</v>
      </c>
      <c r="EX21" s="21">
        <f>EXP(-LN(2)/2)*EX20+(1-EXP(-LN(2)/2))/(LN(2)/2)*ER21*EU21*VLOOKUP('Données projet'!$B$15,Paramètres!$A$1:$I$89,3,0)*0.475*44/12</f>
        <v>2.5390309272031004</v>
      </c>
      <c r="EY21" s="22">
        <f t="shared" si="21"/>
        <v>5.0619746303385718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108.5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9.3000000000000007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4.4800000000000004</v>
      </c>
      <c r="FE21" s="12">
        <f>IF('Données projet'!$A$218&gt;35,FE20+FD21-FM20,IF(A21&lt;'Données projet'!$A$218,$FB$205^A21,IF(A21='Données projet'!$A$218,'Données projet'!$B$218,FE20+FD21-FM20)))</f>
        <v>29.883879484613018</v>
      </c>
      <c r="FF21" s="17">
        <f>FE21*VLOOKUP('Données projet'!$B$16,Paramètres!$A$1:$I$89,3,0)*VLOOKUP('Données projet'!$B$16,Paramètres!$A$1:$I$89,5,0)</f>
        <v>17.093579065198647</v>
      </c>
      <c r="FG21" s="13">
        <f t="shared" si="47"/>
        <v>5.6608716504343075</v>
      </c>
      <c r="FH21" s="20">
        <f t="shared" si="22"/>
        <v>39.630668329727399</v>
      </c>
      <c r="FI21" s="59">
        <f t="shared" si="23"/>
        <v>471.56400166306071</v>
      </c>
      <c r="FJ21" s="59">
        <f ca="1">AVERAGE(OFFSET($FI$3,0,0,'Données projet'!$E$16+1,1))-AVERAGE(OFFSET($H$3,0,0,'Données projet'!$E$16+1,1))</f>
        <v>242.10913976205194</v>
      </c>
      <c r="FK21" s="59">
        <f t="shared" si="48"/>
        <v>198.24795425321133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108.5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9.3000000000000007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108.5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9.3000000000000007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9.2921400000000016</v>
      </c>
      <c r="D22" s="11">
        <f t="shared" si="32"/>
        <v>3.303536706126271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53.476381804957164</v>
      </c>
      <c r="H22" s="67">
        <f t="shared" si="1"/>
        <v>419.77080359650324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108.5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9.8166666666666664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4.75</v>
      </c>
      <c r="N22" s="13">
        <f>IF('Données projet'!$A$36&gt;35,N21+M22-V21,IF(A22&lt;'Données projet'!$A$36,$K$205^A22,IF(A22='Données projet'!$A$36,'Données projet'!$B$36,N21+M22-V21)))</f>
        <v>75.65496331618381</v>
      </c>
      <c r="O22" s="13">
        <f>N22*VLOOKUP('Données projet'!$B$9,Paramètres!$A$1:$I$89,3,0)*VLOOKUP('Données projet'!$B$9,Paramètres!$A$1:$I$89,5,0)</f>
        <v>61.371306242088309</v>
      </c>
      <c r="P22" s="13">
        <f t="shared" si="33"/>
        <v>17.514520949652077</v>
      </c>
      <c r="Q22" s="20">
        <f t="shared" si="2"/>
        <v>137.39281569228118</v>
      </c>
      <c r="R22" s="59">
        <f t="shared" si="0"/>
        <v>571.22059347005893</v>
      </c>
      <c r="S22" s="59">
        <f ca="1">AVERAGE(OFFSET($R$3,0,0,'Données projet'!$E$9+1,1))-AVERAGE(OFFSET($H$3,0,0,'Données projet'!$E$9+1,1))</f>
        <v>273.89826011924487</v>
      </c>
      <c r="T22" s="59">
        <f t="shared" si="34"/>
        <v>332.17519939974227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108.5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9.8166666666666664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7.9</v>
      </c>
      <c r="AI22" s="13">
        <f>IF('Données projet'!$A$62&gt;35,AI21+AH22-AQ21,IF(A22&lt;'Données projet'!$A$62,$AF$205^A22,IF(A22='Données projet'!$A$62,'Données projet'!$B$62,AI21+AH22-AQ21)))</f>
        <v>122.66600817840934</v>
      </c>
      <c r="AJ22" s="13">
        <f>AI22*VLOOKUP('Données projet'!$B$10,Paramètres!$A$1:$I$89,3,0)*VLOOKUP('Données projet'!$B$10,Paramètres!$A$1:$I$89,5,0)</f>
        <v>57.407691827495569</v>
      </c>
      <c r="AK22" s="13">
        <f t="shared" si="35"/>
        <v>16.511176981334152</v>
      </c>
      <c r="AL22" s="20">
        <f t="shared" si="4"/>
        <v>128.7420298420451</v>
      </c>
      <c r="AM22" s="59">
        <f t="shared" si="5"/>
        <v>562.56980761982288</v>
      </c>
      <c r="AN22" s="59">
        <f ca="1">AVERAGE(OFFSET($AM$3,0,0,'Données projet'!$E$10+1,1))-AVERAGE(OFFSET($H$3,0,0,'Données projet'!$E$10+1,1))</f>
        <v>293.42903587188346</v>
      </c>
      <c r="AO22" s="59">
        <f t="shared" si="36"/>
        <v>267.80827667062124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108.5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9.8166666666666664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31.52386201022027</v>
      </c>
      <c r="BF22" s="13">
        <f t="shared" si="37"/>
        <v>9.7218710074397983</v>
      </c>
      <c r="BG22" s="20">
        <f t="shared" si="7"/>
        <v>71.836318339091292</v>
      </c>
      <c r="BH22" s="59">
        <f t="shared" si="8"/>
        <v>505.66409611686908</v>
      </c>
      <c r="BI22" s="59">
        <f ca="1">AVERAGE(OFFSET($BH$3,0,0,'Données projet'!$E$11+1,1))-AVERAGE(OFFSET($H$3,0,0,'Données projet'!$E$11+1,1))</f>
        <v>324.41828402031939</v>
      </c>
      <c r="BJ22" s="59">
        <f t="shared" si="38"/>
        <v>233.01060088065992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108.5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9.8166666666666664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14.1</v>
      </c>
      <c r="BY22" s="12">
        <f>IF('Données projet'!$A$114&gt;35,BY21+BX22-CG21,IF(A22&lt;'Données projet'!$A$114,$BV$205^A22,IF(A22='Données projet'!$A$114,'Données projet'!$B$114,BY21+BX22-CG21)))</f>
        <v>162.89999999999998</v>
      </c>
      <c r="BZ22" s="13">
        <f>BY22*VLOOKUP('Données projet'!$B$12,Paramètres!$A$1:$I$89,3,0)*VLOOKUP('Données projet'!$B$12,Paramètres!$A$1:$I$89,5,0)</f>
        <v>88.943399999999997</v>
      </c>
      <c r="CA22" s="13">
        <f t="shared" si="39"/>
        <v>24.310223636565393</v>
      </c>
      <c r="CB22" s="20">
        <f t="shared" si="10"/>
        <v>197.25006116701806</v>
      </c>
      <c r="CC22" s="59">
        <f t="shared" si="11"/>
        <v>631.07783894479587</v>
      </c>
      <c r="CD22" s="59">
        <f ca="1">AVERAGE(OFFSET($CC$3,0,0,'Données projet'!$E$12+1,1))-AVERAGE(OFFSET($H$3,0,0,'Données projet'!$E$12+1,1))</f>
        <v>279.00060755204919</v>
      </c>
      <c r="CE22" s="59">
        <f t="shared" si="40"/>
        <v>333.91128554211014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108.5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9.8166666666666664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7.6</v>
      </c>
      <c r="CT22" s="12">
        <f>IF('Données projet'!$A$140&gt;35,CT21+CS22-DB21,IF(A22&lt;'Données projet'!$A$140,$CQ$205^A22,IF(A22='Données projet'!$A$140,'Données projet'!$B$140,CT21+CS22-DB21)))</f>
        <v>118.2364572993795</v>
      </c>
      <c r="CU22" s="17">
        <f>CT22*VLOOKUP('Données projet'!$B$13,Paramètres!$A$1:$I$89,3,0)*VLOOKUP('Données projet'!$B$13,Paramètres!$A$1:$I$89,5,0)</f>
        <v>70.705401465028942</v>
      </c>
      <c r="CV22" s="13">
        <f t="shared" si="41"/>
        <v>19.848531260691299</v>
      </c>
      <c r="CW22" s="20">
        <f t="shared" si="13"/>
        <v>157.71476616396276</v>
      </c>
      <c r="CX22" s="59">
        <f t="shared" si="14"/>
        <v>591.54254394174052</v>
      </c>
      <c r="CY22" s="59">
        <f ca="1">AVERAGE(OFFSET($CX$3,0,0,'Données projet'!$E$13+1,1))-AVERAGE(OFFSET($H$3,0,0,'Données projet'!$E$13+1,1))</f>
        <v>380.01315081072897</v>
      </c>
      <c r="CZ22" s="59">
        <f t="shared" si="42"/>
        <v>404.90871625409181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108.5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9.8166666666666664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13.4</v>
      </c>
      <c r="DO22" s="12">
        <f>IF('Données projet'!$A$166&gt;35,DO21+DN22-DW21,IF(A22&lt;'Données projet'!$A$166,$DL$205^A22,IF(A22='Données projet'!$A$166,'Données projet'!$B$166,DO21+DN22-DW21)))</f>
        <v>189.6</v>
      </c>
      <c r="DP22" s="17">
        <f>DO22*VLOOKUP('Données projet'!$B$14,Paramètres!$A$1:$I$89,3,0)*VLOOKUP('Données projet'!$B$14,Paramètres!$A$1:$I$89,5,0)</f>
        <v>171.55007999999998</v>
      </c>
      <c r="DQ22" s="13">
        <f t="shared" si="43"/>
        <v>43.437006330714055</v>
      </c>
      <c r="DR22" s="20">
        <f t="shared" si="16"/>
        <v>374.43584202599351</v>
      </c>
      <c r="DS22" s="59">
        <f t="shared" si="17"/>
        <v>808.26361980377123</v>
      </c>
      <c r="DT22" s="59">
        <f ca="1">AVERAGE(OFFSET($DS$3,0,0,'Données projet'!$E$14+1,1))-AVERAGE(OFFSET($H$3,0,0,'Données projet'!$E$14+1,1))</f>
        <v>320.81451813551064</v>
      </c>
      <c r="DU22" s="59">
        <f t="shared" si="44"/>
        <v>522.80818268773976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5.9958242978853438</v>
      </c>
      <c r="EC22" s="21">
        <f>EXP(-LN(2)/2)*EC21+(1-EXP(-LN(2)/2))/(LN(2)/2)*DW22*DZ22*VLOOKUP('Données projet'!$B$14,Paramètres!$A$1:$I$89,3,0)*0.475*44/12</f>
        <v>2.312406241078794</v>
      </c>
      <c r="ED22" s="22">
        <f t="shared" si="18"/>
        <v>8.3082305389641373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108.5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9.8166666666666664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13.25</v>
      </c>
      <c r="EJ22" s="12">
        <f>IF('Données projet'!$A$192&gt;35,EJ21+EI22-ER21,IF(A22&lt;'Données projet'!$A$192,$EG$205^A22,IF(A22='Données projet'!$A$192,'Données projet'!$B$192,EJ21+EI22-ER21)))</f>
        <v>105.75</v>
      </c>
      <c r="EK22" s="17">
        <f>EJ22*VLOOKUP('Données projet'!$B$15,Paramètres!$A$1:$I$89,3,0)*VLOOKUP('Données projet'!$B$15,Paramètres!$A$1:$I$89,5,0)</f>
        <v>63.238500000000009</v>
      </c>
      <c r="EL22" s="13">
        <f t="shared" si="45"/>
        <v>17.984541540394584</v>
      </c>
      <c r="EM22" s="20">
        <f t="shared" si="19"/>
        <v>141.46346401618726</v>
      </c>
      <c r="EN22" s="59">
        <f t="shared" si="20"/>
        <v>575.29124179396501</v>
      </c>
      <c r="EO22" s="59">
        <f ca="1">AVERAGE(OFFSET($EN$3,0,0,'Données projet'!$E$15+1,1))-AVERAGE(OFFSET($H$3,0,0,'Données projet'!$E$15+1,1))</f>
        <v>228.3393311631487</v>
      </c>
      <c r="EP22" s="59">
        <f t="shared" si="46"/>
        <v>266.26050497804033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2.4539536748973894</v>
      </c>
      <c r="EX22" s="21">
        <f>EXP(-LN(2)/2)*EX21+(1-EXP(-LN(2)/2))/(LN(2)/2)*ER22*EU22*VLOOKUP('Données projet'!$B$15,Paramètres!$A$1:$I$89,3,0)*0.475*44/12</f>
        <v>1.7953659862676796</v>
      </c>
      <c r="EY22" s="22">
        <f t="shared" si="21"/>
        <v>4.2493196611650692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108.5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9.8166666666666664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4.4800000000000004</v>
      </c>
      <c r="FE22" s="12">
        <f>IF('Données projet'!$A$218&gt;35,FE21+FD22-FM21,IF(A22&lt;'Données projet'!$A$218,$FB$205^A22,IF(A22='Données projet'!$A$218,'Données projet'!$B$218,FE21+FD22-FM21)))</f>
        <v>36.091563580052018</v>
      </c>
      <c r="FF22" s="17">
        <f>FE22*VLOOKUP('Données projet'!$B$16,Paramètres!$A$1:$I$89,3,0)*VLOOKUP('Données projet'!$B$16,Paramètres!$A$1:$I$89,5,0)</f>
        <v>20.644374367789755</v>
      </c>
      <c r="FG22" s="13">
        <f t="shared" si="47"/>
        <v>6.6882249247413448</v>
      </c>
      <c r="FH22" s="20">
        <f t="shared" si="22"/>
        <v>47.604277101158324</v>
      </c>
      <c r="FI22" s="59">
        <f t="shared" si="23"/>
        <v>481.43205487893613</v>
      </c>
      <c r="FJ22" s="59">
        <f ca="1">AVERAGE(OFFSET($FI$3,0,0,'Données projet'!$E$16+1,1))-AVERAGE(OFFSET($H$3,0,0,'Données projet'!$E$16+1,1))</f>
        <v>242.10913976205194</v>
      </c>
      <c r="FK22" s="59">
        <f t="shared" si="48"/>
        <v>198.24795425321133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108.5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9.8166666666666664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108.5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9.8166666666666664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9.7812000000000019</v>
      </c>
      <c r="D23" s="11">
        <f t="shared" si="32"/>
        <v>3.4567069199829916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56.203043414664648</v>
      </c>
      <c r="H23" s="67">
        <f t="shared" si="1"/>
        <v>420.8893545523037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108.5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10.333333333333334</v>
      </c>
      <c r="K23" s="12">
        <f>VLOOKUP(A23,'Données projet'!$A$35:$I$55,2,0)</f>
        <v>95</v>
      </c>
      <c r="L23" s="12">
        <f>VLOOKUP(A23,'Données projet'!$A$35:$I$55,9,0)</f>
        <v>4.75</v>
      </c>
      <c r="M23" s="12">
        <f t="array" ref="M23">INDEX(L:L,MIN(IF(ISNUMBER(L23:L219),ROW(L23:L219),"")))</f>
        <v>4.75</v>
      </c>
      <c r="N23" s="13">
        <f>IF('Données projet'!$A$36&gt;35,N22+M23-V22,IF(A23&lt;'Données projet'!$A$36,$K$205^A23,IF(A23='Données projet'!$A$36,'Données projet'!$B$36,N22+M23-V22)))</f>
        <v>95</v>
      </c>
      <c r="O23" s="13">
        <f>N23*VLOOKUP('Données projet'!$B$9,Paramètres!$A$1:$I$89,3,0)*VLOOKUP('Données projet'!$B$9,Paramètres!$A$1:$I$89,5,0)</f>
        <v>77.064000000000007</v>
      </c>
      <c r="P23" s="13">
        <f t="shared" si="33"/>
        <v>21.417762186678065</v>
      </c>
      <c r="Q23" s="20">
        <f t="shared" si="2"/>
        <v>171.52240247513097</v>
      </c>
      <c r="R23" s="59">
        <f t="shared" si="0"/>
        <v>607.24462469735317</v>
      </c>
      <c r="S23" s="59">
        <f ca="1">AVERAGE(OFFSET($R$3,0,0,'Données projet'!$E$9+1,1))-AVERAGE(OFFSET($H$3,0,0,'Données projet'!$E$9+1,1))</f>
        <v>273.89826011924487</v>
      </c>
      <c r="T23" s="59">
        <f t="shared" si="34"/>
        <v>332.17519939974227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0.1075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4.1289404005276058</v>
      </c>
      <c r="AB23" s="21">
        <f>EXP(-LN(2)/2)*AB22+(1-EXP(-LN(2)/2))/(LN(2)/2)*V23*Y23*VLOOKUP('Données projet'!$B$9,Paramètres!$A$1:$I$89,3,0)*0.475*44/12</f>
        <v>8.2279321061248272</v>
      </c>
      <c r="AC23" s="22">
        <f t="shared" si="3"/>
        <v>12.356872506652433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108.5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10.333333333333334</v>
      </c>
      <c r="AF23" s="12">
        <f>VLOOKUP(A23,'Données projet'!$A$61:$I$81,2,0)</f>
        <v>158</v>
      </c>
      <c r="AG23" s="12">
        <f>VLOOKUP(A23,'Données projet'!$A$61:$I$81,9,0)</f>
        <v>7.9</v>
      </c>
      <c r="AH23" s="12">
        <f t="array" ref="AH23">INDEX(AG:AG,MIN(IF(ISNUMBER(AG23:AG219),ROW(AG23:AG219),"")))</f>
        <v>7.9</v>
      </c>
      <c r="AI23" s="13">
        <f>IF('Données projet'!$A$62&gt;35,AI22+AH23-AQ22,IF(A23&lt;'Données projet'!$A$62,$AF$205^A23,IF(A23='Données projet'!$A$62,'Données projet'!$B$62,AI22+AH23-AQ22)))</f>
        <v>158</v>
      </c>
      <c r="AJ23" s="13">
        <f>AI23*VLOOKUP('Données projet'!$B$10,Paramètres!$A$1:$I$89,3,0)*VLOOKUP('Données projet'!$B$10,Paramètres!$A$1:$I$89,5,0)</f>
        <v>73.944000000000003</v>
      </c>
      <c r="AK23" s="13">
        <f t="shared" si="35"/>
        <v>20.649745460165708</v>
      </c>
      <c r="AL23" s="20">
        <f t="shared" si="4"/>
        <v>164.75077334312192</v>
      </c>
      <c r="AM23" s="59">
        <f t="shared" si="5"/>
        <v>600.47299556534404</v>
      </c>
      <c r="AN23" s="59">
        <f ca="1">AVERAGE(OFFSET($AM$3,0,0,'Données projet'!$E$10+1,1))-AVERAGE(OFFSET($H$3,0,0,'Données projet'!$E$10+1,1))</f>
        <v>293.42903587188346</v>
      </c>
      <c r="AO23" s="59">
        <f t="shared" si="36"/>
        <v>267.80827667062124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12.5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0.27500000000000002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2.1257077612234943</v>
      </c>
      <c r="AW23" s="21">
        <f>EXP(-LN(2)/2)*AW22+(1-EXP(-LN(2)/2))/(LN(2)/2)*AQ23*AT23*VLOOKUP('Données projet'!$B$10,Paramètres!$A$1:$I$89,3,0)*0.475*44/12</f>
        <v>3.3117794702649124</v>
      </c>
      <c r="AX23" s="21">
        <f t="shared" si="6"/>
        <v>5.4374872314884062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108.5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10.333333333333334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38.001600000000003</v>
      </c>
      <c r="BF23" s="13">
        <f t="shared" si="37"/>
        <v>11.467401227090512</v>
      </c>
      <c r="BG23" s="20">
        <f t="shared" si="7"/>
        <v>86.158510470515978</v>
      </c>
      <c r="BH23" s="59">
        <f t="shared" si="8"/>
        <v>521.88073269273809</v>
      </c>
      <c r="BI23" s="59">
        <f ca="1">AVERAGE(OFFSET($BH$3,0,0,'Données projet'!$E$11+1,1))-AVERAGE(OFFSET($H$3,0,0,'Données projet'!$E$11+1,1))</f>
        <v>324.41828402031939</v>
      </c>
      <c r="BJ23" s="59">
        <f t="shared" si="38"/>
        <v>233.01060088065992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108.5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10.333333333333334</v>
      </c>
      <c r="BV23" s="12">
        <f>VLOOKUP(A23,'Données projet'!$A$113:$I$133,2,0)</f>
        <v>177</v>
      </c>
      <c r="BW23" s="12">
        <f>VLOOKUP(A23,'Données projet'!$A$113:$I$133,9,0)</f>
        <v>14.1</v>
      </c>
      <c r="BX23" s="12">
        <f t="array" ref="BX23">INDEX(BW:BW,MIN(IF(ISNUMBER(BW23:BW219),ROW(BW23:BW219),"")))</f>
        <v>14.1</v>
      </c>
      <c r="BY23" s="12">
        <f>IF('Données projet'!$A$114&gt;35,BY22+BX23-CG22,IF(A23&lt;'Données projet'!$A$114,$BV$205^A23,IF(A23='Données projet'!$A$114,'Données projet'!$B$114,BY22+BX23-CG22)))</f>
        <v>176.99999999999997</v>
      </c>
      <c r="BZ23" s="13">
        <f>BY23*VLOOKUP('Données projet'!$B$12,Paramètres!$A$1:$I$89,3,0)*VLOOKUP('Données projet'!$B$12,Paramètres!$A$1:$I$89,5,0)</f>
        <v>96.641999999999996</v>
      </c>
      <c r="CA23" s="13">
        <f t="shared" si="39"/>
        <v>26.160416982548217</v>
      </c>
      <c r="CB23" s="20">
        <f t="shared" si="10"/>
        <v>213.88087624460479</v>
      </c>
      <c r="CC23" s="59">
        <f t="shared" si="11"/>
        <v>649.60309846682696</v>
      </c>
      <c r="CD23" s="59">
        <f ca="1">AVERAGE(OFFSET($CC$3,0,0,'Données projet'!$E$12+1,1))-AVERAGE(OFFSET($H$3,0,0,'Données projet'!$E$12+1,1))</f>
        <v>279.00060755204919</v>
      </c>
      <c r="CE23" s="59">
        <f t="shared" si="40"/>
        <v>333.91128554211014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81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17.531291645290491</v>
      </c>
      <c r="CM23" s="21">
        <f>EXP(-LN(2)/2)*CM22+(1-EXP(-LN(2)/2))/(LN(2)/2)*CG23*CJ23*VLOOKUP('Données projet'!$B$12,Paramètres!$A$1:$I$89,3,0)*0.475*44/12</f>
        <v>25.037052795202737</v>
      </c>
      <c r="CN23" s="22">
        <f t="shared" si="12"/>
        <v>42.568344440493227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108.5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10.333333333333334</v>
      </c>
      <c r="CQ23" s="12">
        <f>VLOOKUP(A23,'Données projet'!$A$139:$I$159,2,0)</f>
        <v>152</v>
      </c>
      <c r="CR23" s="12">
        <f>VLOOKUP(A23,'Données projet'!$A$139:$I$159,9,0)</f>
        <v>7.6</v>
      </c>
      <c r="CS23" s="12">
        <f t="array" ref="CS23">INDEX(CR:CR,MIN(IF(ISNUMBER(CR23:CR219),ROW(CR23:CR219),"")))</f>
        <v>7.6</v>
      </c>
      <c r="CT23" s="12">
        <f>IF('Données projet'!$A$140&gt;35,CT22+CS23-DB22,IF(A23&lt;'Données projet'!$A$140,$CQ$205^A23,IF(A23='Données projet'!$A$140,'Données projet'!$B$140,CT22+CS23-DB22)))</f>
        <v>152</v>
      </c>
      <c r="CU23" s="17">
        <f>CT23*VLOOKUP('Données projet'!$B$13,Paramètres!$A$1:$I$89,3,0)*VLOOKUP('Données projet'!$B$13,Paramètres!$A$1:$I$89,5,0)</f>
        <v>90.896000000000001</v>
      </c>
      <c r="CV23" s="13">
        <f t="shared" si="41"/>
        <v>24.781193872187952</v>
      </c>
      <c r="CW23" s="20">
        <f t="shared" si="13"/>
        <v>201.47111266072736</v>
      </c>
      <c r="CX23" s="59">
        <f t="shared" si="14"/>
        <v>637.19333488294956</v>
      </c>
      <c r="CY23" s="59">
        <f ca="1">AVERAGE(OFFSET($CX$3,0,0,'Données projet'!$E$13+1,1))-AVERAGE(OFFSET($H$3,0,0,'Données projet'!$E$13+1,1))</f>
        <v>380.01315081072897</v>
      </c>
      <c r="CZ23" s="59">
        <f t="shared" si="42"/>
        <v>404.90871625409181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0.22500000000000001</v>
      </c>
      <c r="DE23" s="16">
        <f>IF(ISNA(VLOOKUP(A23,'Données projet'!$A$139:$I$159,7,0)),0%,VLOOKUP(A23,'Données projet'!$A$139:$I$159,7,0))</f>
        <v>0.5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7.4670316266978034</v>
      </c>
      <c r="DH23" s="21">
        <f>EXP(-LN(2)/2)*DH22+(1-EXP(-LN(2)/2))/(LN(2)/2)*DB23*DE23*VLOOKUP('Données projet'!$B$13,Paramètres!$A$1:$I$89,3,0)*0.475*44/12</f>
        <v>14.21857319233736</v>
      </c>
      <c r="DI23" s="22">
        <f t="shared" si="15"/>
        <v>21.685604819035163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108.5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10.333333333333334</v>
      </c>
      <c r="DL23" s="12">
        <f>VLOOKUP(A23,'Données projet'!$A$165:$I$185,2,0)</f>
        <v>203</v>
      </c>
      <c r="DM23" s="12">
        <f>VLOOKUP(A23,'Données projet'!$A$165:$I$185,9,0)</f>
        <v>13.4</v>
      </c>
      <c r="DN23" s="12">
        <f t="array" ref="DN23">INDEX(DM:DM,MIN(IF(ISNUMBER(DM23:DM219),ROW(DM23:DM219),"")))</f>
        <v>13.4</v>
      </c>
      <c r="DO23" s="12">
        <f>IF('Données projet'!$A$166&gt;35,DO22+DN23-DW22,IF(A23&lt;'Données projet'!$A$166,$DL$205^A23,IF(A23='Données projet'!$A$166,'Données projet'!$B$166,DO22+DN23-DW22)))</f>
        <v>203</v>
      </c>
      <c r="DP23" s="17">
        <f>DO23*VLOOKUP('Données projet'!$B$14,Paramètres!$A$1:$I$89,3,0)*VLOOKUP('Données projet'!$B$14,Paramètres!$A$1:$I$89,5,0)</f>
        <v>183.67439999999999</v>
      </c>
      <c r="DQ23" s="13">
        <f t="shared" si="43"/>
        <v>46.138708549418673</v>
      </c>
      <c r="DR23" s="20">
        <f t="shared" si="16"/>
        <v>400.25783072357081</v>
      </c>
      <c r="DS23" s="59">
        <f t="shared" si="17"/>
        <v>835.98005294579298</v>
      </c>
      <c r="DT23" s="59">
        <f ca="1">AVERAGE(OFFSET($DS$3,0,0,'Données projet'!$E$14+1,1))-AVERAGE(OFFSET($H$3,0,0,'Données projet'!$E$14+1,1))</f>
        <v>320.81451813551064</v>
      </c>
      <c r="DU23" s="59">
        <f t="shared" si="44"/>
        <v>522.80818268773976</v>
      </c>
      <c r="DV23" s="15">
        <f>IF(ISNA(VLOOKUP(A23,'Données projet'!$A$165:$I$185,3,0)),0,VLOOKUP(A23,'Données projet'!$A$165:$I$185,3,0))</f>
        <v>4</v>
      </c>
      <c r="DW23" s="15">
        <f>IF(ISNA(VLOOKUP(A23,'Données projet'!$A$165:$I$185,4,0)),0,VLOOKUP(A23,'Données projet'!$A$165:$I$185,4,0))</f>
        <v>23</v>
      </c>
      <c r="DX23" s="16">
        <f>IF(ISNA(VLOOKUP(A23,'Données projet'!$A$165:$I$185,5,0)),0%,VLOOKUP(A23,'Données projet'!$A$165:$I$185,5,0)*VLOOKUP('Données projet'!$B$14,Paramètres!$A$1:$I$89,7,0))</f>
        <v>0.03</v>
      </c>
      <c r="DY23" s="16">
        <f>IF(ISNA(VLOOKUP(A23,'Données projet'!$A$165:$I$185,6,0)),0%,VLOOKUP(A23,'Données projet'!$A$165:$I$185,6,0)*VLOOKUP('Données projet'!$B$14,Paramètres!$A$1:$I$89,7,0))</f>
        <v>0.13500000000000001</v>
      </c>
      <c r="DZ23" s="16">
        <f>IF(ISNA(VLOOKUP(A23,'Données projet'!$A$165:$I$185,7,0)),0%,VLOOKUP(A23,'Données projet'!$A$165:$I$185,7,0))</f>
        <v>0.45</v>
      </c>
      <c r="EA23" s="21">
        <f>EXP(-LN(2)/35)*EA22+(1-EXP(-LN(2)/35))/(LN(2)/35)*DW23*DX23*VLOOKUP('Données projet'!$B$14,Paramètres!$A$1:$I$89,3,0)*0.475*44/12</f>
        <v>0.6901584235869751</v>
      </c>
      <c r="EB23" s="21">
        <f>EXP(-LN(2)/25)*EB22+(1-EXP(-LN(2)/25))/(LN(2)/25)*Calculateur!DW23*Calculateur!DY23*VLOOKUP('Données projet'!$B$14,Paramètres!$A$1:$I$89,3,0)*0.475*44/12</f>
        <v>8.9253526982134908</v>
      </c>
      <c r="EC23" s="21">
        <f>EXP(-LN(2)/2)*EC22+(1-EXP(-LN(2)/2))/(LN(2)/2)*DW23*DZ23*VLOOKUP('Données projet'!$B$14,Paramètres!$A$1:$I$89,3,0)*0.475*44/12</f>
        <v>10.470945760591697</v>
      </c>
      <c r="ED23" s="22">
        <f t="shared" si="18"/>
        <v>20.086456882392163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108.5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10.333333333333334</v>
      </c>
      <c r="EG23" s="12">
        <f>VLOOKUP(A23,'Données projet'!$A$191:$I$211,2,0)</f>
        <v>119</v>
      </c>
      <c r="EH23" s="12">
        <f>VLOOKUP(A23,'Données projet'!$A$191:$I$211,9,0)</f>
        <v>13.25</v>
      </c>
      <c r="EI23" s="12">
        <f t="array" ref="EI23">INDEX(EH:EH,MIN(IF(ISNUMBER(EH23:EH219),ROW(EH23:EH219),"")))</f>
        <v>13.25</v>
      </c>
      <c r="EJ23" s="12">
        <f>IF('Données projet'!$A$192&gt;35,EJ22+EI23-ER22,IF(A23&lt;'Données projet'!$A$192,$EG$205^A23,IF(A23='Données projet'!$A$192,'Données projet'!$B$192,EJ22+EI23-ER22)))</f>
        <v>119</v>
      </c>
      <c r="EK23" s="17">
        <f>EJ23*VLOOKUP('Données projet'!$B$15,Paramètres!$A$1:$I$89,3,0)*VLOOKUP('Données projet'!$B$15,Paramètres!$A$1:$I$89,5,0)</f>
        <v>71.162000000000006</v>
      </c>
      <c r="EL23" s="13">
        <f t="shared" si="45"/>
        <v>19.961746043676346</v>
      </c>
      <c r="EM23" s="20">
        <f t="shared" si="19"/>
        <v>158.70719102606964</v>
      </c>
      <c r="EN23" s="59">
        <f t="shared" si="20"/>
        <v>594.42941324829178</v>
      </c>
      <c r="EO23" s="59">
        <f ca="1">AVERAGE(OFFSET($EN$3,0,0,'Données projet'!$E$15+1,1))-AVERAGE(OFFSET($H$3,0,0,'Données projet'!$E$15+1,1))</f>
        <v>228.3393311631487</v>
      </c>
      <c r="EP23" s="59">
        <f t="shared" si="46"/>
        <v>266.26050497804033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22</v>
      </c>
      <c r="ES23" s="16">
        <f>IF(ISNA(VLOOKUP(A23,'Données projet'!$A$191:$I$211,5,0)),0%,VLOOKUP(A23,'Données projet'!$A$191:$I$211,5,0)*VLOOKUP('Données projet'!$B$15,Paramètres!$A$1:$I$89,7,0))</f>
        <v>4.5000000000000005E-2</v>
      </c>
      <c r="ET23" s="16">
        <f>IF(ISNA(VLOOKUP(A23,'Données projet'!$A$191:$I$211,6,0)),0%,VLOOKUP(A23,'Données projet'!$A$191:$I$211,6,0)*VLOOKUP('Données projet'!$B$15,Paramètres!$A$1:$I$89,7,0))</f>
        <v>0.20250000000000001</v>
      </c>
      <c r="EU23" s="16">
        <f>IF(ISNA(VLOOKUP(A23,'Données projet'!$A$191:$I$211,7,0)),0%,VLOOKUP(A23,'Données projet'!$A$191:$I$211,7,0))</f>
        <v>0.45</v>
      </c>
      <c r="EV23" s="21">
        <f>EXP(-LN(2)/35)*EV22+(1-EXP(-LN(2)/35))/(LN(2)/35)*ER23*ES23*VLOOKUP('Données projet'!$B$15,Paramètres!$A$1:$I$89,3,0)*0.475*44/12</f>
        <v>0.78535268890931675</v>
      </c>
      <c r="EW23" s="21">
        <f>EXP(-LN(2)/25)*EW22+(1-EXP(-LN(2)/25))/(LN(2)/25)*Calculateur!ER23*Calculateur!ET23*VLOOKUP('Données projet'!$B$15,Paramètres!$A$1:$I$89,3,0)*0.475*44/12</f>
        <v>5.9070222351956119</v>
      </c>
      <c r="EX23" s="21">
        <f>EXP(-LN(2)/2)*EX22+(1-EXP(-LN(2)/2))/(LN(2)/2)*ER23*EU23*VLOOKUP('Données projet'!$B$15,Paramètres!$A$1:$I$89,3,0)*0.475*44/12</f>
        <v>7.9725571114177329</v>
      </c>
      <c r="EY23" s="22">
        <f t="shared" si="21"/>
        <v>14.664932035522661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108.5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10.333333333333334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4.4800000000000004</v>
      </c>
      <c r="FE23" s="12">
        <f>IF('Données projet'!$A$218&gt;35,FE22+FD23-FM22,IF(A23&lt;'Données projet'!$A$218,$FB$205^A23,IF(A23='Données projet'!$A$218,'Données projet'!$B$218,FE22+FD23-FM22)))</f>
        <v>43.588750326865579</v>
      </c>
      <c r="FF23" s="17">
        <f>FE23*VLOOKUP('Données projet'!$B$16,Paramètres!$A$1:$I$89,3,0)*VLOOKUP('Données projet'!$B$16,Paramètres!$A$1:$I$89,5,0)</f>
        <v>24.932765186967114</v>
      </c>
      <c r="FG23" s="13">
        <f t="shared" si="47"/>
        <v>7.9020255900872494</v>
      </c>
      <c r="FH23" s="20">
        <f t="shared" si="22"/>
        <v>57.187260603369687</v>
      </c>
      <c r="FI23" s="59">
        <f t="shared" si="23"/>
        <v>492.90948282559185</v>
      </c>
      <c r="FJ23" s="59">
        <f ca="1">AVERAGE(OFFSET($FI$3,0,0,'Données projet'!$E$16+1,1))-AVERAGE(OFFSET($H$3,0,0,'Données projet'!$E$16+1,1))</f>
        <v>242.10913976205194</v>
      </c>
      <c r="FK23" s="59">
        <f t="shared" si="48"/>
        <v>198.24795425321133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108.5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10.333333333333334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108.5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10.333333333333334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10.270260000000002</v>
      </c>
      <c r="D24" s="11">
        <f t="shared" si="32"/>
        <v>3.6089878811074958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58.925929600491486</v>
      </c>
      <c r="H24" s="67">
        <f t="shared" si="1"/>
        <v>422.0063567262622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108.5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10.850000000000001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12.2</v>
      </c>
      <c r="N24" s="13">
        <f>IF('Données projet'!$A$36&gt;35,N23+M24-V23,IF(A24&lt;'Données projet'!$A$36,$K$205^A24,IF(A24='Données projet'!$A$36,'Données projet'!$B$36,N23+M24-V23)))</f>
        <v>64.2</v>
      </c>
      <c r="O24" s="13">
        <f>N24*VLOOKUP('Données projet'!$B$9,Paramètres!$A$1:$I$89,3,0)*VLOOKUP('Données projet'!$B$9,Paramètres!$A$1:$I$89,5,0)</f>
        <v>52.079039999999999</v>
      </c>
      <c r="P24" s="13">
        <f t="shared" si="33"/>
        <v>15.149401133573162</v>
      </c>
      <c r="Q24" s="20">
        <f t="shared" si="2"/>
        <v>117.08953497430657</v>
      </c>
      <c r="R24" s="59">
        <f t="shared" si="0"/>
        <v>554.70620164097318</v>
      </c>
      <c r="S24" s="59">
        <f ca="1">AVERAGE(OFFSET($R$3,0,0,'Données projet'!$E$9+1,1))-AVERAGE(OFFSET($H$3,0,0,'Données projet'!$E$9+1,1))</f>
        <v>273.89826011924487</v>
      </c>
      <c r="T24" s="59">
        <f t="shared" si="34"/>
        <v>332.17519939974227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4.0160343081436398</v>
      </c>
      <c r="AB24" s="21">
        <f>EXP(-LN(2)/2)*AB23+(1-EXP(-LN(2)/2))/(LN(2)/2)*V24*Y24*VLOOKUP('Données projet'!$B$9,Paramètres!$A$1:$I$89,3,0)*0.475*44/12</f>
        <v>5.8180265873833781</v>
      </c>
      <c r="AC24" s="22">
        <f t="shared" si="3"/>
        <v>9.834060895527017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108.5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10.850000000000001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9.1999999999999993</v>
      </c>
      <c r="AI24" s="13">
        <f>IF('Données projet'!$A$62&gt;35,AI23+AH24-AQ23,IF(A24&lt;'Données projet'!$A$62,$AF$205^A24,IF(A24='Données projet'!$A$62,'Données projet'!$B$62,AI23+AH24-AQ23)))</f>
        <v>154.69999999999999</v>
      </c>
      <c r="AJ24" s="13">
        <f>AI24*VLOOKUP('Données projet'!$B$10,Paramètres!$A$1:$I$89,3,0)*VLOOKUP('Données projet'!$B$10,Paramètres!$A$1:$I$89,5,0)</f>
        <v>72.399599999999992</v>
      </c>
      <c r="AK24" s="13">
        <f t="shared" si="35"/>
        <v>20.268188832715463</v>
      </c>
      <c r="AL24" s="20">
        <f t="shared" si="4"/>
        <v>161.3963988836461</v>
      </c>
      <c r="AM24" s="59">
        <f t="shared" si="5"/>
        <v>599.01306555031272</v>
      </c>
      <c r="AN24" s="59">
        <f ca="1">AVERAGE(OFFSET($AM$3,0,0,'Données projet'!$E$10+1,1))-AVERAGE(OFFSET($H$3,0,0,'Données projet'!$E$10+1,1))</f>
        <v>293.42903587188346</v>
      </c>
      <c r="AO24" s="59">
        <f t="shared" si="36"/>
        <v>267.80827667062124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2.0675801707067252</v>
      </c>
      <c r="AW24" s="21">
        <f>EXP(-LN(2)/2)*AW23+(1-EXP(-LN(2)/2))/(LN(2)/2)*AQ24*AT24*VLOOKUP('Données projet'!$B$10,Paramètres!$A$1:$I$89,3,0)*0.475*44/12</f>
        <v>2.341781721218712</v>
      </c>
      <c r="AX24" s="21">
        <f t="shared" si="6"/>
        <v>4.4093618919254371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108.5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10.850000000000001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6.3</v>
      </c>
      <c r="BD24" s="12">
        <f>IF('Données projet'!$A$88&gt;35,BD23+BC24-BL23,IF(A24&lt;'Données projet'!$A$88,$BA$205^A24,IF(A24='Données projet'!$A$88,'Données projet'!$B$88,BD23+BC24-BL23)))</f>
        <v>48.3</v>
      </c>
      <c r="BE24" s="13">
        <f>BD24*VLOOKUP('Données projet'!$B$11,Paramètres!$A$1:$I$89,3,0)*VLOOKUP('Données projet'!$B$11,Paramètres!$A$1:$I$89,5,0)</f>
        <v>43.701839999999997</v>
      </c>
      <c r="BF24" s="13">
        <f t="shared" si="37"/>
        <v>12.974708810432297</v>
      </c>
      <c r="BG24" s="20">
        <f t="shared" si="7"/>
        <v>98.711655844836244</v>
      </c>
      <c r="BH24" s="59">
        <f t="shared" si="8"/>
        <v>536.32832251150285</v>
      </c>
      <c r="BI24" s="59">
        <f ca="1">AVERAGE(OFFSET($BH$3,0,0,'Données projet'!$E$11+1,1))-AVERAGE(OFFSET($H$3,0,0,'Données projet'!$E$11+1,1))</f>
        <v>324.41828402031939</v>
      </c>
      <c r="BJ24" s="59">
        <f t="shared" si="38"/>
        <v>233.01060088065992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108.5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10.850000000000001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16.399999999999999</v>
      </c>
      <c r="BY24" s="12">
        <f>IF('Données projet'!$A$114&gt;35,BY23+BX24-CG23,IF(A24&lt;'Données projet'!$A$114,$BV$205^A24,IF(A24='Données projet'!$A$114,'Données projet'!$B$114,BY23+BX24-CG23)))</f>
        <v>112.39999999999998</v>
      </c>
      <c r="BZ24" s="13">
        <f>BY24*VLOOKUP('Données projet'!$B$12,Paramètres!$A$1:$I$89,3,0)*VLOOKUP('Données projet'!$B$12,Paramètres!$A$1:$I$89,5,0)</f>
        <v>61.370399999999989</v>
      </c>
      <c r="CA24" s="13">
        <f t="shared" si="39"/>
        <v>17.514292424921972</v>
      </c>
      <c r="CB24" s="20">
        <f t="shared" si="10"/>
        <v>137.39083930673908</v>
      </c>
      <c r="CC24" s="59">
        <f t="shared" si="11"/>
        <v>575.00750597340573</v>
      </c>
      <c r="CD24" s="59">
        <f ca="1">AVERAGE(OFFSET($CC$3,0,0,'Données projet'!$E$12+1,1))-AVERAGE(OFFSET($H$3,0,0,'Données projet'!$E$12+1,1))</f>
        <v>279.00060755204919</v>
      </c>
      <c r="CE24" s="59">
        <f t="shared" si="40"/>
        <v>333.91128554211014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17.051897553319463</v>
      </c>
      <c r="CM24" s="21">
        <f>EXP(-LN(2)/2)*CM23+(1-EXP(-LN(2)/2))/(LN(2)/2)*CG24*CJ24*VLOOKUP('Données projet'!$B$12,Paramètres!$A$1:$I$89,3,0)*0.475*44/12</f>
        <v>17.703869812413462</v>
      </c>
      <c r="CN24" s="22">
        <f t="shared" si="12"/>
        <v>34.755767365732922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108.5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10.850000000000001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18.3</v>
      </c>
      <c r="CT24" s="12">
        <f>IF('Données projet'!$A$140&gt;35,CT23+CS24-DB23,IF(A24&lt;'Données projet'!$A$140,$CQ$205^A24,IF(A24='Données projet'!$A$140,'Données projet'!$B$140,CT23+CS24-DB23)))</f>
        <v>128.30000000000001</v>
      </c>
      <c r="CU24" s="17">
        <f>CT24*VLOOKUP('Données projet'!$B$13,Paramètres!$A$1:$I$89,3,0)*VLOOKUP('Données projet'!$B$13,Paramètres!$A$1:$I$89,5,0)</f>
        <v>76.723400000000012</v>
      </c>
      <c r="CV24" s="13">
        <f t="shared" si="41"/>
        <v>21.334098927773212</v>
      </c>
      <c r="CW24" s="20">
        <f t="shared" si="13"/>
        <v>170.78347729920503</v>
      </c>
      <c r="CX24" s="59">
        <f t="shared" si="14"/>
        <v>608.40014396587162</v>
      </c>
      <c r="CY24" s="59">
        <f ca="1">AVERAGE(OFFSET($CX$3,0,0,'Données projet'!$E$13+1,1))-AVERAGE(OFFSET($H$3,0,0,'Données projet'!$E$13+1,1))</f>
        <v>380.01315081072897</v>
      </c>
      <c r="CZ24" s="59">
        <f t="shared" si="42"/>
        <v>404.90871625409181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7.2628452541916246</v>
      </c>
      <c r="DH24" s="21">
        <f>EXP(-LN(2)/2)*DH23+(1-EXP(-LN(2)/2))/(LN(2)/2)*DB24*DE24*VLOOKUP('Données projet'!$B$13,Paramètres!$A$1:$I$89,3,0)*0.475*44/12</f>
        <v>10.054049523099005</v>
      </c>
      <c r="DI24" s="22">
        <f t="shared" si="15"/>
        <v>17.316894777290628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108.5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10.850000000000001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10.6</v>
      </c>
      <c r="DO24" s="12">
        <f>IF('Données projet'!$A$166&gt;35,DO23+DN24-DW23,IF(A24&lt;'Données projet'!$A$166,$DL$205^A24,IF(A24='Données projet'!$A$166,'Données projet'!$B$166,DO23+DN24-DW23)))</f>
        <v>190.6</v>
      </c>
      <c r="DP24" s="17">
        <f>DO24*VLOOKUP('Données projet'!$B$14,Paramètres!$A$1:$I$89,3,0)*VLOOKUP('Données projet'!$B$14,Paramètres!$A$1:$I$89,5,0)</f>
        <v>172.45487999999997</v>
      </c>
      <c r="DQ24" s="13">
        <f t="shared" si="43"/>
        <v>43.639375425453842</v>
      </c>
      <c r="DR24" s="20">
        <f t="shared" si="16"/>
        <v>376.36416153266538</v>
      </c>
      <c r="DS24" s="59">
        <f t="shared" si="17"/>
        <v>813.980828199332</v>
      </c>
      <c r="DT24" s="59">
        <f ca="1">AVERAGE(OFFSET($DS$3,0,0,'Données projet'!$E$14+1,1))-AVERAGE(OFFSET($H$3,0,0,'Données projet'!$E$14+1,1))</f>
        <v>320.81451813551064</v>
      </c>
      <c r="DU24" s="59">
        <f t="shared" si="44"/>
        <v>522.80818268773976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0.67662483785550709</v>
      </c>
      <c r="EB24" s="21">
        <f>EXP(-LN(2)/25)*EB23+(1-EXP(-LN(2)/25))/(LN(2)/25)*Calculateur!DW24*Calculateur!DY24*VLOOKUP('Données projet'!$B$14,Paramètres!$A$1:$I$89,3,0)*0.475*44/12</f>
        <v>8.6812884593169439</v>
      </c>
      <c r="EC24" s="21">
        <f>EXP(-LN(2)/2)*EC23+(1-EXP(-LN(2)/2))/(LN(2)/2)*DW24*DZ24*VLOOKUP('Données projet'!$B$14,Paramètres!$A$1:$I$89,3,0)*0.475*44/12</f>
        <v>7.404076752750921</v>
      </c>
      <c r="ED24" s="22">
        <f t="shared" si="18"/>
        <v>16.761990049923373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108.5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10.850000000000001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15</v>
      </c>
      <c r="EJ24" s="12">
        <f>IF('Données projet'!$A$192&gt;35,EJ23+EI24-ER23,IF(A24&lt;'Données projet'!$A$192,$EG$205^A24,IF(A24='Données projet'!$A$192,'Données projet'!$B$192,EJ23+EI24-ER23)))</f>
        <v>112</v>
      </c>
      <c r="EK24" s="17">
        <f>EJ24*VLOOKUP('Données projet'!$B$15,Paramètres!$A$1:$I$89,3,0)*VLOOKUP('Données projet'!$B$15,Paramètres!$A$1:$I$89,5,0)</f>
        <v>66.976000000000013</v>
      </c>
      <c r="EL24" s="13">
        <f t="shared" si="45"/>
        <v>18.920572617446965</v>
      </c>
      <c r="EM24" s="20">
        <f t="shared" si="19"/>
        <v>149.60319730872013</v>
      </c>
      <c r="EN24" s="59">
        <f t="shared" si="20"/>
        <v>587.21986397538672</v>
      </c>
      <c r="EO24" s="59">
        <f ca="1">AVERAGE(OFFSET($EN$3,0,0,'Données projet'!$E$15+1,1))-AVERAGE(OFFSET($H$3,0,0,'Données projet'!$E$15+1,1))</f>
        <v>228.3393311631487</v>
      </c>
      <c r="EP24" s="59">
        <f t="shared" si="46"/>
        <v>266.26050497804033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0.76995240169764623</v>
      </c>
      <c r="EW24" s="21">
        <f>EXP(-LN(2)/25)*EW23+(1-EXP(-LN(2)/25))/(LN(2)/25)*Calculateur!ER24*Calculateur!ET24*VLOOKUP('Données projet'!$B$15,Paramètres!$A$1:$I$89,3,0)*0.475*44/12</f>
        <v>5.745494401537389</v>
      </c>
      <c r="EX24" s="21">
        <f>EXP(-LN(2)/2)*EX23+(1-EXP(-LN(2)/2))/(LN(2)/2)*ER24*EU24*VLOOKUP('Données projet'!$B$15,Paramètres!$A$1:$I$89,3,0)*0.475*44/12</f>
        <v>5.6374491968805129</v>
      </c>
      <c r="EY24" s="22">
        <f t="shared" si="21"/>
        <v>12.152896000115547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108.5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10.850000000000001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4.4800000000000004</v>
      </c>
      <c r="FE24" s="12">
        <f>IF('Données projet'!$A$218&gt;35,FE23+FD24-FM23,IF(A24&lt;'Données projet'!$A$218,$FB$205^A24,IF(A24='Données projet'!$A$218,'Données projet'!$B$218,FE23+FD24-FM23)))</f>
        <v>52.643304046487792</v>
      </c>
      <c r="FF24" s="17">
        <f>FE24*VLOOKUP('Données projet'!$B$16,Paramètres!$A$1:$I$89,3,0)*VLOOKUP('Données projet'!$B$16,Paramètres!$A$1:$I$89,5,0)</f>
        <v>30.111969914591018</v>
      </c>
      <c r="FG24" s="13">
        <f t="shared" si="47"/>
        <v>9.3361107213075112</v>
      </c>
      <c r="FH24" s="20">
        <f t="shared" si="22"/>
        <v>68.705407107523271</v>
      </c>
      <c r="FI24" s="59">
        <f t="shared" si="23"/>
        <v>506.3220737741899</v>
      </c>
      <c r="FJ24" s="59">
        <f ca="1">AVERAGE(OFFSET($FI$3,0,0,'Données projet'!$E$16+1,1))-AVERAGE(OFFSET($H$3,0,0,'Données projet'!$E$16+1,1))</f>
        <v>242.10913976205194</v>
      </c>
      <c r="FK24" s="59">
        <f t="shared" si="48"/>
        <v>198.24795425321133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108.5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10.850000000000001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108.5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10.850000000000001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10.759320000000002</v>
      </c>
      <c r="D25" s="11">
        <f t="shared" si="32"/>
        <v>3.7604267695692366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61.645240670802735</v>
      </c>
      <c r="H25" s="67">
        <f t="shared" si="1"/>
        <v>423.12189229033305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108.5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11.366666666666667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12.2</v>
      </c>
      <c r="N25" s="13">
        <f>IF('Données projet'!$A$36&gt;35,N24+M25-V24,IF(A25&lt;'Données projet'!$A$36,$K$205^A25,IF(A25='Données projet'!$A$36,'Données projet'!$B$36,N24+M25-V24)))</f>
        <v>76.400000000000006</v>
      </c>
      <c r="O25" s="13">
        <f>N25*VLOOKUP('Données projet'!$B$9,Paramètres!$A$1:$I$89,3,0)*VLOOKUP('Données projet'!$B$9,Paramètres!$A$1:$I$89,5,0)</f>
        <v>61.975680000000004</v>
      </c>
      <c r="P25" s="13">
        <f t="shared" si="33"/>
        <v>17.666837160010601</v>
      </c>
      <c r="Q25" s="20">
        <f t="shared" si="2"/>
        <v>138.71071738701849</v>
      </c>
      <c r="R25" s="59">
        <f t="shared" si="0"/>
        <v>578.22182849812964</v>
      </c>
      <c r="S25" s="59">
        <f ca="1">AVERAGE(OFFSET($R$3,0,0,'Données projet'!$E$9+1,1))-AVERAGE(OFFSET($H$3,0,0,'Données projet'!$E$9+1,1))</f>
        <v>273.89826011924487</v>
      </c>
      <c r="T25" s="59">
        <f t="shared" si="34"/>
        <v>332.17519939974227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3.9062156387933866</v>
      </c>
      <c r="AB25" s="21">
        <f>EXP(-LN(2)/2)*AB24+(1-EXP(-LN(2)/2))/(LN(2)/2)*V25*Y25*VLOOKUP('Données projet'!$B$9,Paramètres!$A$1:$I$89,3,0)*0.475*44/12</f>
        <v>4.1139660530624145</v>
      </c>
      <c r="AC25" s="22">
        <f t="shared" si="3"/>
        <v>8.0201816918558002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108.5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11.366666666666667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9.1999999999999993</v>
      </c>
      <c r="AI25" s="13">
        <f>IF('Données projet'!$A$62&gt;35,AI24+AH25-AQ24,IF(A25&lt;'Données projet'!$A$62,$AF$205^A25,IF(A25='Données projet'!$A$62,'Données projet'!$B$62,AI24+AH25-AQ24)))</f>
        <v>163.89999999999998</v>
      </c>
      <c r="AJ25" s="13">
        <f>AI25*VLOOKUP('Données projet'!$B$10,Paramètres!$A$1:$I$89,3,0)*VLOOKUP('Données projet'!$B$10,Paramètres!$A$1:$I$89,5,0)</f>
        <v>76.705199999999991</v>
      </c>
      <c r="AK25" s="13">
        <f t="shared" si="35"/>
        <v>21.32962715676695</v>
      </c>
      <c r="AL25" s="20">
        <f t="shared" si="4"/>
        <v>170.74399063136909</v>
      </c>
      <c r="AM25" s="59">
        <f t="shared" si="5"/>
        <v>610.25510174248018</v>
      </c>
      <c r="AN25" s="59">
        <f ca="1">AVERAGE(OFFSET($AM$3,0,0,'Données projet'!$E$10+1,1))-AVERAGE(OFFSET($H$3,0,0,'Données projet'!$E$10+1,1))</f>
        <v>293.42903587188346</v>
      </c>
      <c r="AO25" s="59">
        <f t="shared" si="36"/>
        <v>267.80827667062124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2.0110420822094341</v>
      </c>
      <c r="AW25" s="21">
        <f>EXP(-LN(2)/2)*AW24+(1-EXP(-LN(2)/2))/(LN(2)/2)*AQ25*AT25*VLOOKUP('Données projet'!$B$10,Paramètres!$A$1:$I$89,3,0)*0.475*44/12</f>
        <v>1.6558897351324564</v>
      </c>
      <c r="AX25" s="21">
        <f t="shared" si="6"/>
        <v>3.6669318173418906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108.5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11.366666666666667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6.3</v>
      </c>
      <c r="BD25" s="12">
        <f>IF('Données projet'!$A$88&gt;35,BD24+BC25-BL24,IF(A25&lt;'Données projet'!$A$88,$BA$205^A25,IF(A25='Données projet'!$A$88,'Données projet'!$B$88,BD24+BC25-BL24)))</f>
        <v>54.599999999999994</v>
      </c>
      <c r="BE25" s="13">
        <f>BD25*VLOOKUP('Données projet'!$B$11,Paramètres!$A$1:$I$89,3,0)*VLOOKUP('Données projet'!$B$11,Paramètres!$A$1:$I$89,5,0)</f>
        <v>49.402079999999998</v>
      </c>
      <c r="BF25" s="13">
        <f t="shared" si="37"/>
        <v>14.459236264867963</v>
      </c>
      <c r="BG25" s="20">
        <f t="shared" si="7"/>
        <v>111.22512582797835</v>
      </c>
      <c r="BH25" s="59">
        <f t="shared" si="8"/>
        <v>550.73623693908951</v>
      </c>
      <c r="BI25" s="59">
        <f ca="1">AVERAGE(OFFSET($BH$3,0,0,'Données projet'!$E$11+1,1))-AVERAGE(OFFSET($H$3,0,0,'Données projet'!$E$11+1,1))</f>
        <v>324.41828402031939</v>
      </c>
      <c r="BJ25" s="59">
        <f t="shared" si="38"/>
        <v>233.01060088065992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108.5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11.366666666666667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16.399999999999999</v>
      </c>
      <c r="BY25" s="12">
        <f>IF('Données projet'!$A$114&gt;35,BY24+BX25-CG24,IF(A25&lt;'Données projet'!$A$114,$BV$205^A25,IF(A25='Données projet'!$A$114,'Données projet'!$B$114,BY24+BX25-CG24)))</f>
        <v>128.79999999999998</v>
      </c>
      <c r="BZ25" s="13">
        <f>BY25*VLOOKUP('Données projet'!$B$12,Paramètres!$A$1:$I$89,3,0)*VLOOKUP('Données projet'!$B$12,Paramètres!$A$1:$I$89,5,0)</f>
        <v>70.324799999999982</v>
      </c>
      <c r="CA25" s="13">
        <f t="shared" si="39"/>
        <v>19.754095114409182</v>
      </c>
      <c r="CB25" s="20">
        <f t="shared" si="10"/>
        <v>156.88740899092929</v>
      </c>
      <c r="CC25" s="59">
        <f t="shared" si="11"/>
        <v>596.39852010204038</v>
      </c>
      <c r="CD25" s="59">
        <f ca="1">AVERAGE(OFFSET($CC$3,0,0,'Données projet'!$E$12+1,1))-AVERAGE(OFFSET($H$3,0,0,'Données projet'!$E$12+1,1))</f>
        <v>279.00060755204919</v>
      </c>
      <c r="CE25" s="59">
        <f t="shared" si="40"/>
        <v>333.91128554211014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16.585612518003622</v>
      </c>
      <c r="CM25" s="21">
        <f>EXP(-LN(2)/2)*CM24+(1-EXP(-LN(2)/2))/(LN(2)/2)*CG25*CJ25*VLOOKUP('Données projet'!$B$12,Paramètres!$A$1:$I$89,3,0)*0.475*44/12</f>
        <v>12.51852639760137</v>
      </c>
      <c r="CN25" s="22">
        <f t="shared" si="12"/>
        <v>29.104138915604992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108.5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11.366666666666667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18.3</v>
      </c>
      <c r="CT25" s="12">
        <f>IF('Données projet'!$A$140&gt;35,CT24+CS25-DB24,IF(A25&lt;'Données projet'!$A$140,$CQ$205^A25,IF(A25='Données projet'!$A$140,'Données projet'!$B$140,CT24+CS25-DB24)))</f>
        <v>146.60000000000002</v>
      </c>
      <c r="CU25" s="17">
        <f>CT25*VLOOKUP('Données projet'!$B$13,Paramètres!$A$1:$I$89,3,0)*VLOOKUP('Données projet'!$B$13,Paramètres!$A$1:$I$89,5,0)</f>
        <v>87.666800000000009</v>
      </c>
      <c r="CV25" s="13">
        <f t="shared" si="41"/>
        <v>24.001656011397941</v>
      </c>
      <c r="CW25" s="20">
        <f t="shared" si="13"/>
        <v>194.48922755318475</v>
      </c>
      <c r="CX25" s="59">
        <f t="shared" si="14"/>
        <v>634.0003386642959</v>
      </c>
      <c r="CY25" s="59">
        <f ca="1">AVERAGE(OFFSET($CX$3,0,0,'Données projet'!$E$13+1,1))-AVERAGE(OFFSET($H$3,0,0,'Données projet'!$E$13+1,1))</f>
        <v>380.01315081072897</v>
      </c>
      <c r="CZ25" s="59">
        <f t="shared" si="42"/>
        <v>404.90871625409181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7.0642423687793219</v>
      </c>
      <c r="DH25" s="21">
        <f>EXP(-LN(2)/2)*DH24+(1-EXP(-LN(2)/2))/(LN(2)/2)*DB25*DE25*VLOOKUP('Données projet'!$B$13,Paramètres!$A$1:$I$89,3,0)*0.475*44/12</f>
        <v>7.1092865961686815</v>
      </c>
      <c r="DI25" s="22">
        <f t="shared" si="15"/>
        <v>14.173528964948003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108.5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11.366666666666667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10.6</v>
      </c>
      <c r="DO25" s="12">
        <f>IF('Données projet'!$A$166&gt;35,DO24+DN25-DW24,IF(A25&lt;'Données projet'!$A$166,$DL$205^A25,IF(A25='Données projet'!$A$166,'Données projet'!$B$166,DO24+DN25-DW24)))</f>
        <v>201.2</v>
      </c>
      <c r="DP25" s="17">
        <f>DO25*VLOOKUP('Données projet'!$B$14,Paramètres!$A$1:$I$89,3,0)*VLOOKUP('Données projet'!$B$14,Paramètres!$A$1:$I$89,5,0)</f>
        <v>182.04575999999997</v>
      </c>
      <c r="DQ25" s="13">
        <f t="shared" si="43"/>
        <v>45.777030280798314</v>
      </c>
      <c r="DR25" s="20">
        <f t="shared" si="16"/>
        <v>396.79135973905704</v>
      </c>
      <c r="DS25" s="59">
        <f t="shared" si="17"/>
        <v>836.30247085016822</v>
      </c>
      <c r="DT25" s="59">
        <f ca="1">AVERAGE(OFFSET($DS$3,0,0,'Données projet'!$E$14+1,1))-AVERAGE(OFFSET($H$3,0,0,'Données projet'!$E$14+1,1))</f>
        <v>320.81451813551064</v>
      </c>
      <c r="DU25" s="59">
        <f t="shared" si="44"/>
        <v>522.80818268773976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0.66335663748556095</v>
      </c>
      <c r="EB25" s="21">
        <f>EXP(-LN(2)/25)*EB24+(1-EXP(-LN(2)/25))/(LN(2)/25)*Calculateur!DW25*Calculateur!DY25*VLOOKUP('Données projet'!$B$14,Paramètres!$A$1:$I$89,3,0)*0.475*44/12</f>
        <v>8.4438981698678042</v>
      </c>
      <c r="EC25" s="21">
        <f>EXP(-LN(2)/2)*EC24+(1-EXP(-LN(2)/2))/(LN(2)/2)*DW25*DZ25*VLOOKUP('Données projet'!$B$14,Paramètres!$A$1:$I$89,3,0)*0.475*44/12</f>
        <v>5.2354728802958492</v>
      </c>
      <c r="ED25" s="22">
        <f t="shared" si="18"/>
        <v>14.342727687649216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108.5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11.366666666666667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15</v>
      </c>
      <c r="EJ25" s="12">
        <f>IF('Données projet'!$A$192&gt;35,EJ24+EI25-ER24,IF(A25&lt;'Données projet'!$A$192,$EG$205^A25,IF(A25='Données projet'!$A$192,'Données projet'!$B$192,EJ24+EI25-ER24)))</f>
        <v>127</v>
      </c>
      <c r="EK25" s="17">
        <f>EJ25*VLOOKUP('Données projet'!$B$15,Paramètres!$A$1:$I$89,3,0)*VLOOKUP('Données projet'!$B$15,Paramètres!$A$1:$I$89,5,0)</f>
        <v>75.945999999999998</v>
      </c>
      <c r="EL25" s="13">
        <f t="shared" si="45"/>
        <v>21.142979995226831</v>
      </c>
      <c r="EM25" s="20">
        <f t="shared" si="19"/>
        <v>169.09664015835338</v>
      </c>
      <c r="EN25" s="59">
        <f t="shared" si="20"/>
        <v>608.60775126946453</v>
      </c>
      <c r="EO25" s="59">
        <f ca="1">AVERAGE(OFFSET($EN$3,0,0,'Données projet'!$E$15+1,1))-AVERAGE(OFFSET($H$3,0,0,'Données projet'!$E$15+1,1))</f>
        <v>228.3393311631487</v>
      </c>
      <c r="EP25" s="59">
        <f t="shared" si="46"/>
        <v>266.26050497804033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0.75485410472494885</v>
      </c>
      <c r="EW25" s="21">
        <f>EXP(-LN(2)/25)*EW24+(1-EXP(-LN(2)/25))/(LN(2)/25)*Calculateur!ER25*Calculateur!ET25*VLOOKUP('Données projet'!$B$15,Paramètres!$A$1:$I$89,3,0)*0.475*44/12</f>
        <v>5.5883835549849303</v>
      </c>
      <c r="EX25" s="21">
        <f>EXP(-LN(2)/2)*EX24+(1-EXP(-LN(2)/2))/(LN(2)/2)*ER25*EU25*VLOOKUP('Données projet'!$B$15,Paramètres!$A$1:$I$89,3,0)*0.475*44/12</f>
        <v>3.9862785557088674</v>
      </c>
      <c r="EY25" s="22">
        <f t="shared" si="21"/>
        <v>10.329516215418746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108.5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11.366666666666667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4.4800000000000004</v>
      </c>
      <c r="FE25" s="12">
        <f>IF('Données projet'!$A$218&gt;35,FE24+FD25-FM24,IF(A25&lt;'Données projet'!$A$218,$FB$205^A25,IF(A25='Données projet'!$A$218,'Données projet'!$B$218,FE24+FD25-FM24)))</f>
        <v>63.578731671572591</v>
      </c>
      <c r="FF25" s="17">
        <f>FE25*VLOOKUP('Données projet'!$B$16,Paramètres!$A$1:$I$89,3,0)*VLOOKUP('Données projet'!$B$16,Paramètres!$A$1:$I$89,5,0)</f>
        <v>36.367034516139526</v>
      </c>
      <c r="FG25" s="13">
        <f t="shared" si="47"/>
        <v>11.030458254887858</v>
      </c>
      <c r="FH25" s="20">
        <f t="shared" si="22"/>
        <v>82.550633242872692</v>
      </c>
      <c r="FI25" s="59">
        <f t="shared" si="23"/>
        <v>522.06174435398384</v>
      </c>
      <c r="FJ25" s="59">
        <f ca="1">AVERAGE(OFFSET($FI$3,0,0,'Données projet'!$E$16+1,1))-AVERAGE(OFFSET($H$3,0,0,'Données projet'!$E$16+1,1))</f>
        <v>242.10913976205194</v>
      </c>
      <c r="FK25" s="59">
        <f t="shared" si="48"/>
        <v>198.24795425321133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108.5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11.366666666666667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108.5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11.366666666666667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11.248380000000003</v>
      </c>
      <c r="D26" s="11">
        <f t="shared" si="32"/>
        <v>3.9110662338937634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64.361157694777049</v>
      </c>
      <c r="H26" s="67">
        <f t="shared" si="1"/>
        <v>424.23603552403165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108.5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11.883333333333333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12.2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71.872320000000002</v>
      </c>
      <c r="P26" s="13">
        <f t="shared" si="33"/>
        <v>20.137703912312322</v>
      </c>
      <c r="Q26" s="20">
        <f t="shared" si="2"/>
        <v>160.25079164727728</v>
      </c>
      <c r="R26" s="59">
        <f t="shared" si="0"/>
        <v>601.65634720283288</v>
      </c>
      <c r="S26" s="59">
        <f ca="1">AVERAGE(OFFSET($R$3,0,0,'Données projet'!$E$9+1,1))-AVERAGE(OFFSET($H$3,0,0,'Données projet'!$E$9+1,1))</f>
        <v>273.89826011924487</v>
      </c>
      <c r="T26" s="59">
        <f t="shared" si="34"/>
        <v>332.17519939974227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3.7993999667316287</v>
      </c>
      <c r="AB26" s="21">
        <f>EXP(-LN(2)/2)*AB25+(1-EXP(-LN(2)/2))/(LN(2)/2)*V26*Y26*VLOOKUP('Données projet'!$B$9,Paramètres!$A$1:$I$89,3,0)*0.475*44/12</f>
        <v>2.9090132936916895</v>
      </c>
      <c r="AC26" s="22">
        <f t="shared" si="3"/>
        <v>6.7084132604233186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108.5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11.883333333333333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9.1999999999999993</v>
      </c>
      <c r="AI26" s="13">
        <f>IF('Données projet'!$A$62&gt;35,AI25+AH26-AQ25,IF(A26&lt;'Données projet'!$A$62,$AF$205^A26,IF(A26='Données projet'!$A$62,'Données projet'!$B$62,AI25+AH26-AQ25)))</f>
        <v>173.09999999999997</v>
      </c>
      <c r="AJ26" s="13">
        <f>AI26*VLOOKUP('Données projet'!$B$10,Paramètres!$A$1:$I$89,3,0)*VLOOKUP('Données projet'!$B$10,Paramètres!$A$1:$I$89,5,0)</f>
        <v>81.010799999999989</v>
      </c>
      <c r="AK26" s="13">
        <f t="shared" si="35"/>
        <v>22.384149091932141</v>
      </c>
      <c r="AL26" s="20">
        <f t="shared" si="4"/>
        <v>180.07953633511511</v>
      </c>
      <c r="AM26" s="59">
        <f t="shared" si="5"/>
        <v>621.48509189067067</v>
      </c>
      <c r="AN26" s="59">
        <f ca="1">AVERAGE(OFFSET($AM$3,0,0,'Données projet'!$E$10+1,1))-AVERAGE(OFFSET($H$3,0,0,'Données projet'!$E$10+1,1))</f>
        <v>293.42903587188346</v>
      </c>
      <c r="AO26" s="59">
        <f t="shared" si="36"/>
        <v>267.80827667062124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1.9560500307153104</v>
      </c>
      <c r="AW26" s="21">
        <f>EXP(-LN(2)/2)*AW25+(1-EXP(-LN(2)/2))/(LN(2)/2)*AQ26*AT26*VLOOKUP('Données projet'!$B$10,Paramètres!$A$1:$I$89,3,0)*0.475*44/12</f>
        <v>1.170890860609356</v>
      </c>
      <c r="AX26" s="21">
        <f t="shared" si="6"/>
        <v>3.1269408913246663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108.5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11.883333333333333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6.3</v>
      </c>
      <c r="BD26" s="12">
        <f>IF('Données projet'!$A$88&gt;35,BD25+BC26-BL25,IF(A26&lt;'Données projet'!$A$88,$BA$205^A26,IF(A26='Données projet'!$A$88,'Données projet'!$B$88,BD25+BC26-BL25)))</f>
        <v>60.899999999999991</v>
      </c>
      <c r="BE26" s="13">
        <f>BD26*VLOOKUP('Données projet'!$B$11,Paramètres!$A$1:$I$89,3,0)*VLOOKUP('Données projet'!$B$11,Paramètres!$A$1:$I$89,5,0)</f>
        <v>55.102319999999992</v>
      </c>
      <c r="BF26" s="13">
        <f t="shared" si="37"/>
        <v>15.923912218988239</v>
      </c>
      <c r="BG26" s="20">
        <f t="shared" si="7"/>
        <v>123.70402111473783</v>
      </c>
      <c r="BH26" s="59">
        <f t="shared" si="8"/>
        <v>565.10957667029334</v>
      </c>
      <c r="BI26" s="59">
        <f ca="1">AVERAGE(OFFSET($BH$3,0,0,'Données projet'!$E$11+1,1))-AVERAGE(OFFSET($H$3,0,0,'Données projet'!$E$11+1,1))</f>
        <v>324.41828402031939</v>
      </c>
      <c r="BJ26" s="59">
        <f t="shared" si="38"/>
        <v>233.01060088065992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108.5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11.883333333333333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16.399999999999999</v>
      </c>
      <c r="BY26" s="12">
        <f>IF('Données projet'!$A$114&gt;35,BY25+BX26-CG25,IF(A26&lt;'Données projet'!$A$114,$BV$205^A26,IF(A26='Données projet'!$A$114,'Données projet'!$B$114,BY25+BX26-CG25)))</f>
        <v>145.19999999999999</v>
      </c>
      <c r="BZ26" s="13">
        <f>BY26*VLOOKUP('Données projet'!$B$12,Paramètres!$A$1:$I$89,3,0)*VLOOKUP('Données projet'!$B$12,Paramètres!$A$1:$I$89,5,0)</f>
        <v>79.279199999999989</v>
      </c>
      <c r="CA26" s="13">
        <f t="shared" si="39"/>
        <v>21.960852053344638</v>
      </c>
      <c r="CB26" s="20">
        <f t="shared" si="10"/>
        <v>176.32642399290856</v>
      </c>
      <c r="CC26" s="59">
        <f t="shared" si="11"/>
        <v>617.7319795484641</v>
      </c>
      <c r="CD26" s="59">
        <f ca="1">AVERAGE(OFFSET($CC$3,0,0,'Données projet'!$E$12+1,1))-AVERAGE(OFFSET($H$3,0,0,'Données projet'!$E$12+1,1))</f>
        <v>279.00060755204919</v>
      </c>
      <c r="CE26" s="59">
        <f t="shared" si="40"/>
        <v>333.91128554211014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16.132078071499357</v>
      </c>
      <c r="CM26" s="21">
        <f>EXP(-LN(2)/2)*CM25+(1-EXP(-LN(2)/2))/(LN(2)/2)*CG26*CJ26*VLOOKUP('Données projet'!$B$12,Paramètres!$A$1:$I$89,3,0)*0.475*44/12</f>
        <v>8.851934906206731</v>
      </c>
      <c r="CN26" s="22">
        <f t="shared" si="12"/>
        <v>24.984012977706087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108.5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11.883333333333333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18.3</v>
      </c>
      <c r="CT26" s="12">
        <f>IF('Données projet'!$A$140&gt;35,CT25+CS26-DB25,IF(A26&lt;'Données projet'!$A$140,$CQ$205^A26,IF(A26='Données projet'!$A$140,'Données projet'!$B$140,CT25+CS26-DB25)))</f>
        <v>164.90000000000003</v>
      </c>
      <c r="CU26" s="17">
        <f>CT26*VLOOKUP('Données projet'!$B$13,Paramètres!$A$1:$I$89,3,0)*VLOOKUP('Données projet'!$B$13,Paramètres!$A$1:$I$89,5,0)</f>
        <v>98.61020000000002</v>
      </c>
      <c r="CV26" s="13">
        <f t="shared" si="41"/>
        <v>26.630627652541417</v>
      </c>
      <c r="CW26" s="20">
        <f t="shared" si="13"/>
        <v>218.12777482817634</v>
      </c>
      <c r="CX26" s="59">
        <f t="shared" si="14"/>
        <v>659.53333038373194</v>
      </c>
      <c r="CY26" s="59">
        <f ca="1">AVERAGE(OFFSET($CX$3,0,0,'Données projet'!$E$13+1,1))-AVERAGE(OFFSET($H$3,0,0,'Données projet'!$E$13+1,1))</f>
        <v>380.01315081072897</v>
      </c>
      <c r="CZ26" s="59">
        <f t="shared" si="42"/>
        <v>404.90871625409181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6.8710702897126907</v>
      </c>
      <c r="DH26" s="21">
        <f>EXP(-LN(2)/2)*DH25+(1-EXP(-LN(2)/2))/(LN(2)/2)*DB26*DE26*VLOOKUP('Données projet'!$B$13,Paramètres!$A$1:$I$89,3,0)*0.475*44/12</f>
        <v>5.0270247615495034</v>
      </c>
      <c r="DI26" s="22">
        <f t="shared" si="15"/>
        <v>11.898095051262194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108.5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11.883333333333333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10.6</v>
      </c>
      <c r="DO26" s="12">
        <f>IF('Données projet'!$A$166&gt;35,DO25+DN26-DW25,IF(A26&lt;'Données projet'!$A$166,$DL$205^A26,IF(A26='Données projet'!$A$166,'Données projet'!$B$166,DO25+DN26-DW25)))</f>
        <v>211.79999999999998</v>
      </c>
      <c r="DP26" s="17">
        <f>DO26*VLOOKUP('Données projet'!$B$14,Paramètres!$A$1:$I$89,3,0)*VLOOKUP('Données projet'!$B$14,Paramètres!$A$1:$I$89,5,0)</f>
        <v>191.63663999999997</v>
      </c>
      <c r="DQ26" s="13">
        <f t="shared" si="43"/>
        <v>47.901609897009187</v>
      </c>
      <c r="DR26" s="20">
        <f t="shared" si="16"/>
        <v>417.19578523729092</v>
      </c>
      <c r="DS26" s="59">
        <f t="shared" si="17"/>
        <v>858.60134079284649</v>
      </c>
      <c r="DT26" s="59">
        <f ca="1">AVERAGE(OFFSET($DS$3,0,0,'Données projet'!$E$14+1,1))-AVERAGE(OFFSET($H$3,0,0,'Données projet'!$E$14+1,1))</f>
        <v>320.81451813551064</v>
      </c>
      <c r="DU26" s="59">
        <f t="shared" si="44"/>
        <v>522.80818268773976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0.65034861843206626</v>
      </c>
      <c r="EB26" s="21">
        <f>EXP(-LN(2)/25)*EB25+(1-EXP(-LN(2)/25))/(LN(2)/25)*Calculateur!DW26*Calculateur!DY26*VLOOKUP('Données projet'!$B$14,Paramètres!$A$1:$I$89,3,0)*0.475*44/12</f>
        <v>8.2129993303674631</v>
      </c>
      <c r="EC26" s="21">
        <f>EXP(-LN(2)/2)*EC25+(1-EXP(-LN(2)/2))/(LN(2)/2)*DW26*DZ26*VLOOKUP('Données projet'!$B$14,Paramètres!$A$1:$I$89,3,0)*0.475*44/12</f>
        <v>3.702038376375461</v>
      </c>
      <c r="ED26" s="22">
        <f t="shared" si="18"/>
        <v>12.565386325174989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108.5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11.883333333333333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15</v>
      </c>
      <c r="EJ26" s="12">
        <f>IF('Données projet'!$A$192&gt;35,EJ25+EI26-ER25,IF(A26&lt;'Données projet'!$A$192,$EG$205^A26,IF(A26='Données projet'!$A$192,'Données projet'!$B$192,EJ25+EI26-ER25)))</f>
        <v>142</v>
      </c>
      <c r="EK26" s="17">
        <f>EJ26*VLOOKUP('Données projet'!$B$15,Paramètres!$A$1:$I$89,3,0)*VLOOKUP('Données projet'!$B$15,Paramètres!$A$1:$I$89,5,0)</f>
        <v>84.916000000000011</v>
      </c>
      <c r="EL26" s="13">
        <f t="shared" si="45"/>
        <v>23.33496813320572</v>
      </c>
      <c r="EM26" s="20">
        <f t="shared" si="19"/>
        <v>188.53710283199996</v>
      </c>
      <c r="EN26" s="59">
        <f t="shared" si="20"/>
        <v>629.94265838755553</v>
      </c>
      <c r="EO26" s="59">
        <f ca="1">AVERAGE(OFFSET($EN$3,0,0,'Données projet'!$E$15+1,1))-AVERAGE(OFFSET($H$3,0,0,'Données projet'!$E$15+1,1))</f>
        <v>228.3393311631487</v>
      </c>
      <c r="EP26" s="59">
        <f t="shared" si="46"/>
        <v>266.26050497804033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0.74005187614683421</v>
      </c>
      <c r="EW26" s="21">
        <f>EXP(-LN(2)/25)*EW25+(1-EXP(-LN(2)/25))/(LN(2)/25)*Calculateur!ER26*Calculateur!ET26*VLOOKUP('Données projet'!$B$15,Paramètres!$A$1:$I$89,3,0)*0.475*44/12</f>
        <v>5.4355689127935483</v>
      </c>
      <c r="EX26" s="21">
        <f>EXP(-LN(2)/2)*EX25+(1-EXP(-LN(2)/2))/(LN(2)/2)*ER26*EU26*VLOOKUP('Données projet'!$B$15,Paramètres!$A$1:$I$89,3,0)*0.475*44/12</f>
        <v>2.8187245984402569</v>
      </c>
      <c r="EY26" s="22">
        <f t="shared" si="21"/>
        <v>8.9943453873806405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108.5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11.883333333333333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4.4800000000000004</v>
      </c>
      <c r="FE26" s="12">
        <f>IF('Données projet'!$A$218&gt;35,FE25+FD26-FM25,IF(A26&lt;'Données projet'!$A$218,$FB$205^A26,IF(A26='Données projet'!$A$218,'Données projet'!$B$218,FE25+FD26-FM25)))</f>
        <v>76.785741210244453</v>
      </c>
      <c r="FF26" s="17">
        <f>FE26*VLOOKUP('Données projet'!$B$16,Paramètres!$A$1:$I$89,3,0)*VLOOKUP('Données projet'!$B$16,Paramètres!$A$1:$I$89,5,0)</f>
        <v>43.92144397225983</v>
      </c>
      <c r="FG26" s="13">
        <f t="shared" si="47"/>
        <v>13.032301452374361</v>
      </c>
      <c r="FH26" s="20">
        <f t="shared" si="22"/>
        <v>99.194439947904542</v>
      </c>
      <c r="FI26" s="59">
        <f t="shared" si="23"/>
        <v>540.59999550346015</v>
      </c>
      <c r="FJ26" s="59">
        <f ca="1">AVERAGE(OFFSET($FI$3,0,0,'Données projet'!$E$16+1,1))-AVERAGE(OFFSET($H$3,0,0,'Données projet'!$E$16+1,1))</f>
        <v>242.10913976205194</v>
      </c>
      <c r="FK26" s="59">
        <f t="shared" si="48"/>
        <v>198.24795425321133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108.5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11.883333333333333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108.5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11.883333333333333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11.737440000000003</v>
      </c>
      <c r="D27" s="11">
        <f t="shared" si="32"/>
        <v>4.0609450043195352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67.0738451060584</v>
      </c>
      <c r="H27" s="67">
        <f t="shared" si="1"/>
        <v>425.3488538825232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108.5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12.4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12.2</v>
      </c>
      <c r="N27" s="13">
        <f>IF('Données projet'!$A$36&gt;35,N26+M27-V26,IF(A27&lt;'Données projet'!$A$36,$K$205^A27,IF(A27='Données projet'!$A$36,'Données projet'!$B$36,N26+M27-V26)))</f>
        <v>100.80000000000001</v>
      </c>
      <c r="O27" s="13">
        <f>N27*VLOOKUP('Données projet'!$B$9,Paramètres!$A$1:$I$89,3,0)*VLOOKUP('Données projet'!$B$9,Paramètres!$A$1:$I$89,5,0)</f>
        <v>81.768960000000021</v>
      </c>
      <c r="P27" s="13">
        <f t="shared" si="33"/>
        <v>22.569151954451023</v>
      </c>
      <c r="Q27" s="20">
        <f t="shared" si="2"/>
        <v>181.72221165400222</v>
      </c>
      <c r="R27" s="59">
        <f t="shared" si="0"/>
        <v>625.02221165400226</v>
      </c>
      <c r="S27" s="59">
        <f ca="1">AVERAGE(OFFSET($R$3,0,0,'Données projet'!$E$9+1,1))-AVERAGE(OFFSET($H$3,0,0,'Données projet'!$E$9+1,1))</f>
        <v>273.89826011924487</v>
      </c>
      <c r="T27" s="59">
        <f t="shared" si="34"/>
        <v>332.17519939974227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3.6955051748395915</v>
      </c>
      <c r="AB27" s="21">
        <f>EXP(-LN(2)/2)*AB26+(1-EXP(-LN(2)/2))/(LN(2)/2)*V27*Y27*VLOOKUP('Données projet'!$B$9,Paramètres!$A$1:$I$89,3,0)*0.475*44/12</f>
        <v>2.0569830265312077</v>
      </c>
      <c r="AC27" s="22">
        <f t="shared" si="3"/>
        <v>5.7524882013707987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108.5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12.4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9.1999999999999993</v>
      </c>
      <c r="AI27" s="13">
        <f>IF('Données projet'!$A$62&gt;35,AI26+AH27-AQ26,IF(A27&lt;'Données projet'!$A$62,$AF$205^A27,IF(A27='Données projet'!$A$62,'Données projet'!$B$62,AI26+AH27-AQ26)))</f>
        <v>182.29999999999995</v>
      </c>
      <c r="AJ27" s="13">
        <f>AI27*VLOOKUP('Données projet'!$B$10,Paramètres!$A$1:$I$89,3,0)*VLOOKUP('Données projet'!$B$10,Paramètres!$A$1:$I$89,5,0)</f>
        <v>85.316399999999987</v>
      </c>
      <c r="AK27" s="13">
        <f t="shared" si="35"/>
        <v>23.432164150529264</v>
      </c>
      <c r="AL27" s="20">
        <f t="shared" si="4"/>
        <v>189.40374922883845</v>
      </c>
      <c r="AM27" s="59">
        <f t="shared" si="5"/>
        <v>632.70374922883843</v>
      </c>
      <c r="AN27" s="59">
        <f ca="1">AVERAGE(OFFSET($AM$3,0,0,'Données projet'!$E$10+1,1))-AVERAGE(OFFSET($H$3,0,0,'Données projet'!$E$10+1,1))</f>
        <v>293.42903587188346</v>
      </c>
      <c r="AO27" s="59">
        <f t="shared" si="36"/>
        <v>267.80827667062124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1.9025617397611998</v>
      </c>
      <c r="AW27" s="21">
        <f>EXP(-LN(2)/2)*AW26+(1-EXP(-LN(2)/2))/(LN(2)/2)*AQ27*AT27*VLOOKUP('Données projet'!$B$10,Paramètres!$A$1:$I$89,3,0)*0.475*44/12</f>
        <v>0.8279448675662282</v>
      </c>
      <c r="AX27" s="21">
        <f t="shared" si="6"/>
        <v>2.730506607327428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108.5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12.4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6.3</v>
      </c>
      <c r="BD27" s="12">
        <f>IF('Données projet'!$A$88&gt;35,BD26+BC27-BL26,IF(A27&lt;'Données projet'!$A$88,$BA$205^A27,IF(A27='Données projet'!$A$88,'Données projet'!$B$88,BD26+BC27-BL26)))</f>
        <v>67.199999999999989</v>
      </c>
      <c r="BE27" s="13">
        <f>BD27*VLOOKUP('Données projet'!$B$11,Paramètres!$A$1:$I$89,3,0)*VLOOKUP('Données projet'!$B$11,Paramètres!$A$1:$I$89,5,0)</f>
        <v>60.802559999999993</v>
      </c>
      <c r="BF27" s="13">
        <f t="shared" si="37"/>
        <v>17.371024177726472</v>
      </c>
      <c r="BG27" s="20">
        <f t="shared" si="7"/>
        <v>136.15232577620694</v>
      </c>
      <c r="BH27" s="59">
        <f t="shared" si="8"/>
        <v>579.45232577620698</v>
      </c>
      <c r="BI27" s="59">
        <f ca="1">AVERAGE(OFFSET($BH$3,0,0,'Données projet'!$E$11+1,1))-AVERAGE(OFFSET($H$3,0,0,'Données projet'!$E$11+1,1))</f>
        <v>324.41828402031939</v>
      </c>
      <c r="BJ27" s="59">
        <f t="shared" si="38"/>
        <v>233.01060088065992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108.5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12.4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16.399999999999999</v>
      </c>
      <c r="BY27" s="12">
        <f>IF('Données projet'!$A$114&gt;35,BY26+BX27-CG26,IF(A27&lt;'Données projet'!$A$114,$BV$205^A27,IF(A27='Données projet'!$A$114,'Données projet'!$B$114,BY26+BX27-CG26)))</f>
        <v>161.6</v>
      </c>
      <c r="BZ27" s="13">
        <f>BY27*VLOOKUP('Données projet'!$B$12,Paramètres!$A$1:$I$89,3,0)*VLOOKUP('Données projet'!$B$12,Paramètres!$A$1:$I$89,5,0)</f>
        <v>88.23360000000001</v>
      </c>
      <c r="CA27" s="13">
        <f t="shared" si="39"/>
        <v>24.138721634312098</v>
      </c>
      <c r="CB27" s="20">
        <f t="shared" si="10"/>
        <v>195.7151268464269</v>
      </c>
      <c r="CC27" s="59">
        <f t="shared" si="11"/>
        <v>639.01512684642694</v>
      </c>
      <c r="CD27" s="59">
        <f ca="1">AVERAGE(OFFSET($CC$3,0,0,'Données projet'!$E$12+1,1))-AVERAGE(OFFSET($H$3,0,0,'Données projet'!$E$12+1,1))</f>
        <v>279.00060755204919</v>
      </c>
      <c r="CE27" s="59">
        <f t="shared" si="40"/>
        <v>333.91128554211014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15.690945548285091</v>
      </c>
      <c r="CM27" s="21">
        <f>EXP(-LN(2)/2)*CM26+(1-EXP(-LN(2)/2))/(LN(2)/2)*CG27*CJ27*VLOOKUP('Données projet'!$B$12,Paramètres!$A$1:$I$89,3,0)*0.475*44/12</f>
        <v>6.259263198800685</v>
      </c>
      <c r="CN27" s="22">
        <f t="shared" si="12"/>
        <v>21.950208747085775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108.5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12.4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18.3</v>
      </c>
      <c r="CT27" s="12">
        <f>IF('Données projet'!$A$140&gt;35,CT26+CS27-DB26,IF(A27&lt;'Données projet'!$A$140,$CQ$205^A27,IF(A27='Données projet'!$A$140,'Données projet'!$B$140,CT26+CS27-DB26)))</f>
        <v>183.20000000000005</v>
      </c>
      <c r="CU27" s="17">
        <f>CT27*VLOOKUP('Données projet'!$B$13,Paramètres!$A$1:$I$89,3,0)*VLOOKUP('Données projet'!$B$13,Paramètres!$A$1:$I$89,5,0)</f>
        <v>109.55360000000003</v>
      </c>
      <c r="CV27" s="13">
        <f t="shared" si="41"/>
        <v>29.225784372214765</v>
      </c>
      <c r="CW27" s="20">
        <f t="shared" si="13"/>
        <v>241.70742778160744</v>
      </c>
      <c r="CX27" s="59">
        <f t="shared" si="14"/>
        <v>685.00742778160748</v>
      </c>
      <c r="CY27" s="59">
        <f ca="1">AVERAGE(OFFSET($CX$3,0,0,'Données projet'!$E$13+1,1))-AVERAGE(OFFSET($H$3,0,0,'Données projet'!$E$13+1,1))</f>
        <v>380.01315081072897</v>
      </c>
      <c r="CZ27" s="59">
        <f t="shared" si="42"/>
        <v>404.90871625409181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6.6831805113066149</v>
      </c>
      <c r="DH27" s="21">
        <f>EXP(-LN(2)/2)*DH26+(1-EXP(-LN(2)/2))/(LN(2)/2)*DB27*DE27*VLOOKUP('Données projet'!$B$13,Paramètres!$A$1:$I$89,3,0)*0.475*44/12</f>
        <v>3.5546432980843412</v>
      </c>
      <c r="DI27" s="22">
        <f t="shared" si="15"/>
        <v>10.237823809390957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108.5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12.4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10.6</v>
      </c>
      <c r="DO27" s="12">
        <f>IF('Données projet'!$A$166&gt;35,DO26+DN27-DW26,IF(A27&lt;'Données projet'!$A$166,$DL$205^A27,IF(A27='Données projet'!$A$166,'Données projet'!$B$166,DO26+DN27-DW26)))</f>
        <v>222.39999999999998</v>
      </c>
      <c r="DP27" s="17">
        <f>DO27*VLOOKUP('Données projet'!$B$14,Paramètres!$A$1:$I$89,3,0)*VLOOKUP('Données projet'!$B$14,Paramètres!$A$1:$I$89,5,0)</f>
        <v>201.22752</v>
      </c>
      <c r="DQ27" s="13">
        <f t="shared" si="43"/>
        <v>50.013843322723055</v>
      </c>
      <c r="DR27" s="20">
        <f t="shared" si="16"/>
        <v>437.57870778707598</v>
      </c>
      <c r="DS27" s="59">
        <f t="shared" si="17"/>
        <v>880.878707787076</v>
      </c>
      <c r="DT27" s="59">
        <f ca="1">AVERAGE(OFFSET($DS$3,0,0,'Données projet'!$E$14+1,1))-AVERAGE(OFFSET($H$3,0,0,'Données projet'!$E$14+1,1))</f>
        <v>320.81451813551064</v>
      </c>
      <c r="DU27" s="59">
        <f t="shared" si="44"/>
        <v>522.80818268773976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0.63759567869810241</v>
      </c>
      <c r="EB27" s="21">
        <f>EXP(-LN(2)/25)*EB26+(1-EXP(-LN(2)/25))/(LN(2)/25)*Calculateur!DW27*Calculateur!DY27*VLOOKUP('Données projet'!$B$14,Paramètres!$A$1:$I$89,3,0)*0.475*44/12</f>
        <v>7.9884144317757011</v>
      </c>
      <c r="EC27" s="21">
        <f>EXP(-LN(2)/2)*EC26+(1-EXP(-LN(2)/2))/(LN(2)/2)*DW27*DZ27*VLOOKUP('Données projet'!$B$14,Paramètres!$A$1:$I$89,3,0)*0.475*44/12</f>
        <v>2.6177364401479251</v>
      </c>
      <c r="ED27" s="22">
        <f t="shared" si="18"/>
        <v>11.243746550621729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108.5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12.4</v>
      </c>
      <c r="EG27" s="12">
        <f>VLOOKUP(A27,'Données projet'!$A$191:$I$211,2,0)</f>
        <v>157</v>
      </c>
      <c r="EH27" s="12">
        <f>VLOOKUP(A27,'Données projet'!$A$191:$I$211,9,0)</f>
        <v>15</v>
      </c>
      <c r="EI27" s="12">
        <f t="array" ref="EI27">INDEX(EH:EH,MIN(IF(ISNUMBER(EH27:EH223),ROW(EH27:EH223),"")))</f>
        <v>15</v>
      </c>
      <c r="EJ27" s="12">
        <f>IF('Données projet'!$A$192&gt;35,EJ26+EI27-ER26,IF(A27&lt;'Données projet'!$A$192,$EG$205^A27,IF(A27='Données projet'!$A$192,'Données projet'!$B$192,EJ26+EI27-ER26)))</f>
        <v>157</v>
      </c>
      <c r="EK27" s="17">
        <f>EJ27*VLOOKUP('Données projet'!$B$15,Paramètres!$A$1:$I$89,3,0)*VLOOKUP('Données projet'!$B$15,Paramètres!$A$1:$I$89,5,0)</f>
        <v>93.885999999999996</v>
      </c>
      <c r="EL27" s="13">
        <f t="shared" si="45"/>
        <v>25.500116461916402</v>
      </c>
      <c r="EM27" s="20">
        <f t="shared" si="19"/>
        <v>207.9308195045044</v>
      </c>
      <c r="EN27" s="59">
        <f t="shared" si="20"/>
        <v>651.23081950450444</v>
      </c>
      <c r="EO27" s="59">
        <f ca="1">AVERAGE(OFFSET($EN$3,0,0,'Données projet'!$E$15+1,1))-AVERAGE(OFFSET($H$3,0,0,'Données projet'!$E$15+1,1))</f>
        <v>228.3393311631487</v>
      </c>
      <c r="EP27" s="59">
        <f t="shared" si="46"/>
        <v>266.26050497804033</v>
      </c>
      <c r="EQ27" s="15">
        <f>IF(ISNA(VLOOKUP(A27,'Données projet'!$A$191:$I$211,3,0)),0,VLOOKUP(A27,'Données projet'!$A$191:$I$211,3,0))</f>
        <v>3</v>
      </c>
      <c r="ER27" s="15">
        <f>IF(ISNA(VLOOKUP(A27,'Données projet'!$A$191:$I$211,4,0)),0,VLOOKUP(A27,'Données projet'!$A$191:$I$211,4,0))</f>
        <v>31</v>
      </c>
      <c r="ES27" s="16">
        <f>IF(ISNA(VLOOKUP(A27,'Données projet'!$A$191:$I$211,5,0)),0%,VLOOKUP(A27,'Données projet'!$A$191:$I$211,5,0)*VLOOKUP('Données projet'!$B$15,Paramètres!$A$1:$I$89,7,0))</f>
        <v>9.0000000000000011E-2</v>
      </c>
      <c r="ET27" s="16">
        <f>IF(ISNA(VLOOKUP(A27,'Données projet'!$A$191:$I$211,6,0)),0%,VLOOKUP(A27,'Données projet'!$A$191:$I$211,6,0)*VLOOKUP('Données projet'!$B$15,Paramètres!$A$1:$I$89,7,0))</f>
        <v>0.18000000000000002</v>
      </c>
      <c r="EU27" s="16">
        <f>IF(ISNA(VLOOKUP(A27,'Données projet'!$A$191:$I$211,7,0)),0%,VLOOKUP(A27,'Données projet'!$A$191:$I$211,7,0))</f>
        <v>0.4</v>
      </c>
      <c r="EV27" s="21">
        <f>EXP(-LN(2)/35)*EV26+(1-EXP(-LN(2)/35))/(LN(2)/35)*ER27*ES27*VLOOKUP('Données projet'!$B$15,Paramètres!$A$1:$I$89,3,0)*0.475*44/12</f>
        <v>2.9388065789871067</v>
      </c>
      <c r="EW27" s="21">
        <f>EXP(-LN(2)/25)*EW26+(1-EXP(-LN(2)/25))/(LN(2)/25)*Calculateur!ER27*Calculateur!ET27*VLOOKUP('Données projet'!$B$15,Paramètres!$A$1:$I$89,3,0)*0.475*44/12</f>
        <v>9.6960373841268126</v>
      </c>
      <c r="EX27" s="21">
        <f>EXP(-LN(2)/2)*EX26+(1-EXP(-LN(2)/2))/(LN(2)/2)*ER27*EU27*VLOOKUP('Données projet'!$B$15,Paramètres!$A$1:$I$89,3,0)*0.475*44/12</f>
        <v>10.388868210472685</v>
      </c>
      <c r="EY27" s="22">
        <f t="shared" si="21"/>
        <v>23.023712173586603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108.5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12.4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4.4800000000000004</v>
      </c>
      <c r="FE27" s="12">
        <f>IF('Données projet'!$A$218&gt;35,FE26+FD27-FM26,IF(A27&lt;'Données projet'!$A$218,$FB$205^A27,IF(A27='Données projet'!$A$218,'Données projet'!$B$218,FE26+FD27-FM26)))</f>
        <v>92.73620121369747</v>
      </c>
      <c r="FF27" s="17">
        <f>FE27*VLOOKUP('Données projet'!$B$16,Paramètres!$A$1:$I$89,3,0)*VLOOKUP('Données projet'!$B$16,Paramètres!$A$1:$I$89,5,0)</f>
        <v>53.045107094234957</v>
      </c>
      <c r="FG27" s="13">
        <f t="shared" si="47"/>
        <v>15.397445620203348</v>
      </c>
      <c r="FH27" s="20">
        <f t="shared" si="22"/>
        <v>119.20411264431338</v>
      </c>
      <c r="FI27" s="59">
        <f t="shared" si="23"/>
        <v>562.50411264431341</v>
      </c>
      <c r="FJ27" s="59">
        <f ca="1">AVERAGE(OFFSET($FI$3,0,0,'Données projet'!$E$16+1,1))-AVERAGE(OFFSET($H$3,0,0,'Données projet'!$E$16+1,1))</f>
        <v>242.10913976205194</v>
      </c>
      <c r="FK27" s="59">
        <f t="shared" si="48"/>
        <v>198.24795425321133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108.5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12.4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108.5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12.4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12.226500000000003</v>
      </c>
      <c r="D28" s="11">
        <f t="shared" si="32"/>
        <v>4.2100984009651983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69.783452860238242</v>
      </c>
      <c r="H28" s="67">
        <f t="shared" si="1"/>
        <v>426.46040888168102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108.5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12.916666666666666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12.2</v>
      </c>
      <c r="N28" s="13">
        <f>IF('Données projet'!$A$36&gt;35,N27+M28-V27,IF(A28&lt;'Données projet'!$A$36,$K$205^A28,IF(A28='Données projet'!$A$36,'Données projet'!$B$36,N27+M28-V27)))</f>
        <v>113.00000000000001</v>
      </c>
      <c r="O28" s="13">
        <f>N28*VLOOKUP('Données projet'!$B$9,Paramètres!$A$1:$I$89,3,0)*VLOOKUP('Données projet'!$B$9,Paramètres!$A$1:$I$89,5,0)</f>
        <v>91.665600000000026</v>
      </c>
      <c r="P28" s="13">
        <f t="shared" si="33"/>
        <v>24.966497888207439</v>
      </c>
      <c r="Q28" s="20">
        <f t="shared" si="2"/>
        <v>203.1342371552947</v>
      </c>
      <c r="R28" s="59">
        <f t="shared" si="0"/>
        <v>648.32868159973918</v>
      </c>
      <c r="S28" s="59">
        <f ca="1">AVERAGE(OFFSET($R$3,0,0,'Données projet'!$E$9+1,1))-AVERAGE(OFFSET($H$3,0,0,'Données projet'!$E$9+1,1))</f>
        <v>273.89826011924487</v>
      </c>
      <c r="T28" s="59">
        <f t="shared" si="34"/>
        <v>332.17519939974227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3.5944513914954319</v>
      </c>
      <c r="AB28" s="21">
        <f>EXP(-LN(2)/2)*AB27+(1-EXP(-LN(2)/2))/(LN(2)/2)*V28*Y28*VLOOKUP('Données projet'!$B$9,Paramètres!$A$1:$I$89,3,0)*0.475*44/12</f>
        <v>1.454506646845845</v>
      </c>
      <c r="AC28" s="22">
        <f t="shared" si="3"/>
        <v>5.0489580383412767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108.5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12.916666666666666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9.1999999999999993</v>
      </c>
      <c r="AI28" s="13">
        <f>IF('Données projet'!$A$62&gt;35,AI27+AH28-AQ27,IF(A28&lt;'Données projet'!$A$62,$AF$205^A28,IF(A28='Données projet'!$A$62,'Données projet'!$B$62,AI27+AH28-AQ27)))</f>
        <v>191.49999999999994</v>
      </c>
      <c r="AJ28" s="13">
        <f>AI28*VLOOKUP('Données projet'!$B$10,Paramètres!$A$1:$I$89,3,0)*VLOOKUP('Données projet'!$B$10,Paramètres!$A$1:$I$89,5,0)</f>
        <v>89.621999999999986</v>
      </c>
      <c r="AK28" s="13">
        <f t="shared" si="35"/>
        <v>24.47403817697321</v>
      </c>
      <c r="AL28" s="20">
        <f t="shared" si="4"/>
        <v>198.71726649156165</v>
      </c>
      <c r="AM28" s="59">
        <f t="shared" si="5"/>
        <v>643.9117109360061</v>
      </c>
      <c r="AN28" s="59">
        <f ca="1">AVERAGE(OFFSET($AM$3,0,0,'Données projet'!$E$10+1,1))-AVERAGE(OFFSET($H$3,0,0,'Données projet'!$E$10+1,1))</f>
        <v>293.42903587188346</v>
      </c>
      <c r="AO28" s="59">
        <f t="shared" si="36"/>
        <v>267.80827667062124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1.8505360889360563</v>
      </c>
      <c r="AW28" s="21">
        <f>EXP(-LN(2)/2)*AW27+(1-EXP(-LN(2)/2))/(LN(2)/2)*AQ28*AT28*VLOOKUP('Données projet'!$B$10,Paramètres!$A$1:$I$89,3,0)*0.475*44/12</f>
        <v>0.58544543030467799</v>
      </c>
      <c r="AX28" s="21">
        <f t="shared" si="6"/>
        <v>2.4359815192407344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108.5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12.916666666666666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6.3</v>
      </c>
      <c r="BD28" s="12">
        <f>IF('Données projet'!$A$88&gt;35,BD27+BC28-BL27,IF(A28&lt;'Données projet'!$A$88,$BA$205^A28,IF(A28='Données projet'!$A$88,'Données projet'!$B$88,BD27+BC28-BL27)))</f>
        <v>73.499999999999986</v>
      </c>
      <c r="BE28" s="13">
        <f>BD28*VLOOKUP('Données projet'!$B$11,Paramètres!$A$1:$I$89,3,0)*VLOOKUP('Données projet'!$B$11,Paramètres!$A$1:$I$89,5,0)</f>
        <v>66.502799999999979</v>
      </c>
      <c r="BF28" s="13">
        <f t="shared" si="37"/>
        <v>18.802406075407909</v>
      </c>
      <c r="BG28" s="20">
        <f t="shared" si="7"/>
        <v>148.57323391466869</v>
      </c>
      <c r="BH28" s="59">
        <f t="shared" si="8"/>
        <v>593.76767835911323</v>
      </c>
      <c r="BI28" s="59">
        <f ca="1">AVERAGE(OFFSET($BH$3,0,0,'Données projet'!$E$11+1,1))-AVERAGE(OFFSET($H$3,0,0,'Données projet'!$E$11+1,1))</f>
        <v>324.41828402031939</v>
      </c>
      <c r="BJ28" s="59">
        <f t="shared" si="38"/>
        <v>233.01060088065992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108.5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12.916666666666666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16.399999999999999</v>
      </c>
      <c r="BY28" s="12">
        <f>IF('Données projet'!$A$114&gt;35,BY27+BX28-CG27,IF(A28&lt;'Données projet'!$A$114,$BV$205^A28,IF(A28='Données projet'!$A$114,'Données projet'!$B$114,BY27+BX28-CG27)))</f>
        <v>178</v>
      </c>
      <c r="BZ28" s="13">
        <f>BY28*VLOOKUP('Données projet'!$B$12,Paramètres!$A$1:$I$89,3,0)*VLOOKUP('Données projet'!$B$12,Paramètres!$A$1:$I$89,5,0)</f>
        <v>97.187999999999988</v>
      </c>
      <c r="CA28" s="13">
        <f t="shared" si="39"/>
        <v>26.290969297460332</v>
      </c>
      <c r="CB28" s="20">
        <f t="shared" si="10"/>
        <v>215.0592048597434</v>
      </c>
      <c r="CC28" s="59">
        <f t="shared" si="11"/>
        <v>660.25364930418789</v>
      </c>
      <c r="CD28" s="59">
        <f ca="1">AVERAGE(OFFSET($CC$3,0,0,'Données projet'!$E$12+1,1))-AVERAGE(OFFSET($H$3,0,0,'Données projet'!$E$12+1,1))</f>
        <v>279.00060755204919</v>
      </c>
      <c r="CE28" s="59">
        <f t="shared" si="40"/>
        <v>333.91128554211014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15.261875817116271</v>
      </c>
      <c r="CM28" s="21">
        <f>EXP(-LN(2)/2)*CM27+(1-EXP(-LN(2)/2))/(LN(2)/2)*CG28*CJ28*VLOOKUP('Données projet'!$B$12,Paramètres!$A$1:$I$89,3,0)*0.475*44/12</f>
        <v>4.4259674531033655</v>
      </c>
      <c r="CN28" s="22">
        <f t="shared" si="12"/>
        <v>19.687843270219638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108.5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12.916666666666666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18.3</v>
      </c>
      <c r="CT28" s="12">
        <f>IF('Données projet'!$A$140&gt;35,CT27+CS28-DB27,IF(A28&lt;'Données projet'!$A$140,$CQ$205^A28,IF(A28='Données projet'!$A$140,'Données projet'!$B$140,CT27+CS28-DB27)))</f>
        <v>201.50000000000006</v>
      </c>
      <c r="CU28" s="17">
        <f>CT28*VLOOKUP('Données projet'!$B$13,Paramètres!$A$1:$I$89,3,0)*VLOOKUP('Données projet'!$B$13,Paramètres!$A$1:$I$89,5,0)</f>
        <v>120.49700000000004</v>
      </c>
      <c r="CV28" s="13">
        <f t="shared" si="41"/>
        <v>31.790888484192322</v>
      </c>
      <c r="CW28" s="20">
        <f t="shared" si="13"/>
        <v>265.23473910996836</v>
      </c>
      <c r="CX28" s="59">
        <f t="shared" si="14"/>
        <v>710.42918355441293</v>
      </c>
      <c r="CY28" s="59">
        <f ca="1">AVERAGE(OFFSET($CX$3,0,0,'Données projet'!$E$13+1,1))-AVERAGE(OFFSET($H$3,0,0,'Données projet'!$E$13+1,1))</f>
        <v>380.01315081072897</v>
      </c>
      <c r="CZ28" s="59">
        <f t="shared" si="42"/>
        <v>404.90871625409181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6.5004285887717472</v>
      </c>
      <c r="DH28" s="21">
        <f>EXP(-LN(2)/2)*DH27+(1-EXP(-LN(2)/2))/(LN(2)/2)*DB28*DE28*VLOOKUP('Données projet'!$B$13,Paramètres!$A$1:$I$89,3,0)*0.475*44/12</f>
        <v>2.5135123807747521</v>
      </c>
      <c r="DI28" s="22">
        <f t="shared" si="15"/>
        <v>9.0139409695464998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108.5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12.916666666666666</v>
      </c>
      <c r="DL28" s="12">
        <f>VLOOKUP(A28,'Données projet'!$A$165:$I$185,2,0)</f>
        <v>233</v>
      </c>
      <c r="DM28" s="12">
        <f>VLOOKUP(A28,'Données projet'!$A$165:$I$185,9,0)</f>
        <v>10.6</v>
      </c>
      <c r="DN28" s="12">
        <f t="array" ref="DN28">INDEX(DM:DM,MIN(IF(ISNUMBER(DM28:DM224),ROW(DM28:DM224),"")))</f>
        <v>10.6</v>
      </c>
      <c r="DO28" s="12">
        <f>IF('Données projet'!$A$166&gt;35,DO27+DN28-DW27,IF(A28&lt;'Données projet'!$A$166,$DL$205^A28,IF(A28='Données projet'!$A$166,'Données projet'!$B$166,DO27+DN28-DW27)))</f>
        <v>232.99999999999997</v>
      </c>
      <c r="DP28" s="17">
        <f>DO28*VLOOKUP('Données projet'!$B$14,Paramètres!$A$1:$I$89,3,0)*VLOOKUP('Données projet'!$B$14,Paramètres!$A$1:$I$89,5,0)</f>
        <v>210.8184</v>
      </c>
      <c r="DQ28" s="13">
        <f t="shared" si="43"/>
        <v>52.114386184062198</v>
      </c>
      <c r="DR28" s="20">
        <f t="shared" si="16"/>
        <v>457.94126927057499</v>
      </c>
      <c r="DS28" s="59">
        <f t="shared" si="17"/>
        <v>903.13571371501951</v>
      </c>
      <c r="DT28" s="59">
        <f ca="1">AVERAGE(OFFSET($DS$3,0,0,'Données projet'!$E$14+1,1))-AVERAGE(OFFSET($H$3,0,0,'Données projet'!$E$14+1,1))</f>
        <v>320.81451813551064</v>
      </c>
      <c r="DU28" s="59">
        <f t="shared" si="44"/>
        <v>522.80818268773976</v>
      </c>
      <c r="DV28" s="15">
        <f>IF(ISNA(VLOOKUP(A28,'Données projet'!$A$165:$I$185,3,0)),0,VLOOKUP(A28,'Données projet'!$A$165:$I$185,3,0))</f>
        <v>5</v>
      </c>
      <c r="DW28" s="15">
        <f>IF(ISNA(VLOOKUP(A28,'Données projet'!$A$165:$I$185,4,0)),0,VLOOKUP(A28,'Données projet'!$A$165:$I$185,4,0))</f>
        <v>18</v>
      </c>
      <c r="DX28" s="16">
        <f>IF(ISNA(VLOOKUP(A28,'Données projet'!$A$165:$I$185,5,0)),0%,VLOOKUP(A28,'Données projet'!$A$165:$I$185,5,0)*VLOOKUP('Données projet'!$B$14,Paramètres!$A$1:$I$89,7,0))</f>
        <v>0.03</v>
      </c>
      <c r="DY28" s="16">
        <f>IF(ISNA(VLOOKUP(A28,'Données projet'!$A$165:$I$185,6,0)),0%,VLOOKUP(A28,'Données projet'!$A$165:$I$185,6,0)*VLOOKUP('Données projet'!$B$14,Paramètres!$A$1:$I$89,7,0))</f>
        <v>0.13500000000000001</v>
      </c>
      <c r="DZ28" s="16">
        <f>IF(ISNA(VLOOKUP(A28,'Données projet'!$A$165:$I$185,7,0)),0%,VLOOKUP(A28,'Données projet'!$A$165:$I$185,7,0))</f>
        <v>0.45</v>
      </c>
      <c r="EA28" s="21">
        <f>EXP(-LN(2)/35)*EA27+(1-EXP(-LN(2)/35))/(LN(2)/35)*DW28*DX28*VLOOKUP('Données projet'!$B$14,Paramètres!$A$1:$I$89,3,0)*0.475*44/12</f>
        <v>1.1652168000105596</v>
      </c>
      <c r="EB28" s="21">
        <f>EXP(-LN(2)/25)*EB27+(1-EXP(-LN(2)/25))/(LN(2)/25)*Calculateur!DW28*Calculateur!DY28*VLOOKUP('Données projet'!$B$14,Paramètres!$A$1:$I$89,3,0)*0.475*44/12</f>
        <v>10.190958712919786</v>
      </c>
      <c r="EC28" s="21">
        <f>EXP(-LN(2)/2)*EC27+(1-EXP(-LN(2)/2))/(LN(2)/2)*DW28*DZ28*VLOOKUP('Données projet'!$B$14,Paramètres!$A$1:$I$89,3,0)*0.475*44/12</f>
        <v>8.7660147221008664</v>
      </c>
      <c r="ED28" s="22">
        <f t="shared" si="18"/>
        <v>20.122190235031212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108.5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12.916666666666666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16</v>
      </c>
      <c r="EJ28" s="12">
        <f>IF('Données projet'!$A$192&gt;35,EJ27+EI28-ER27,IF(A28&lt;'Données projet'!$A$192,$EG$205^A28,IF(A28='Données projet'!$A$192,'Données projet'!$B$192,EJ27+EI28-ER27)))</f>
        <v>142</v>
      </c>
      <c r="EK28" s="17">
        <f>EJ28*VLOOKUP('Données projet'!$B$15,Paramètres!$A$1:$I$89,3,0)*VLOOKUP('Données projet'!$B$15,Paramètres!$A$1:$I$89,5,0)</f>
        <v>84.916000000000011</v>
      </c>
      <c r="EL28" s="13">
        <f t="shared" si="45"/>
        <v>23.33496813320572</v>
      </c>
      <c r="EM28" s="20">
        <f t="shared" si="19"/>
        <v>188.53710283199996</v>
      </c>
      <c r="EN28" s="59">
        <f t="shared" si="20"/>
        <v>633.73154727644442</v>
      </c>
      <c r="EO28" s="59">
        <f ca="1">AVERAGE(OFFSET($EN$3,0,0,'Données projet'!$E$15+1,1))-AVERAGE(OFFSET($H$3,0,0,'Données projet'!$E$15+1,1))</f>
        <v>228.3393311631487</v>
      </c>
      <c r="EP28" s="59">
        <f t="shared" si="46"/>
        <v>266.26050497804033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2.8811783744681887</v>
      </c>
      <c r="EW28" s="21">
        <f>EXP(-LN(2)/25)*EW27+(1-EXP(-LN(2)/25))/(LN(2)/25)*Calculateur!ER28*Calculateur!ET28*VLOOKUP('Données projet'!$B$15,Paramètres!$A$1:$I$89,3,0)*0.475*44/12</f>
        <v>9.4308987319654189</v>
      </c>
      <c r="EX28" s="21">
        <f>EXP(-LN(2)/2)*EX27+(1-EXP(-LN(2)/2))/(LN(2)/2)*ER28*EU28*VLOOKUP('Données projet'!$B$15,Paramètres!$A$1:$I$89,3,0)*0.475*44/12</f>
        <v>7.3460391604785888</v>
      </c>
      <c r="EY28" s="22">
        <f t="shared" si="21"/>
        <v>19.658116266912195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108.5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12.916666666666666</v>
      </c>
      <c r="FB28" s="12">
        <f>VLOOKUP(A28,'Données projet'!$A$217:$I$237,2,0)</f>
        <v>112</v>
      </c>
      <c r="FC28" s="12">
        <f>VLOOKUP(A28,'Données projet'!$A$217:$I$237,9,0)</f>
        <v>4.4800000000000004</v>
      </c>
      <c r="FD28" s="12">
        <f t="array" ref="FD28">INDEX(FC:FC,MIN(IF(ISNUMBER(FC28:FC224),ROW(FC28:FC224),"")))</f>
        <v>4.4800000000000004</v>
      </c>
      <c r="FE28" s="12">
        <f>IF('Données projet'!$A$218&gt;35,FE27+FD28-FM27,IF(A28&lt;'Données projet'!$A$218,$FB$205^A28,IF(A28='Données projet'!$A$218,'Données projet'!$B$218,FE27+FD28-FM27)))</f>
        <v>112</v>
      </c>
      <c r="FF28" s="17">
        <f>FE28*VLOOKUP('Données projet'!$B$16,Paramètres!$A$1:$I$89,3,0)*VLOOKUP('Données projet'!$B$16,Paramètres!$A$1:$I$89,5,0)</f>
        <v>64.064000000000007</v>
      </c>
      <c r="FG28" s="13">
        <f t="shared" si="47"/>
        <v>18.191823792099679</v>
      </c>
      <c r="FH28" s="20">
        <f t="shared" si="22"/>
        <v>143.26222643790695</v>
      </c>
      <c r="FI28" s="59">
        <f t="shared" si="23"/>
        <v>588.45667088235143</v>
      </c>
      <c r="FJ28" s="59">
        <f ca="1">AVERAGE(OFFSET($FI$3,0,0,'Données projet'!$E$16+1,1))-AVERAGE(OFFSET($H$3,0,0,'Données projet'!$E$16+1,1))</f>
        <v>242.10913976205194</v>
      </c>
      <c r="FK28" s="59">
        <f t="shared" si="48"/>
        <v>198.24795425321133</v>
      </c>
      <c r="FL28" s="15">
        <f>IF(ISNA(VLOOKUP(A28,'Données projet'!$A$217:$I$237,3,0)),0,VLOOKUP(A28,'Données projet'!$A$217:$I$237,3,0))</f>
        <v>1</v>
      </c>
      <c r="FM28" s="15">
        <f>IF(ISNA(VLOOKUP(A28,'Données projet'!$A$217:$I$237,4,0)),0,VLOOKUP(A28,'Données projet'!$A$217:$I$237,4,0))</f>
        <v>33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0.22500000000000001</v>
      </c>
      <c r="FP28" s="16">
        <f>IF(ISNA(VLOOKUP(A28,'Données projet'!$A$217:$I$237,7,0)),0%,VLOOKUP(A28,'Données projet'!$A$217:$I$237,7,0))</f>
        <v>0.5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5.6118684896300239</v>
      </c>
      <c r="FS28" s="21">
        <f>EXP(-LN(2)/2)*FS27+(1-EXP(-LN(2)/2))/(LN(2)/2)*FM28*FP28*VLOOKUP('Données projet'!$B$16,Paramètres!$A$1:$I$89,3,0)*0.475*44/12</f>
        <v>10.686008424054783</v>
      </c>
      <c r="FT28" s="22">
        <f t="shared" si="24"/>
        <v>16.297876913684807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108.5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12.916666666666666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108.5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12.916666666666666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12.715560000000004</v>
      </c>
      <c r="D29" s="11">
        <f t="shared" si="32"/>
        <v>4.3585587584013803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72.490118237423431</v>
      </c>
      <c r="H29" s="67">
        <f t="shared" si="1"/>
        <v>427.57075683754908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108.5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13.433333333333335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12.2</v>
      </c>
      <c r="N29" s="13">
        <f>IF('Données projet'!$A$36&gt;35,N28+M29-V28,IF(A29&lt;'Données projet'!$A$36,$K$205^A29,IF(A29='Données projet'!$A$36,'Données projet'!$B$36,N28+M29-V28)))</f>
        <v>125.20000000000002</v>
      </c>
      <c r="O29" s="13">
        <f>N29*VLOOKUP('Données projet'!$B$9,Paramètres!$A$1:$I$89,3,0)*VLOOKUP('Données projet'!$B$9,Paramètres!$A$1:$I$89,5,0)</f>
        <v>101.56224000000003</v>
      </c>
      <c r="P29" s="13">
        <f t="shared" si="33"/>
        <v>27.333843239980084</v>
      </c>
      <c r="Q29" s="20">
        <f t="shared" si="2"/>
        <v>224.49401164296532</v>
      </c>
      <c r="R29" s="59">
        <f t="shared" si="0"/>
        <v>671.58290053185419</v>
      </c>
      <c r="S29" s="59">
        <f ca="1">AVERAGE(OFFSET($R$3,0,0,'Données projet'!$E$9+1,1))-AVERAGE(OFFSET($H$3,0,0,'Données projet'!$E$9+1,1))</f>
        <v>273.89826011924487</v>
      </c>
      <c r="T29" s="59">
        <f t="shared" si="34"/>
        <v>332.17519939974227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3.4961609291710061</v>
      </c>
      <c r="AB29" s="21">
        <f>EXP(-LN(2)/2)*AB28+(1-EXP(-LN(2)/2))/(LN(2)/2)*V29*Y29*VLOOKUP('Données projet'!$B$9,Paramètres!$A$1:$I$89,3,0)*0.475*44/12</f>
        <v>1.0284915132656038</v>
      </c>
      <c r="AC29" s="22">
        <f t="shared" si="3"/>
        <v>4.5246524424366097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108.5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13.433333333333335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200.69999999999993</v>
      </c>
      <c r="AJ29" s="13">
        <f>AI29*VLOOKUP('Données projet'!$B$10,Paramètres!$A$1:$I$89,3,0)*VLOOKUP('Données projet'!$B$10,Paramètres!$A$1:$I$89,5,0)</f>
        <v>93.927599999999956</v>
      </c>
      <c r="AK29" s="13">
        <f t="shared" si="35"/>
        <v>25.510099877901624</v>
      </c>
      <c r="AL29" s="20">
        <f t="shared" si="4"/>
        <v>208.02066062067857</v>
      </c>
      <c r="AM29" s="59">
        <f t="shared" si="5"/>
        <v>655.1095495095675</v>
      </c>
      <c r="AN29" s="59">
        <f ca="1">AVERAGE(OFFSET($AM$3,0,0,'Données projet'!$E$10+1,1))-AVERAGE(OFFSET($H$3,0,0,'Données projet'!$E$10+1,1))</f>
        <v>293.42903587188346</v>
      </c>
      <c r="AO29" s="59">
        <f t="shared" si="36"/>
        <v>267.80827667062124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1.7999330822686364</v>
      </c>
      <c r="AW29" s="21">
        <f>EXP(-LN(2)/2)*AW28+(1-EXP(-LN(2)/2))/(LN(2)/2)*AQ29*AT29*VLOOKUP('Données projet'!$B$10,Paramètres!$A$1:$I$89,3,0)*0.475*44/12</f>
        <v>0.4139724337831141</v>
      </c>
      <c r="AX29" s="21">
        <f t="shared" si="6"/>
        <v>2.2139055160517502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108.5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13.433333333333335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6.3</v>
      </c>
      <c r="BD29" s="12">
        <f>IF('Données projet'!$A$88&gt;35,BD28+BC29-BL28,IF(A29&lt;'Données projet'!$A$88,$BA$205^A29,IF(A29='Données projet'!$A$88,'Données projet'!$B$88,BD28+BC29-BL28)))</f>
        <v>79.799999999999983</v>
      </c>
      <c r="BE29" s="13">
        <f>BD29*VLOOKUP('Données projet'!$B$11,Paramètres!$A$1:$I$89,3,0)*VLOOKUP('Données projet'!$B$11,Paramètres!$A$1:$I$89,5,0)</f>
        <v>72.203039999999973</v>
      </c>
      <c r="BF29" s="13">
        <f t="shared" si="37"/>
        <v>20.219559499787128</v>
      </c>
      <c r="BG29" s="20">
        <f t="shared" si="7"/>
        <v>160.96936079546251</v>
      </c>
      <c r="BH29" s="59">
        <f t="shared" si="8"/>
        <v>608.05824968435138</v>
      </c>
      <c r="BI29" s="59">
        <f ca="1">AVERAGE(OFFSET($BH$3,0,0,'Données projet'!$E$11+1,1))-AVERAGE(OFFSET($H$3,0,0,'Données projet'!$E$11+1,1))</f>
        <v>324.41828402031939</v>
      </c>
      <c r="BJ29" s="59">
        <f t="shared" si="38"/>
        <v>233.01060088065992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108.5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13.433333333333335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194.4</v>
      </c>
      <c r="BZ29" s="13">
        <f>BY29*VLOOKUP('Données projet'!$B$12,Paramètres!$A$1:$I$89,3,0)*VLOOKUP('Données projet'!$B$12,Paramètres!$A$1:$I$89,5,0)</f>
        <v>106.14239999999999</v>
      </c>
      <c r="CA29" s="13">
        <f t="shared" si="39"/>
        <v>28.420224211524975</v>
      </c>
      <c r="CB29" s="20">
        <f t="shared" si="10"/>
        <v>234.36323716840596</v>
      </c>
      <c r="CC29" s="59">
        <f t="shared" si="11"/>
        <v>681.45212605729489</v>
      </c>
      <c r="CD29" s="59">
        <f ca="1">AVERAGE(OFFSET($CC$3,0,0,'Données projet'!$E$12+1,1))-AVERAGE(OFFSET($H$3,0,0,'Données projet'!$E$12+1,1))</f>
        <v>279.00060755204919</v>
      </c>
      <c r="CE29" s="59">
        <f t="shared" si="40"/>
        <v>333.91128554211014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14.844539020310059</v>
      </c>
      <c r="CM29" s="21">
        <f>EXP(-LN(2)/2)*CM28+(1-EXP(-LN(2)/2))/(LN(2)/2)*CG29*CJ29*VLOOKUP('Données projet'!$B$12,Paramètres!$A$1:$I$89,3,0)*0.475*44/12</f>
        <v>3.1296315994003425</v>
      </c>
      <c r="CN29" s="22">
        <f t="shared" si="12"/>
        <v>17.974170619710399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108.5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13.433333333333335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18.3</v>
      </c>
      <c r="CT29" s="12">
        <f>IF('Données projet'!$A$140&gt;35,CT28+CS29-DB28,IF(A29&lt;'Données projet'!$A$140,$CQ$205^A29,IF(A29='Données projet'!$A$140,'Données projet'!$B$140,CT28+CS29-DB28)))</f>
        <v>219.80000000000007</v>
      </c>
      <c r="CU29" s="17">
        <f>CT29*VLOOKUP('Données projet'!$B$13,Paramètres!$A$1:$I$89,3,0)*VLOOKUP('Données projet'!$B$13,Paramètres!$A$1:$I$89,5,0)</f>
        <v>131.44040000000004</v>
      </c>
      <c r="CV29" s="13">
        <f t="shared" si="41"/>
        <v>34.328979730885401</v>
      </c>
      <c r="CW29" s="20">
        <f t="shared" si="13"/>
        <v>288.71500303129216</v>
      </c>
      <c r="CX29" s="59">
        <f t="shared" si="14"/>
        <v>735.80389192018106</v>
      </c>
      <c r="CY29" s="59">
        <f ca="1">AVERAGE(OFFSET($CX$3,0,0,'Données projet'!$E$13+1,1))-AVERAGE(OFFSET($H$3,0,0,'Données projet'!$E$13+1,1))</f>
        <v>380.01315081072897</v>
      </c>
      <c r="CZ29" s="59">
        <f t="shared" si="42"/>
        <v>404.90871625409181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6.3226740271691009</v>
      </c>
      <c r="DH29" s="21">
        <f>EXP(-LN(2)/2)*DH28+(1-EXP(-LN(2)/2))/(LN(2)/2)*DB29*DE29*VLOOKUP('Données projet'!$B$13,Paramètres!$A$1:$I$89,3,0)*0.475*44/12</f>
        <v>1.7773216490421708</v>
      </c>
      <c r="DI29" s="22">
        <f t="shared" si="15"/>
        <v>8.0999956762112717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108.5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13.433333333333335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8</v>
      </c>
      <c r="DO29" s="12">
        <f>IF('Données projet'!$A$166&gt;35,DO28+DN29-DW28,IF(A29&lt;'Données projet'!$A$166,$DL$205^A29,IF(A29='Données projet'!$A$166,'Données projet'!$B$166,DO28+DN29-DW28)))</f>
        <v>222.99999999999997</v>
      </c>
      <c r="DP29" s="17">
        <f>DO29*VLOOKUP('Données projet'!$B$14,Paramètres!$A$1:$I$89,3,0)*VLOOKUP('Données projet'!$B$14,Paramètres!$A$1:$I$89,5,0)</f>
        <v>201.77039999999997</v>
      </c>
      <c r="DQ29" s="13">
        <f t="shared" si="43"/>
        <v>50.133048269036053</v>
      </c>
      <c r="DR29" s="20">
        <f t="shared" si="16"/>
        <v>438.73183906857099</v>
      </c>
      <c r="DS29" s="59">
        <f t="shared" si="17"/>
        <v>885.82072795745989</v>
      </c>
      <c r="DT29" s="59">
        <f ca="1">AVERAGE(OFFSET($DS$3,0,0,'Données projet'!$E$14+1,1))-AVERAGE(OFFSET($H$3,0,0,'Données projet'!$E$14+1,1))</f>
        <v>320.81451813551064</v>
      </c>
      <c r="DU29" s="59">
        <f t="shared" si="44"/>
        <v>522.80818268773976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1.1423676092744235</v>
      </c>
      <c r="EB29" s="21">
        <f>EXP(-LN(2)/25)*EB28+(1-EXP(-LN(2)/25))/(LN(2)/25)*Calculateur!DW29*Calculateur!DY29*VLOOKUP('Données projet'!$B$14,Paramètres!$A$1:$I$89,3,0)*0.475*44/12</f>
        <v>9.9122864109957671</v>
      </c>
      <c r="EC29" s="21">
        <f>EXP(-LN(2)/2)*EC28+(1-EXP(-LN(2)/2))/(LN(2)/2)*DW29*DZ29*VLOOKUP('Données projet'!$B$14,Paramètres!$A$1:$I$89,3,0)*0.475*44/12</f>
        <v>6.1985084539786319</v>
      </c>
      <c r="ED29" s="22">
        <f t="shared" si="18"/>
        <v>17.253162474248821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108.5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13.433333333333335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16</v>
      </c>
      <c r="EJ29" s="12">
        <f>IF('Données projet'!$A$192&gt;35,EJ28+EI29-ER28,IF(A29&lt;'Données projet'!$A$192,$EG$205^A29,IF(A29='Données projet'!$A$192,'Données projet'!$B$192,EJ28+EI29-ER28)))</f>
        <v>158</v>
      </c>
      <c r="EK29" s="17">
        <f>EJ29*VLOOKUP('Données projet'!$B$15,Paramètres!$A$1:$I$89,3,0)*VLOOKUP('Données projet'!$B$15,Paramètres!$A$1:$I$89,5,0)</f>
        <v>94.484000000000009</v>
      </c>
      <c r="EL29" s="13">
        <f t="shared" si="45"/>
        <v>25.643578691511802</v>
      </c>
      <c r="EM29" s="20">
        <f t="shared" si="19"/>
        <v>209.22219955438308</v>
      </c>
      <c r="EN29" s="59">
        <f t="shared" si="20"/>
        <v>656.31108844327196</v>
      </c>
      <c r="EO29" s="59">
        <f ca="1">AVERAGE(OFFSET($EN$3,0,0,'Données projet'!$E$15+1,1))-AVERAGE(OFFSET($H$3,0,0,'Données projet'!$E$15+1,1))</f>
        <v>228.3393311631487</v>
      </c>
      <c r="EP29" s="59">
        <f t="shared" si="46"/>
        <v>266.26050497804033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2.8246802238901525</v>
      </c>
      <c r="EW29" s="21">
        <f>EXP(-LN(2)/25)*EW28+(1-EXP(-LN(2)/25))/(LN(2)/25)*Calculateur!ER29*Calculateur!ET29*VLOOKUP('Données projet'!$B$15,Paramètres!$A$1:$I$89,3,0)*0.475*44/12</f>
        <v>9.1730103101904152</v>
      </c>
      <c r="EX29" s="21">
        <f>EXP(-LN(2)/2)*EX28+(1-EXP(-LN(2)/2))/(LN(2)/2)*ER29*EU29*VLOOKUP('Données projet'!$B$15,Paramètres!$A$1:$I$89,3,0)*0.475*44/12</f>
        <v>5.1944341052363434</v>
      </c>
      <c r="EY29" s="22">
        <f t="shared" si="21"/>
        <v>17.192124639316912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108.5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13.433333333333335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11.8</v>
      </c>
      <c r="FE29" s="12">
        <f>IF('Données projet'!$A$218&gt;35,FE28+FD29-FM28,IF(A29&lt;'Données projet'!$A$218,$FB$205^A29,IF(A29='Données projet'!$A$218,'Données projet'!$B$218,FE28+FD29-FM28)))</f>
        <v>90.8</v>
      </c>
      <c r="FF29" s="17">
        <f>FE29*VLOOKUP('Données projet'!$B$16,Paramètres!$A$1:$I$89,3,0)*VLOOKUP('Données projet'!$B$16,Paramètres!$A$1:$I$89,5,0)</f>
        <v>51.937599999999996</v>
      </c>
      <c r="FG29" s="13">
        <f t="shared" si="47"/>
        <v>15.113040691038833</v>
      </c>
      <c r="FH29" s="20">
        <f t="shared" si="22"/>
        <v>116.77986587022598</v>
      </c>
      <c r="FI29" s="59">
        <f t="shared" si="23"/>
        <v>563.86875475911484</v>
      </c>
      <c r="FJ29" s="59">
        <f ca="1">AVERAGE(OFFSET($FI$3,0,0,'Données projet'!$E$16+1,1))-AVERAGE(OFFSET($H$3,0,0,'Données projet'!$E$16+1,1))</f>
        <v>242.10913976205194</v>
      </c>
      <c r="FK29" s="59">
        <f t="shared" si="48"/>
        <v>198.24795425321133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5.4584116506657532</v>
      </c>
      <c r="FS29" s="21">
        <f>EXP(-LN(2)/2)*FS28+(1-EXP(-LN(2)/2))/(LN(2)/2)*FM29*FP29*VLOOKUP('Données projet'!$B$16,Paramètres!$A$1:$I$89,3,0)*0.475*44/12</f>
        <v>7.5561490204657096</v>
      </c>
      <c r="FT29" s="22">
        <f t="shared" si="24"/>
        <v>13.014560671131463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108.5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13.433333333333335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108.5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13.433333333333335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13.204620000000004</v>
      </c>
      <c r="D30" s="11">
        <f t="shared" si="32"/>
        <v>4.5063557830665433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75.193967359686056</v>
      </c>
      <c r="H30" s="67">
        <f t="shared" si="1"/>
        <v>428.67994948884086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108.5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13.95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12.2</v>
      </c>
      <c r="N30" s="13">
        <f>IF('Données projet'!$A$36&gt;35,N29+M30-V29,IF(A30&lt;'Données projet'!$A$36,$K$205^A30,IF(A30='Données projet'!$A$36,'Données projet'!$B$36,N29+M30-V29)))</f>
        <v>137.4</v>
      </c>
      <c r="O30" s="13">
        <f>N30*VLOOKUP('Données projet'!$B$9,Paramètres!$A$1:$I$89,3,0)*VLOOKUP('Données projet'!$B$9,Paramètres!$A$1:$I$89,5,0)</f>
        <v>111.45888000000002</v>
      </c>
      <c r="P30" s="13">
        <f t="shared" si="33"/>
        <v>29.674444066375862</v>
      </c>
      <c r="Q30" s="20">
        <f t="shared" si="2"/>
        <v>245.80720608227134</v>
      </c>
      <c r="R30" s="59">
        <f t="shared" si="0"/>
        <v>694.79053941560471</v>
      </c>
      <c r="S30" s="59">
        <f ca="1">AVERAGE(OFFSET($R$3,0,0,'Données projet'!$E$9+1,1))-AVERAGE(OFFSET($H$3,0,0,'Données projet'!$E$9+1,1))</f>
        <v>273.89826011924487</v>
      </c>
      <c r="T30" s="59">
        <f t="shared" si="34"/>
        <v>332.17519939974227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3.4005582247077122</v>
      </c>
      <c r="AB30" s="21">
        <f>EXP(-LN(2)/2)*AB29+(1-EXP(-LN(2)/2))/(LN(2)/2)*V30*Y30*VLOOKUP('Données projet'!$B$9,Paramètres!$A$1:$I$89,3,0)*0.475*44/12</f>
        <v>0.72725332342292248</v>
      </c>
      <c r="AC30" s="22">
        <f t="shared" si="3"/>
        <v>4.1278115481306346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108.5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13.95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209.89999999999992</v>
      </c>
      <c r="AJ30" s="13">
        <f>AI30*VLOOKUP('Données projet'!$B$10,Paramètres!$A$1:$I$89,3,0)*VLOOKUP('Données projet'!$B$10,Paramètres!$A$1:$I$89,5,0)</f>
        <v>98.233199999999954</v>
      </c>
      <c r="AK30" s="13">
        <f t="shared" si="35"/>
        <v>26.540646121089583</v>
      </c>
      <c r="AL30" s="20">
        <f t="shared" si="4"/>
        <v>217.3144486608976</v>
      </c>
      <c r="AM30" s="59">
        <f t="shared" si="5"/>
        <v>666.29778199423095</v>
      </c>
      <c r="AN30" s="59">
        <f ca="1">AVERAGE(OFFSET($AM$3,0,0,'Données projet'!$E$10+1,1))-AVERAGE(OFFSET($H$3,0,0,'Données projet'!$E$10+1,1))</f>
        <v>293.42903587188346</v>
      </c>
      <c r="AO30" s="59">
        <f t="shared" si="36"/>
        <v>267.80827667062124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1.7507138174796335</v>
      </c>
      <c r="AW30" s="21">
        <f>EXP(-LN(2)/2)*AW29+(1-EXP(-LN(2)/2))/(LN(2)/2)*AQ30*AT30*VLOOKUP('Données projet'!$B$10,Paramètres!$A$1:$I$89,3,0)*0.475*44/12</f>
        <v>0.292722715152339</v>
      </c>
      <c r="AX30" s="21">
        <f t="shared" si="6"/>
        <v>2.0434365326319726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108.5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13.95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6.3</v>
      </c>
      <c r="BD30" s="12">
        <f>IF('Données projet'!$A$88&gt;35,BD29+BC30-BL29,IF(A30&lt;'Données projet'!$A$88,$BA$205^A30,IF(A30='Données projet'!$A$88,'Données projet'!$B$88,BD29+BC30-BL29)))</f>
        <v>86.09999999999998</v>
      </c>
      <c r="BE30" s="13">
        <f>BD30*VLOOKUP('Données projet'!$B$11,Paramètres!$A$1:$I$89,3,0)*VLOOKUP('Données projet'!$B$11,Paramètres!$A$1:$I$89,5,0)</f>
        <v>77.903279999999981</v>
      </c>
      <c r="BF30" s="13">
        <f t="shared" si="37"/>
        <v>21.623735462576285</v>
      </c>
      <c r="BG30" s="20">
        <f t="shared" si="7"/>
        <v>173.342885263987</v>
      </c>
      <c r="BH30" s="59">
        <f t="shared" si="8"/>
        <v>622.32621859732035</v>
      </c>
      <c r="BI30" s="59">
        <f ca="1">AVERAGE(OFFSET($BH$3,0,0,'Données projet'!$E$11+1,1))-AVERAGE(OFFSET($H$3,0,0,'Données projet'!$E$11+1,1))</f>
        <v>324.41828402031939</v>
      </c>
      <c r="BJ30" s="59">
        <f t="shared" si="38"/>
        <v>233.01060088065992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108.5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13.95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210.8</v>
      </c>
      <c r="BZ30" s="13">
        <f>BY30*VLOOKUP('Données projet'!$B$12,Paramètres!$A$1:$I$89,3,0)*VLOOKUP('Données projet'!$B$12,Paramètres!$A$1:$I$89,5,0)</f>
        <v>115.0968</v>
      </c>
      <c r="CA30" s="13">
        <f t="shared" si="39"/>
        <v>30.528646626547697</v>
      </c>
      <c r="CB30" s="20">
        <f t="shared" si="10"/>
        <v>253.6309862079039</v>
      </c>
      <c r="CC30" s="59">
        <f t="shared" si="11"/>
        <v>702.61431954123725</v>
      </c>
      <c r="CD30" s="59">
        <f ca="1">AVERAGE(OFFSET($CC$3,0,0,'Données projet'!$E$12+1,1))-AVERAGE(OFFSET($H$3,0,0,'Données projet'!$E$12+1,1))</f>
        <v>279.00060755204919</v>
      </c>
      <c r="CE30" s="59">
        <f t="shared" si="40"/>
        <v>333.91128554211014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14.438614320159301</v>
      </c>
      <c r="CM30" s="21">
        <f>EXP(-LN(2)/2)*CM29+(1-EXP(-LN(2)/2))/(LN(2)/2)*CG30*CJ30*VLOOKUP('Données projet'!$B$12,Paramètres!$A$1:$I$89,3,0)*0.475*44/12</f>
        <v>2.2129837265516827</v>
      </c>
      <c r="CN30" s="22">
        <f t="shared" si="12"/>
        <v>16.651598046710983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108.5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13.95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18.3</v>
      </c>
      <c r="CT30" s="12">
        <f>IF('Données projet'!$A$140&gt;35,CT29+CS30-DB29,IF(A30&lt;'Données projet'!$A$140,$CQ$205^A30,IF(A30='Données projet'!$A$140,'Données projet'!$B$140,CT29+CS30-DB29)))</f>
        <v>238.10000000000008</v>
      </c>
      <c r="CU30" s="17">
        <f>CT30*VLOOKUP('Données projet'!$B$13,Paramètres!$A$1:$I$89,3,0)*VLOOKUP('Données projet'!$B$13,Paramètres!$A$1:$I$89,5,0)</f>
        <v>142.38380000000006</v>
      </c>
      <c r="CV30" s="13">
        <f t="shared" si="41"/>
        <v>36.842562829894852</v>
      </c>
      <c r="CW30" s="20">
        <f t="shared" si="13"/>
        <v>312.15258192873364</v>
      </c>
      <c r="CX30" s="59">
        <f t="shared" si="14"/>
        <v>761.13591526206699</v>
      </c>
      <c r="CY30" s="59">
        <f ca="1">AVERAGE(OFFSET($CX$3,0,0,'Données projet'!$E$13+1,1))-AVERAGE(OFFSET($H$3,0,0,'Données projet'!$E$13+1,1))</f>
        <v>380.01315081072897</v>
      </c>
      <c r="CZ30" s="59">
        <f t="shared" si="42"/>
        <v>404.90871625409181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6.1497801734011857</v>
      </c>
      <c r="DH30" s="21">
        <f>EXP(-LN(2)/2)*DH29+(1-EXP(-LN(2)/2))/(LN(2)/2)*DB30*DE30*VLOOKUP('Données projet'!$B$13,Paramètres!$A$1:$I$89,3,0)*0.475*44/12</f>
        <v>1.2567561903873763</v>
      </c>
      <c r="DI30" s="22">
        <f t="shared" si="15"/>
        <v>7.4065363637885619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108.5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13.95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8</v>
      </c>
      <c r="DO30" s="12">
        <f>IF('Données projet'!$A$166&gt;35,DO29+DN30-DW29,IF(A30&lt;'Données projet'!$A$166,$DL$205^A30,IF(A30='Données projet'!$A$166,'Données projet'!$B$166,DO29+DN30-DW29)))</f>
        <v>230.99999999999997</v>
      </c>
      <c r="DP30" s="17">
        <f>DO30*VLOOKUP('Données projet'!$B$14,Paramètres!$A$1:$I$89,3,0)*VLOOKUP('Données projet'!$B$14,Paramètres!$A$1:$I$89,5,0)</f>
        <v>209.00879999999995</v>
      </c>
      <c r="DQ30" s="13">
        <f t="shared" si="43"/>
        <v>51.718923953824202</v>
      </c>
      <c r="DR30" s="20">
        <f t="shared" si="16"/>
        <v>454.10078588624361</v>
      </c>
      <c r="DS30" s="59">
        <f t="shared" si="17"/>
        <v>903.08411921957691</v>
      </c>
      <c r="DT30" s="59">
        <f ca="1">AVERAGE(OFFSET($DS$3,0,0,'Données projet'!$E$14+1,1))-AVERAGE(OFFSET($H$3,0,0,'Données projet'!$E$14+1,1))</f>
        <v>320.81451813551064</v>
      </c>
      <c r="DU30" s="59">
        <f t="shared" si="44"/>
        <v>522.80818268773976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1.1199664772319928</v>
      </c>
      <c r="EB30" s="21">
        <f>EXP(-LN(2)/25)*EB29+(1-EXP(-LN(2)/25))/(LN(2)/25)*Calculateur!DW30*Calculateur!DY30*VLOOKUP('Données projet'!$B$14,Paramètres!$A$1:$I$89,3,0)*0.475*44/12</f>
        <v>9.6412344178226004</v>
      </c>
      <c r="EC30" s="21">
        <f>EXP(-LN(2)/2)*EC29+(1-EXP(-LN(2)/2))/(LN(2)/2)*DW30*DZ30*VLOOKUP('Données projet'!$B$14,Paramètres!$A$1:$I$89,3,0)*0.475*44/12</f>
        <v>4.3830073610504341</v>
      </c>
      <c r="ED30" s="22">
        <f t="shared" si="18"/>
        <v>15.144208256105028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108.5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13.95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16</v>
      </c>
      <c r="EJ30" s="12">
        <f>IF('Données projet'!$A$192&gt;35,EJ29+EI30-ER29,IF(A30&lt;'Données projet'!$A$192,$EG$205^A30,IF(A30='Données projet'!$A$192,'Données projet'!$B$192,EJ29+EI30-ER29)))</f>
        <v>174</v>
      </c>
      <c r="EK30" s="17">
        <f>EJ30*VLOOKUP('Données projet'!$B$15,Paramètres!$A$1:$I$89,3,0)*VLOOKUP('Données projet'!$B$15,Paramètres!$A$1:$I$89,5,0)</f>
        <v>104.05200000000001</v>
      </c>
      <c r="EL30" s="13">
        <f t="shared" si="45"/>
        <v>27.925087771564417</v>
      </c>
      <c r="EM30" s="20">
        <f t="shared" si="19"/>
        <v>229.86009453547467</v>
      </c>
      <c r="EN30" s="59">
        <f t="shared" si="20"/>
        <v>678.84342786880802</v>
      </c>
      <c r="EO30" s="59">
        <f ca="1">AVERAGE(OFFSET($EN$3,0,0,'Données projet'!$E$15+1,1))-AVERAGE(OFFSET($H$3,0,0,'Données projet'!$E$15+1,1))</f>
        <v>228.3393311631487</v>
      </c>
      <c r="EP30" s="59">
        <f t="shared" si="46"/>
        <v>266.26050497804033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2.7692899675844824</v>
      </c>
      <c r="EW30" s="21">
        <f>EXP(-LN(2)/25)*EW29+(1-EXP(-LN(2)/25))/(LN(2)/25)*Calculateur!ER30*Calculateur!ET30*VLOOKUP('Données projet'!$B$15,Paramètres!$A$1:$I$89,3,0)*0.475*44/12</f>
        <v>8.9221738608706112</v>
      </c>
      <c r="EX30" s="21">
        <f>EXP(-LN(2)/2)*EX29+(1-EXP(-LN(2)/2))/(LN(2)/2)*ER30*EU30*VLOOKUP('Données projet'!$B$15,Paramètres!$A$1:$I$89,3,0)*0.475*44/12</f>
        <v>3.6730195802392953</v>
      </c>
      <c r="EY30" s="22">
        <f t="shared" si="21"/>
        <v>15.364483408694388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108.5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13.95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11.8</v>
      </c>
      <c r="FE30" s="12">
        <f>IF('Données projet'!$A$218&gt;35,FE29+FD30-FM29,IF(A30&lt;'Données projet'!$A$218,$FB$205^A30,IF(A30='Données projet'!$A$218,'Données projet'!$B$218,FE29+FD30-FM29)))</f>
        <v>102.6</v>
      </c>
      <c r="FF30" s="17">
        <f>FE30*VLOOKUP('Données projet'!$B$16,Paramètres!$A$1:$I$89,3,0)*VLOOKUP('Données projet'!$B$16,Paramètres!$A$1:$I$89,5,0)</f>
        <v>58.687199999999997</v>
      </c>
      <c r="FG30" s="13">
        <f t="shared" si="47"/>
        <v>16.835925833077539</v>
      </c>
      <c r="FH30" s="20">
        <f t="shared" si="22"/>
        <v>131.53611082594338</v>
      </c>
      <c r="FI30" s="59">
        <f t="shared" si="23"/>
        <v>580.51944415927676</v>
      </c>
      <c r="FJ30" s="59">
        <f ca="1">AVERAGE(OFFSET($FI$3,0,0,'Données projet'!$E$16+1,1))-AVERAGE(OFFSET($H$3,0,0,'Données projet'!$E$16+1,1))</f>
        <v>242.10913976205194</v>
      </c>
      <c r="FK30" s="59">
        <f t="shared" si="48"/>
        <v>198.24795425321133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5.3091510970329052</v>
      </c>
      <c r="FS30" s="21">
        <f>EXP(-LN(2)/2)*FS29+(1-EXP(-LN(2)/2))/(LN(2)/2)*FM30*FP30*VLOOKUP('Données projet'!$B$16,Paramètres!$A$1:$I$89,3,0)*0.475*44/12</f>
        <v>5.3430042120273926</v>
      </c>
      <c r="FT30" s="22">
        <f t="shared" si="24"/>
        <v>10.652155309060298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108.5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13.95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108.5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13.95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13.693680000000004</v>
      </c>
      <c r="D31" s="11">
        <f t="shared" si="32"/>
        <v>4.6535168562437805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77.895116477385884</v>
      </c>
      <c r="H31" s="67">
        <f t="shared" si="1"/>
        <v>429.78803452462455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108.5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14.466666666666667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12.2</v>
      </c>
      <c r="N31" s="13">
        <f>IF('Données projet'!$A$36&gt;35,N30+M31-V30,IF(A31&lt;'Données projet'!$A$36,$K$205^A31,IF(A31='Données projet'!$A$36,'Données projet'!$B$36,N30+M31-V30)))</f>
        <v>149.6</v>
      </c>
      <c r="O31" s="13">
        <f>N31*VLOOKUP('Données projet'!$B$9,Paramètres!$A$1:$I$89,3,0)*VLOOKUP('Données projet'!$B$9,Paramètres!$A$1:$I$89,5,0)</f>
        <v>121.35552000000001</v>
      </c>
      <c r="P31" s="13">
        <f t="shared" si="33"/>
        <v>31.990945095046595</v>
      </c>
      <c r="Q31" s="20">
        <f t="shared" si="2"/>
        <v>267.07842670720612</v>
      </c>
      <c r="R31" s="59">
        <f t="shared" si="0"/>
        <v>717.95620448498391</v>
      </c>
      <c r="S31" s="59">
        <f ca="1">AVERAGE(OFFSET($R$3,0,0,'Données projet'!$E$9+1,1))-AVERAGE(OFFSET($H$3,0,0,'Données projet'!$E$9+1,1))</f>
        <v>273.89826011924487</v>
      </c>
      <c r="T31" s="59">
        <f t="shared" si="34"/>
        <v>332.17519939974227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3.3075697812254949</v>
      </c>
      <c r="AB31" s="21">
        <f>EXP(-LN(2)/2)*AB30+(1-EXP(-LN(2)/2))/(LN(2)/2)*V31*Y31*VLOOKUP('Données projet'!$B$9,Paramètres!$A$1:$I$89,3,0)*0.475*44/12</f>
        <v>0.51424575663280192</v>
      </c>
      <c r="AC31" s="22">
        <f t="shared" si="3"/>
        <v>3.821815537858297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108.5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14.466666666666667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219.09999999999991</v>
      </c>
      <c r="AJ31" s="13">
        <f>AI31*VLOOKUP('Données projet'!$B$10,Paramètres!$A$1:$I$89,3,0)*VLOOKUP('Données projet'!$B$10,Paramètres!$A$1:$I$89,5,0)</f>
        <v>102.53879999999995</v>
      </c>
      <c r="AK31" s="13">
        <f t="shared" si="35"/>
        <v>27.565946279127878</v>
      </c>
      <c r="AL31" s="20">
        <f t="shared" si="4"/>
        <v>226.59909976948094</v>
      </c>
      <c r="AM31" s="59">
        <f t="shared" si="5"/>
        <v>677.47687754725871</v>
      </c>
      <c r="AN31" s="59">
        <f ca="1">AVERAGE(OFFSET($AM$3,0,0,'Données projet'!$E$10+1,1))-AVERAGE(OFFSET($H$3,0,0,'Données projet'!$E$10+1,1))</f>
        <v>293.42903587188346</v>
      </c>
      <c r="AO31" s="59">
        <f t="shared" si="36"/>
        <v>267.80827667062124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1.7028404560746147</v>
      </c>
      <c r="AW31" s="21">
        <f>EXP(-LN(2)/2)*AW30+(1-EXP(-LN(2)/2))/(LN(2)/2)*AQ31*AT31*VLOOKUP('Données projet'!$B$10,Paramètres!$A$1:$I$89,3,0)*0.475*44/12</f>
        <v>0.20698621689155705</v>
      </c>
      <c r="AX31" s="21">
        <f t="shared" si="6"/>
        <v>1.9098266729661717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108.5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14.466666666666667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6.3</v>
      </c>
      <c r="BD31" s="12">
        <f>IF('Données projet'!$A$88&gt;35,BD30+BC31-BL30,IF(A31&lt;'Données projet'!$A$88,$BA$205^A31,IF(A31='Données projet'!$A$88,'Données projet'!$B$88,BD30+BC31-BL30)))</f>
        <v>92.399999999999977</v>
      </c>
      <c r="BE31" s="13">
        <f>BD31*VLOOKUP('Données projet'!$B$11,Paramètres!$A$1:$I$89,3,0)*VLOOKUP('Données projet'!$B$11,Paramètres!$A$1:$I$89,5,0)</f>
        <v>83.603519999999975</v>
      </c>
      <c r="BF31" s="13">
        <f t="shared" si="37"/>
        <v>23.015991519299678</v>
      </c>
      <c r="BG31" s="20">
        <f t="shared" si="7"/>
        <v>185.69564922944687</v>
      </c>
      <c r="BH31" s="59">
        <f t="shared" si="8"/>
        <v>636.57342700722461</v>
      </c>
      <c r="BI31" s="59">
        <f ca="1">AVERAGE(OFFSET($BH$3,0,0,'Données projet'!$E$11+1,1))-AVERAGE(OFFSET($H$3,0,0,'Données projet'!$E$11+1,1))</f>
        <v>324.41828402031939</v>
      </c>
      <c r="BJ31" s="59">
        <f t="shared" si="38"/>
        <v>233.01060088065992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108.5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14.466666666666667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227.20000000000002</v>
      </c>
      <c r="BZ31" s="13">
        <f>BY31*VLOOKUP('Données projet'!$B$12,Paramètres!$A$1:$I$89,3,0)*VLOOKUP('Données projet'!$B$12,Paramètres!$A$1:$I$89,5,0)</f>
        <v>124.05120000000001</v>
      </c>
      <c r="CA31" s="13">
        <f t="shared" si="39"/>
        <v>32.618041559365977</v>
      </c>
      <c r="CB31" s="20">
        <f t="shared" si="10"/>
        <v>272.86559571589572</v>
      </c>
      <c r="CC31" s="59">
        <f t="shared" si="11"/>
        <v>723.74337349367352</v>
      </c>
      <c r="CD31" s="59">
        <f ca="1">AVERAGE(OFFSET($CC$3,0,0,'Données projet'!$E$12+1,1))-AVERAGE(OFFSET($H$3,0,0,'Données projet'!$E$12+1,1))</f>
        <v>279.00060755204919</v>
      </c>
      <c r="CE31" s="59">
        <f t="shared" si="40"/>
        <v>333.91128554211014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14.043789652280818</v>
      </c>
      <c r="CM31" s="21">
        <f>EXP(-LN(2)/2)*CM30+(1-EXP(-LN(2)/2))/(LN(2)/2)*CG31*CJ31*VLOOKUP('Données projet'!$B$12,Paramètres!$A$1:$I$89,3,0)*0.475*44/12</f>
        <v>1.5648157997001713</v>
      </c>
      <c r="CN31" s="22">
        <f t="shared" si="12"/>
        <v>15.608605451980988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108.5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14.466666666666667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18.3</v>
      </c>
      <c r="CT31" s="12">
        <f>IF('Données projet'!$A$140&gt;35,CT30+CS31-DB30,IF(A31&lt;'Données projet'!$A$140,$CQ$205^A31,IF(A31='Données projet'!$A$140,'Données projet'!$B$140,CT30+CS31-DB30)))</f>
        <v>256.40000000000009</v>
      </c>
      <c r="CU31" s="17">
        <f>CT31*VLOOKUP('Données projet'!$B$13,Paramètres!$A$1:$I$89,3,0)*VLOOKUP('Données projet'!$B$13,Paramètres!$A$1:$I$89,5,0)</f>
        <v>153.32720000000006</v>
      </c>
      <c r="CV31" s="13">
        <f t="shared" si="41"/>
        <v>39.333735610594964</v>
      </c>
      <c r="CW31" s="20">
        <f t="shared" si="13"/>
        <v>335.55112952178632</v>
      </c>
      <c r="CX31" s="59">
        <f t="shared" si="14"/>
        <v>786.42890729956412</v>
      </c>
      <c r="CY31" s="59">
        <f ca="1">AVERAGE(OFFSET($CX$3,0,0,'Données projet'!$E$13+1,1))-AVERAGE(OFFSET($H$3,0,0,'Données projet'!$E$13+1,1))</f>
        <v>380.01315081072897</v>
      </c>
      <c r="CZ31" s="59">
        <f t="shared" si="42"/>
        <v>404.90871625409181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5.9816141111566461</v>
      </c>
      <c r="DH31" s="21">
        <f>EXP(-LN(2)/2)*DH30+(1-EXP(-LN(2)/2))/(LN(2)/2)*DB31*DE31*VLOOKUP('Données projet'!$B$13,Paramètres!$A$1:$I$89,3,0)*0.475*44/12</f>
        <v>0.88866082452108563</v>
      </c>
      <c r="DI31" s="22">
        <f t="shared" si="15"/>
        <v>6.870274935677732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108.5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14.466666666666667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8</v>
      </c>
      <c r="DO31" s="12">
        <f>IF('Données projet'!$A$166&gt;35,DO30+DN31-DW30,IF(A31&lt;'Données projet'!$A$166,$DL$205^A31,IF(A31='Données projet'!$A$166,'Données projet'!$B$166,DO30+DN31-DW30)))</f>
        <v>238.99999999999997</v>
      </c>
      <c r="DP31" s="17">
        <f>DO31*VLOOKUP('Données projet'!$B$14,Paramètres!$A$1:$I$89,3,0)*VLOOKUP('Données projet'!$B$14,Paramètres!$A$1:$I$89,5,0)</f>
        <v>216.24719999999996</v>
      </c>
      <c r="DQ31" s="13">
        <f t="shared" si="43"/>
        <v>53.298418226645332</v>
      </c>
      <c r="DR31" s="20">
        <f t="shared" si="16"/>
        <v>469.45861841140714</v>
      </c>
      <c r="DS31" s="59">
        <f t="shared" si="17"/>
        <v>920.33639618918494</v>
      </c>
      <c r="DT31" s="59">
        <f ca="1">AVERAGE(OFFSET($DS$3,0,0,'Données projet'!$E$14+1,1))-AVERAGE(OFFSET($H$3,0,0,'Données projet'!$E$14+1,1))</f>
        <v>320.81451813551064</v>
      </c>
      <c r="DU31" s="59">
        <f t="shared" si="44"/>
        <v>522.80818268773976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1.0980046177255729</v>
      </c>
      <c r="EB31" s="21">
        <f>EXP(-LN(2)/25)*EB30+(1-EXP(-LN(2)/25))/(LN(2)/25)*Calculateur!DW31*Calculateur!DY31*VLOOKUP('Données projet'!$B$14,Paramètres!$A$1:$I$89,3,0)*0.475*44/12</f>
        <v>9.3775943556567594</v>
      </c>
      <c r="EC31" s="21">
        <f>EXP(-LN(2)/2)*EC30+(1-EXP(-LN(2)/2))/(LN(2)/2)*DW31*DZ31*VLOOKUP('Données projet'!$B$14,Paramètres!$A$1:$I$89,3,0)*0.475*44/12</f>
        <v>3.0992542269893164</v>
      </c>
      <c r="ED31" s="22">
        <f t="shared" si="18"/>
        <v>13.574853200371649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108.5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14.466666666666667</v>
      </c>
      <c r="EG31" s="12">
        <f>VLOOKUP(A31,'Données projet'!$A$191:$I$211,2,0)</f>
        <v>190</v>
      </c>
      <c r="EH31" s="12">
        <f>VLOOKUP(A31,'Données projet'!$A$191:$I$211,9,0)</f>
        <v>16</v>
      </c>
      <c r="EI31" s="12">
        <f t="array" ref="EI31">INDEX(EH:EH,MIN(IF(ISNUMBER(EH31:EH227),ROW(EH31:EH227),"")))</f>
        <v>16</v>
      </c>
      <c r="EJ31" s="12">
        <f>IF('Données projet'!$A$192&gt;35,EJ30+EI31-ER30,IF(A31&lt;'Données projet'!$A$192,$EG$205^A31,IF(A31='Données projet'!$A$192,'Données projet'!$B$192,EJ30+EI31-ER30)))</f>
        <v>190</v>
      </c>
      <c r="EK31" s="17">
        <f>EJ31*VLOOKUP('Données projet'!$B$15,Paramètres!$A$1:$I$89,3,0)*VLOOKUP('Données projet'!$B$15,Paramètres!$A$1:$I$89,5,0)</f>
        <v>113.62</v>
      </c>
      <c r="EL31" s="13">
        <f t="shared" si="45"/>
        <v>30.182270904187739</v>
      </c>
      <c r="EM31" s="20">
        <f t="shared" si="19"/>
        <v>250.45562182479364</v>
      </c>
      <c r="EN31" s="59">
        <f t="shared" si="20"/>
        <v>701.33339960257149</v>
      </c>
      <c r="EO31" s="59">
        <f ca="1">AVERAGE(OFFSET($EN$3,0,0,'Données projet'!$E$15+1,1))-AVERAGE(OFFSET($H$3,0,0,'Données projet'!$E$15+1,1))</f>
        <v>228.3393311631487</v>
      </c>
      <c r="EP31" s="59">
        <f t="shared" si="46"/>
        <v>266.26050497804033</v>
      </c>
      <c r="EQ31" s="15">
        <f>IF(ISNA(VLOOKUP(A31,'Données projet'!$A$191:$I$211,3,0)),0,VLOOKUP(A31,'Données projet'!$A$191:$I$211,3,0))</f>
        <v>4</v>
      </c>
      <c r="ER31" s="15">
        <f>IF(ISNA(VLOOKUP(A31,'Données projet'!$A$191:$I$211,4,0)),0,VLOOKUP(A31,'Données projet'!$A$191:$I$211,4,0))</f>
        <v>35</v>
      </c>
      <c r="ES31" s="16">
        <f>IF(ISNA(VLOOKUP(A31,'Données projet'!$A$191:$I$211,5,0)),0%,VLOOKUP(A31,'Données projet'!$A$191:$I$211,5,0)*VLOOKUP('Données projet'!$B$15,Paramètres!$A$1:$I$89,7,0))</f>
        <v>0.13500000000000001</v>
      </c>
      <c r="ET31" s="16">
        <f>IF(ISNA(VLOOKUP(A31,'Données projet'!$A$191:$I$211,6,0)),0%,VLOOKUP(A31,'Données projet'!$A$191:$I$211,6,0)*VLOOKUP('Données projet'!$B$15,Paramètres!$A$1:$I$89,7,0))</f>
        <v>0.1575</v>
      </c>
      <c r="EU31" s="16">
        <f>IF(ISNA(VLOOKUP(A31,'Données projet'!$A$191:$I$211,7,0)),0%,VLOOKUP(A31,'Données projet'!$A$191:$I$211,7,0))</f>
        <v>0.35</v>
      </c>
      <c r="EV31" s="21">
        <f>EXP(-LN(2)/35)*EV30+(1-EXP(-LN(2)/35))/(LN(2)/35)*ER31*ES31*VLOOKUP('Données projet'!$B$15,Paramètres!$A$1:$I$89,3,0)*0.475*44/12</f>
        <v>6.4632600774874396</v>
      </c>
      <c r="EW31" s="21">
        <f>EXP(-LN(2)/25)*EW30+(1-EXP(-LN(2)/25))/(LN(2)/25)*Calculateur!ER31*Calculateur!ET31*VLOOKUP('Données projet'!$B$15,Paramètres!$A$1:$I$89,3,0)*0.475*44/12</f>
        <v>13.033964996355422</v>
      </c>
      <c r="EX31" s="21">
        <f>EXP(-LN(2)/2)*EX30+(1-EXP(-LN(2)/2))/(LN(2)/2)*ER31*EU31*VLOOKUP('Données projet'!$B$15,Paramètres!$A$1:$I$89,3,0)*0.475*44/12</f>
        <v>10.891384748148297</v>
      </c>
      <c r="EY31" s="22">
        <f t="shared" si="21"/>
        <v>30.38860982199116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108.5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14.466666666666667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11.8</v>
      </c>
      <c r="FE31" s="12">
        <f>IF('Données projet'!$A$218&gt;35,FE30+FD31-FM30,IF(A31&lt;'Données projet'!$A$218,$FB$205^A31,IF(A31='Données projet'!$A$218,'Données projet'!$B$218,FE30+FD31-FM30)))</f>
        <v>114.39999999999999</v>
      </c>
      <c r="FF31" s="17">
        <f>FE31*VLOOKUP('Données projet'!$B$16,Paramètres!$A$1:$I$89,3,0)*VLOOKUP('Données projet'!$B$16,Paramètres!$A$1:$I$89,5,0)</f>
        <v>65.436800000000005</v>
      </c>
      <c r="FG31" s="13">
        <f t="shared" si="47"/>
        <v>18.535846791342159</v>
      </c>
      <c r="FH31" s="20">
        <f t="shared" si="22"/>
        <v>146.25235982825424</v>
      </c>
      <c r="FI31" s="59">
        <f t="shared" si="23"/>
        <v>597.13013760603201</v>
      </c>
      <c r="FJ31" s="59">
        <f ca="1">AVERAGE(OFFSET($FI$3,0,0,'Données projet'!$E$16+1,1))-AVERAGE(OFFSET($H$3,0,0,'Données projet'!$E$16+1,1))</f>
        <v>242.10913976205194</v>
      </c>
      <c r="FK31" s="59">
        <f t="shared" si="48"/>
        <v>198.24795425321133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5.1639720810884189</v>
      </c>
      <c r="FS31" s="21">
        <f>EXP(-LN(2)/2)*FS30+(1-EXP(-LN(2)/2))/(LN(2)/2)*FM31*FP31*VLOOKUP('Données projet'!$B$16,Paramètres!$A$1:$I$89,3,0)*0.475*44/12</f>
        <v>3.7780745102328557</v>
      </c>
      <c r="FT31" s="22">
        <f t="shared" si="24"/>
        <v>8.9420465913212741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108.5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14.466666666666667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108.5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14.466666666666667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14.182740000000004</v>
      </c>
      <c r="D32" s="11">
        <f t="shared" si="32"/>
        <v>4.8000672925389631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80.593673066568954</v>
      </c>
      <c r="H32" s="67">
        <f t="shared" si="1"/>
        <v>430.89505603450533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108.5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14.983333333333333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12.2</v>
      </c>
      <c r="N32" s="13">
        <f>IF('Données projet'!$A$36&gt;35,N31+M32-V31,IF(A32&lt;'Données projet'!$A$36,$K$205^A32,IF(A32='Données projet'!$A$36,'Données projet'!$B$36,N31+M32-V31)))</f>
        <v>161.79999999999998</v>
      </c>
      <c r="O32" s="13">
        <f>N32*VLOOKUP('Données projet'!$B$9,Paramètres!$A$1:$I$89,3,0)*VLOOKUP('Données projet'!$B$9,Paramètres!$A$1:$I$89,5,0)</f>
        <v>131.25216</v>
      </c>
      <c r="P32" s="13">
        <f t="shared" si="33"/>
        <v>34.285535125000187</v>
      </c>
      <c r="Q32" s="20">
        <f t="shared" si="2"/>
        <v>288.31148567604197</v>
      </c>
      <c r="R32" s="59">
        <f t="shared" si="0"/>
        <v>741.08370789826415</v>
      </c>
      <c r="S32" s="59">
        <f ca="1">AVERAGE(OFFSET($R$3,0,0,'Données projet'!$E$9+1,1))-AVERAGE(OFFSET($H$3,0,0,'Données projet'!$E$9+1,1))</f>
        <v>273.89826011924487</v>
      </c>
      <c r="T32" s="59">
        <f t="shared" si="34"/>
        <v>332.17519939974227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3.2171241116203486</v>
      </c>
      <c r="AB32" s="21">
        <f>EXP(-LN(2)/2)*AB31+(1-EXP(-LN(2)/2))/(LN(2)/2)*V32*Y32*VLOOKUP('Données projet'!$B$9,Paramètres!$A$1:$I$89,3,0)*0.475*44/12</f>
        <v>0.36362666171146124</v>
      </c>
      <c r="AC32" s="22">
        <f t="shared" si="3"/>
        <v>3.5807507733318098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108.5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14.983333333333333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228.2999999999999</v>
      </c>
      <c r="AJ32" s="13">
        <f>AI32*VLOOKUP('Données projet'!$B$10,Paramètres!$A$1:$I$89,3,0)*VLOOKUP('Données projet'!$B$10,Paramètres!$A$1:$I$89,5,0)</f>
        <v>106.84439999999995</v>
      </c>
      <c r="AK32" s="13">
        <f t="shared" si="35"/>
        <v>28.586245822975961</v>
      </c>
      <c r="AL32" s="20">
        <f t="shared" si="4"/>
        <v>235.87504147501636</v>
      </c>
      <c r="AM32" s="59">
        <f t="shared" si="5"/>
        <v>688.64726369723849</v>
      </c>
      <c r="AN32" s="59">
        <f ca="1">AVERAGE(OFFSET($AM$3,0,0,'Données projet'!$E$10+1,1))-AVERAGE(OFFSET($H$3,0,0,'Données projet'!$E$10+1,1))</f>
        <v>293.42903587188346</v>
      </c>
      <c r="AO32" s="59">
        <f t="shared" si="36"/>
        <v>267.80827667062124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1.6562761942547666</v>
      </c>
      <c r="AW32" s="21">
        <f>EXP(-LN(2)/2)*AW31+(1-EXP(-LN(2)/2))/(LN(2)/2)*AQ32*AT32*VLOOKUP('Données projet'!$B$10,Paramètres!$A$1:$I$89,3,0)*0.475*44/12</f>
        <v>0.1463613575761695</v>
      </c>
      <c r="AX32" s="21">
        <f t="shared" si="6"/>
        <v>1.8026375518309361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108.5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14.983333333333333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6.3</v>
      </c>
      <c r="BD32" s="12">
        <f>IF('Données projet'!$A$88&gt;35,BD31+BC32-BL31,IF(A32&lt;'Données projet'!$A$88,$BA$205^A32,IF(A32='Données projet'!$A$88,'Données projet'!$B$88,BD31+BC32-BL31)))</f>
        <v>98.699999999999974</v>
      </c>
      <c r="BE32" s="13">
        <f>BD32*VLOOKUP('Données projet'!$B$11,Paramètres!$A$1:$I$89,3,0)*VLOOKUP('Données projet'!$B$11,Paramètres!$A$1:$I$89,5,0)</f>
        <v>89.303759999999968</v>
      </c>
      <c r="BF32" s="13">
        <f t="shared" si="37"/>
        <v>24.397232850954325</v>
      </c>
      <c r="BG32" s="20">
        <f t="shared" si="7"/>
        <v>198.02922921541202</v>
      </c>
      <c r="BH32" s="59">
        <f t="shared" si="8"/>
        <v>650.80145143763423</v>
      </c>
      <c r="BI32" s="59">
        <f ca="1">AVERAGE(OFFSET($BH$3,0,0,'Données projet'!$E$11+1,1))-AVERAGE(OFFSET($H$3,0,0,'Données projet'!$E$11+1,1))</f>
        <v>324.41828402031939</v>
      </c>
      <c r="BJ32" s="59">
        <f t="shared" si="38"/>
        <v>233.01060088065992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108.5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14.983333333333333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243.60000000000002</v>
      </c>
      <c r="BZ32" s="13">
        <f>BY32*VLOOKUP('Données projet'!$B$12,Paramètres!$A$1:$I$89,3,0)*VLOOKUP('Données projet'!$B$12,Paramètres!$A$1:$I$89,5,0)</f>
        <v>133.00560000000002</v>
      </c>
      <c r="CA32" s="13">
        <f t="shared" si="39"/>
        <v>34.689938673073549</v>
      </c>
      <c r="CB32" s="20">
        <f t="shared" si="10"/>
        <v>292.06972985560316</v>
      </c>
      <c r="CC32" s="59">
        <f t="shared" si="11"/>
        <v>744.84195207782534</v>
      </c>
      <c r="CD32" s="59">
        <f ca="1">AVERAGE(OFFSET($CC$3,0,0,'Données projet'!$E$12+1,1))-AVERAGE(OFFSET($H$3,0,0,'Données projet'!$E$12+1,1))</f>
        <v>279.00060755204919</v>
      </c>
      <c r="CE32" s="59">
        <f t="shared" si="40"/>
        <v>333.91128554211014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13.659761485708399</v>
      </c>
      <c r="CM32" s="21">
        <f>EXP(-LN(2)/2)*CM31+(1-EXP(-LN(2)/2))/(LN(2)/2)*CG32*CJ32*VLOOKUP('Données projet'!$B$12,Paramètres!$A$1:$I$89,3,0)*0.475*44/12</f>
        <v>1.1064918632758414</v>
      </c>
      <c r="CN32" s="22">
        <f t="shared" si="12"/>
        <v>14.766253348984241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108.5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14.983333333333333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18.3</v>
      </c>
      <c r="CT32" s="12">
        <f>IF('Données projet'!$A$140&gt;35,CT31+CS32-DB31,IF(A32&lt;'Données projet'!$A$140,$CQ$205^A32,IF(A32='Données projet'!$A$140,'Données projet'!$B$140,CT31+CS32-DB31)))</f>
        <v>274.7000000000001</v>
      </c>
      <c r="CU32" s="17">
        <f>CT32*VLOOKUP('Données projet'!$B$13,Paramètres!$A$1:$I$89,3,0)*VLOOKUP('Données projet'!$B$13,Paramètres!$A$1:$I$89,5,0)</f>
        <v>164.27060000000006</v>
      </c>
      <c r="CV32" s="13">
        <f t="shared" si="41"/>
        <v>41.804279477987336</v>
      </c>
      <c r="CW32" s="20">
        <f t="shared" si="13"/>
        <v>358.91374842416138</v>
      </c>
      <c r="CX32" s="59">
        <f t="shared" si="14"/>
        <v>811.68597064638357</v>
      </c>
      <c r="CY32" s="59">
        <f ca="1">AVERAGE(OFFSET($CX$3,0,0,'Données projet'!$E$13+1,1))-AVERAGE(OFFSET($H$3,0,0,'Données projet'!$E$13+1,1))</f>
        <v>380.01315081072897</v>
      </c>
      <c r="CZ32" s="59">
        <f t="shared" si="42"/>
        <v>404.90871625409181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5.8180465587276524</v>
      </c>
      <c r="DH32" s="21">
        <f>EXP(-LN(2)/2)*DH31+(1-EXP(-LN(2)/2))/(LN(2)/2)*DB32*DE32*VLOOKUP('Données projet'!$B$13,Paramètres!$A$1:$I$89,3,0)*0.475*44/12</f>
        <v>0.62837809519368826</v>
      </c>
      <c r="DI32" s="22">
        <f t="shared" si="15"/>
        <v>6.4464246539213406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108.5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14.983333333333333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8</v>
      </c>
      <c r="DO32" s="12">
        <f>IF('Données projet'!$A$166&gt;35,DO31+DN32-DW31,IF(A32&lt;'Données projet'!$A$166,$DL$205^A32,IF(A32='Données projet'!$A$166,'Données projet'!$B$166,DO31+DN32-DW31)))</f>
        <v>246.99999999999997</v>
      </c>
      <c r="DP32" s="17">
        <f>DO32*VLOOKUP('Données projet'!$B$14,Paramètres!$A$1:$I$89,3,0)*VLOOKUP('Données projet'!$B$14,Paramètres!$A$1:$I$89,5,0)</f>
        <v>223.48559999999995</v>
      </c>
      <c r="DQ32" s="13">
        <f t="shared" si="43"/>
        <v>54.87176918107798</v>
      </c>
      <c r="DR32" s="20">
        <f t="shared" si="16"/>
        <v>484.80575132371069</v>
      </c>
      <c r="DS32" s="59">
        <f t="shared" si="17"/>
        <v>937.57797354593288</v>
      </c>
      <c r="DT32" s="59">
        <f ca="1">AVERAGE(OFFSET($DS$3,0,0,'Données projet'!$E$14+1,1))-AVERAGE(OFFSET($H$3,0,0,'Données projet'!$E$14+1,1))</f>
        <v>320.81451813551064</v>
      </c>
      <c r="DU32" s="59">
        <f t="shared" si="44"/>
        <v>522.80818268773976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1.0764734168886623</v>
      </c>
      <c r="EB32" s="21">
        <f>EXP(-LN(2)/25)*EB31+(1-EXP(-LN(2)/25))/(LN(2)/25)*Calculateur!DW32*Calculateur!DY32*VLOOKUP('Données projet'!$B$14,Paramètres!$A$1:$I$89,3,0)*0.475*44/12</f>
        <v>9.1211635448550705</v>
      </c>
      <c r="EC32" s="21">
        <f>EXP(-LN(2)/2)*EC31+(1-EXP(-LN(2)/2))/(LN(2)/2)*DW32*DZ32*VLOOKUP('Données projet'!$B$14,Paramètres!$A$1:$I$89,3,0)*0.475*44/12</f>
        <v>2.191503680525217</v>
      </c>
      <c r="ED32" s="22">
        <f t="shared" si="18"/>
        <v>12.38914064226895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108.5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14.983333333333333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14.833333333333334</v>
      </c>
      <c r="EJ32" s="12">
        <f>IF('Données projet'!$A$192&gt;35,EJ31+EI32-ER31,IF(A32&lt;'Données projet'!$A$192,$EG$205^A32,IF(A32='Données projet'!$A$192,'Données projet'!$B$192,EJ31+EI32-ER31)))</f>
        <v>169.83333333333334</v>
      </c>
      <c r="EK32" s="17">
        <f>EJ32*VLOOKUP('Données projet'!$B$15,Paramètres!$A$1:$I$89,3,0)*VLOOKUP('Données projet'!$B$15,Paramètres!$A$1:$I$89,5,0)</f>
        <v>101.56033333333333</v>
      </c>
      <c r="EL32" s="13">
        <f t="shared" si="45"/>
        <v>27.333389821325063</v>
      </c>
      <c r="EM32" s="20">
        <f t="shared" si="19"/>
        <v>224.48990116103005</v>
      </c>
      <c r="EN32" s="59">
        <f t="shared" si="20"/>
        <v>677.26212338325217</v>
      </c>
      <c r="EO32" s="59">
        <f ca="1">AVERAGE(OFFSET($EN$3,0,0,'Données projet'!$E$15+1,1))-AVERAGE(OFFSET($H$3,0,0,'Données projet'!$E$15+1,1))</f>
        <v>228.3393311631487</v>
      </c>
      <c r="EP32" s="59">
        <f t="shared" si="46"/>
        <v>266.26050497804033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6.3365194895672987</v>
      </c>
      <c r="EW32" s="21">
        <f>EXP(-LN(2)/25)*EW31+(1-EXP(-LN(2)/25))/(LN(2)/25)*Calculateur!ER32*Calculateur!ET32*VLOOKUP('Données projet'!$B$15,Paramètres!$A$1:$I$89,3,0)*0.475*44/12</f>
        <v>12.677550538103654</v>
      </c>
      <c r="EX32" s="21">
        <f>EXP(-LN(2)/2)*EX31+(1-EXP(-LN(2)/2))/(LN(2)/2)*ER32*EU32*VLOOKUP('Données projet'!$B$15,Paramètres!$A$1:$I$89,3,0)*0.475*44/12</f>
        <v>7.7013720119273996</v>
      </c>
      <c r="EY32" s="22">
        <f t="shared" si="21"/>
        <v>26.715442039598354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108.5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14.983333333333333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11.8</v>
      </c>
      <c r="FE32" s="12">
        <f>IF('Données projet'!$A$218&gt;35,FE31+FD32-FM31,IF(A32&lt;'Données projet'!$A$218,$FB$205^A32,IF(A32='Données projet'!$A$218,'Données projet'!$B$218,FE31+FD32-FM31)))</f>
        <v>126.19999999999999</v>
      </c>
      <c r="FF32" s="17">
        <f>FE32*VLOOKUP('Données projet'!$B$16,Paramètres!$A$1:$I$89,3,0)*VLOOKUP('Données projet'!$B$16,Paramètres!$A$1:$I$89,5,0)</f>
        <v>72.186400000000006</v>
      </c>
      <c r="FG32" s="13">
        <f t="shared" si="47"/>
        <v>20.215442023930038</v>
      </c>
      <c r="FH32" s="20">
        <f t="shared" si="22"/>
        <v>160.93320819167815</v>
      </c>
      <c r="FI32" s="59">
        <f t="shared" si="23"/>
        <v>613.70543041390033</v>
      </c>
      <c r="FJ32" s="59">
        <f ca="1">AVERAGE(OFFSET($FI$3,0,0,'Données projet'!$E$16+1,1))-AVERAGE(OFFSET($H$3,0,0,'Données projet'!$E$16+1,1))</f>
        <v>242.10913976205194</v>
      </c>
      <c r="FK32" s="59">
        <f t="shared" si="48"/>
        <v>198.24795425321133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5.0227629929695663</v>
      </c>
      <c r="FS32" s="21">
        <f>EXP(-LN(2)/2)*FS31+(1-EXP(-LN(2)/2))/(LN(2)/2)*FM32*FP32*VLOOKUP('Données projet'!$B$16,Paramètres!$A$1:$I$89,3,0)*0.475*44/12</f>
        <v>2.6715021060136968</v>
      </c>
      <c r="FT32" s="22">
        <f t="shared" si="24"/>
        <v>7.6942650989832631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108.5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14.983333333333333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108.5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14.983333333333333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14.671800000000005</v>
      </c>
      <c r="D33" s="11">
        <f t="shared" si="32"/>
        <v>4.9460305617050757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83.289736770747894</v>
      </c>
      <c r="H33" s="67">
        <f t="shared" si="1"/>
        <v>432.00105489496968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108.5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15.5</v>
      </c>
      <c r="K33" s="12">
        <f>VLOOKUP(A33,'Données projet'!$A$35:$I$55,2,0)</f>
        <v>174</v>
      </c>
      <c r="L33" s="12">
        <f>VLOOKUP(A33,'Données projet'!$A$35:$I$55,9,0)</f>
        <v>12.2</v>
      </c>
      <c r="M33" s="12">
        <f t="array" ref="M33">INDEX(L:L,MIN(IF(ISNUMBER(L33:L229),ROW(L33:L229),"")))</f>
        <v>12.2</v>
      </c>
      <c r="N33" s="13">
        <f>IF('Données projet'!$A$36&gt;35,N32+M33-V32,IF(A33&lt;'Données projet'!$A$36,$K$205^A33,IF(A33='Données projet'!$A$36,'Données projet'!$B$36,N32+M33-V32)))</f>
        <v>173.99999999999997</v>
      </c>
      <c r="O33" s="13">
        <f>N33*VLOOKUP('Données projet'!$B$9,Paramètres!$A$1:$I$89,3,0)*VLOOKUP('Données projet'!$B$9,Paramètres!$A$1:$I$89,5,0)</f>
        <v>141.14879999999999</v>
      </c>
      <c r="P33" s="13">
        <f t="shared" si="33"/>
        <v>36.560054140504484</v>
      </c>
      <c r="Q33" s="20">
        <f t="shared" si="2"/>
        <v>309.50958762804532</v>
      </c>
      <c r="R33" s="59">
        <f t="shared" si="0"/>
        <v>764.17625429471195</v>
      </c>
      <c r="S33" s="59">
        <f ca="1">AVERAGE(OFFSET($R$3,0,0,'Données projet'!$E$9+1,1))-AVERAGE(OFFSET($H$3,0,0,'Données projet'!$E$9+1,1))</f>
        <v>273.89826011924487</v>
      </c>
      <c r="T33" s="59">
        <f t="shared" si="34"/>
        <v>332.17519939974227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56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0.1075</v>
      </c>
      <c r="Y33" s="16">
        <f>IF(ISNA(VLOOKUP(A33,'Données projet'!$A$35:$I$55,7,0)),0%,VLOOKUP(A33,'Données projet'!$A$35:$I$55,7,0))</f>
        <v>0.25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8.5063763912707451</v>
      </c>
      <c r="AB33" s="21">
        <f>EXP(-LN(2)/2)*AB32+(1-EXP(-LN(2)/2))/(LN(2)/2)*V33*Y33*VLOOKUP('Données projet'!$B$9,Paramètres!$A$1:$I$89,3,0)*0.475*44/12</f>
        <v>10.972569342106874</v>
      </c>
      <c r="AC33" s="22">
        <f t="shared" si="3"/>
        <v>19.478945733377621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108.5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15.5</v>
      </c>
      <c r="AF33" s="12">
        <f>VLOOKUP(A33,'Données projet'!$A$61:$I$81,2,0)</f>
        <v>237.5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237.49999999999989</v>
      </c>
      <c r="AJ33" s="13">
        <f>AI33*VLOOKUP('Données projet'!$B$10,Paramètres!$A$1:$I$89,3,0)*VLOOKUP('Données projet'!$B$10,Paramètres!$A$1:$I$89,5,0)</f>
        <v>111.14999999999995</v>
      </c>
      <c r="AK33" s="13">
        <f t="shared" si="35"/>
        <v>29.601769319956546</v>
      </c>
      <c r="AL33" s="20">
        <f t="shared" si="4"/>
        <v>245.14266489892427</v>
      </c>
      <c r="AM33" s="59">
        <f t="shared" si="5"/>
        <v>699.80933156559092</v>
      </c>
      <c r="AN33" s="59">
        <f ca="1">AVERAGE(OFFSET($AM$3,0,0,'Données projet'!$E$10+1,1))-AVERAGE(OFFSET($H$3,0,0,'Données projet'!$E$10+1,1))</f>
        <v>293.42903587188346</v>
      </c>
      <c r="AO33" s="59">
        <f t="shared" si="36"/>
        <v>267.80827667062124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45.9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0.22000000000000003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3.1345816018206638</v>
      </c>
      <c r="AV33" s="21">
        <f>EXP(-LN(2)/25)*AV32+(1-EXP(-LN(2)/25))/(LN(2)/25)*Calculateur!AQ33*Calculateur!AS33*VLOOKUP('Données projet'!$B$10,Paramètres!$A$1:$I$89,3,0)*0.475*44/12</f>
        <v>7.8554643539932272</v>
      </c>
      <c r="AW33" s="21">
        <f>EXP(-LN(2)/2)*AW32+(1-EXP(-LN(2)/2))/(LN(2)/2)*AQ33*AT33*VLOOKUP('Données projet'!$B$10,Paramètres!$A$1:$I$89,3,0)*0.475*44/12</f>
        <v>9.8321764802959866</v>
      </c>
      <c r="AX33" s="21">
        <f t="shared" si="6"/>
        <v>20.822222436109875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108.5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15.5</v>
      </c>
      <c r="BA33" s="12">
        <f>VLOOKUP(A33,'Données projet'!$A$87:$I$107,2,0)</f>
        <v>105</v>
      </c>
      <c r="BB33" s="12">
        <f>VLOOKUP(A33,'Données projet'!$A$87:$I$107,9,0)</f>
        <v>6.3</v>
      </c>
      <c r="BC33" s="12">
        <f t="array" ref="BC33">INDEX(BB:BB,MIN(IF(ISNUMBER(BB33:BB229),ROW(BB33:BB229),"")))</f>
        <v>6.3</v>
      </c>
      <c r="BD33" s="12">
        <f>IF('Données projet'!$A$88&gt;35,BD32+BC33-BL32,IF(A33&lt;'Données projet'!$A$88,$BA$205^A33,IF(A33='Données projet'!$A$88,'Données projet'!$B$88,BD32+BC33-BL32)))</f>
        <v>104.99999999999997</v>
      </c>
      <c r="BE33" s="13">
        <f>BD33*VLOOKUP('Données projet'!$B$11,Paramètres!$A$1:$I$89,3,0)*VLOOKUP('Données projet'!$B$11,Paramètres!$A$1:$I$89,5,0)</f>
        <v>95.003999999999962</v>
      </c>
      <c r="BF33" s="13">
        <f t="shared" si="37"/>
        <v>25.768242550600764</v>
      </c>
      <c r="BG33" s="20">
        <f t="shared" si="7"/>
        <v>210.34498910896289</v>
      </c>
      <c r="BH33" s="59">
        <f t="shared" si="8"/>
        <v>665.01165577562961</v>
      </c>
      <c r="BI33" s="59">
        <f ca="1">AVERAGE(OFFSET($BH$3,0,0,'Données projet'!$E$11+1,1))-AVERAGE(OFFSET($H$3,0,0,'Données projet'!$E$11+1,1))</f>
        <v>324.41828402031939</v>
      </c>
      <c r="BJ33" s="59">
        <f t="shared" si="38"/>
        <v>233.01060088065992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29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0.1075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3.1059381724899082</v>
      </c>
      <c r="BR33" s="21">
        <f>EXP(-LN(2)/2)*BR32+(1-EXP(-LN(2)/2))/(LN(2)/2)*BL33*BO33*VLOOKUP('Données projet'!$B$11,Paramètres!$A$1:$I$89,3,0)*0.475*44/12</f>
        <v>6.1893478544284255</v>
      </c>
      <c r="BS33" s="22">
        <f t="shared" si="9"/>
        <v>9.2952860269183333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108.5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15.5</v>
      </c>
      <c r="BV33" s="12">
        <f>VLOOKUP(A33,'Données projet'!$A$113:$I$133,2,0)</f>
        <v>260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260</v>
      </c>
      <c r="BZ33" s="13">
        <f>BY33*VLOOKUP('Données projet'!$B$12,Paramètres!$A$1:$I$89,3,0)*VLOOKUP('Données projet'!$B$12,Paramètres!$A$1:$I$89,5,0)</f>
        <v>141.96</v>
      </c>
      <c r="CA33" s="13">
        <f t="shared" si="39"/>
        <v>36.745650011720485</v>
      </c>
      <c r="CB33" s="20">
        <f t="shared" si="10"/>
        <v>311.24567377041313</v>
      </c>
      <c r="CC33" s="59">
        <f t="shared" si="11"/>
        <v>765.91234043707982</v>
      </c>
      <c r="CD33" s="59">
        <f ca="1">AVERAGE(OFFSET($CC$3,0,0,'Données projet'!$E$12+1,1))-AVERAGE(OFFSET($H$3,0,0,'Données projet'!$E$12+1,1))</f>
        <v>279.00060755204919</v>
      </c>
      <c r="CE33" s="59">
        <f t="shared" si="40"/>
        <v>333.91128554211014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84</v>
      </c>
      <c r="CH33" s="16">
        <f>IF(ISNA(VLOOKUP(A33,'Données projet'!$A$113:$I$133,5,0)),0%,VLOOKUP(A33,'Données projet'!$A$113:$I$133,5,0)*VLOOKUP('Données projet'!$B$12,Paramètres!$A$1:$I$89,7,0))</f>
        <v>0.12</v>
      </c>
      <c r="CI33" s="16">
        <f>IF(ISNA(VLOOKUP(A33,'Données projet'!$A$113:$I$133,6,0)),0%,VLOOKUP(A33,'Données projet'!$A$113:$I$133,6,0)*VLOOKUP('Données projet'!$B$12,Paramètres!$A$1:$I$89,7,0))</f>
        <v>0.24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7.3009862621134873</v>
      </c>
      <c r="CL33" s="21">
        <f>EXP(-LN(2)/25)*CL32+(1-EXP(-LN(2)/25))/(LN(2)/25)*Calculateur!CG33*Calculateur!CI33*VLOOKUP('Données projet'!$B$12,Paramètres!$A$1:$I$89,3,0)*0.475*44/12</f>
        <v>27.830713584157436</v>
      </c>
      <c r="CM33" s="21">
        <f>EXP(-LN(2)/2)*CM32+(1-EXP(-LN(2)/2))/(LN(2)/2)*CG33*CJ33*VLOOKUP('Données projet'!$B$12,Paramètres!$A$1:$I$89,3,0)*0.475*44/12</f>
        <v>21.553888737351617</v>
      </c>
      <c r="CN33" s="22">
        <f t="shared" si="12"/>
        <v>56.685588583622547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108.5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15.5</v>
      </c>
      <c r="CQ33" s="12">
        <f>VLOOKUP(A33,'Données projet'!$A$139:$I$159,2,0)</f>
        <v>293</v>
      </c>
      <c r="CR33" s="12">
        <f>VLOOKUP(A33,'Données projet'!$A$139:$I$159,9,0)</f>
        <v>18.3</v>
      </c>
      <c r="CS33" s="12">
        <f t="array" ref="CS33">INDEX(CR:CR,MIN(IF(ISNUMBER(CR33:CR229),ROW(CR33:CR229),"")))</f>
        <v>18.3</v>
      </c>
      <c r="CT33" s="12">
        <f>IF('Données projet'!$A$140&gt;35,CT32+CS33-DB32,IF(A33&lt;'Données projet'!$A$140,$CQ$205^A33,IF(A33='Données projet'!$A$140,'Données projet'!$B$140,CT32+CS33-DB32)))</f>
        <v>293.00000000000011</v>
      </c>
      <c r="CU33" s="17">
        <f>CT33*VLOOKUP('Données projet'!$B$13,Paramètres!$A$1:$I$89,3,0)*VLOOKUP('Données projet'!$B$13,Paramètres!$A$1:$I$89,5,0)</f>
        <v>175.21400000000008</v>
      </c>
      <c r="CV33" s="13">
        <f t="shared" si="41"/>
        <v>44.255725061661991</v>
      </c>
      <c r="CW33" s="20">
        <f t="shared" si="13"/>
        <v>382.24310448239476</v>
      </c>
      <c r="CX33" s="59">
        <f t="shared" si="14"/>
        <v>836.9097711490615</v>
      </c>
      <c r="CY33" s="59">
        <f ca="1">AVERAGE(OFFSET($CX$3,0,0,'Données projet'!$E$13+1,1))-AVERAGE(OFFSET($H$3,0,0,'Données projet'!$E$13+1,1))</f>
        <v>380.01315081072897</v>
      </c>
      <c r="CZ33" s="59">
        <f t="shared" si="42"/>
        <v>404.90871625409181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98</v>
      </c>
      <c r="DC33" s="16">
        <f>IF(ISNA(VLOOKUP(A33,'Données projet'!$A$139:$I$159,5,0)),0%,VLOOKUP(A33,'Données projet'!$A$139:$I$159,5,0)*VLOOKUP('Données projet'!$B$13,Paramètres!$A$1:$I$89,7,0))</f>
        <v>4.5000000000000005E-2</v>
      </c>
      <c r="DD33" s="16">
        <f>IF(ISNA(VLOOKUP(A33,'Données projet'!$A$139:$I$159,6,0)),0%,VLOOKUP(A33,'Données projet'!$A$139:$I$159,6,0)*VLOOKUP('Données projet'!$B$13,Paramètres!$A$1:$I$89,7,0))</f>
        <v>0.20250000000000001</v>
      </c>
      <c r="DE33" s="16">
        <f>IF(ISNA(VLOOKUP(A33,'Données projet'!$A$139:$I$159,7,0)),0%,VLOOKUP(A33,'Données projet'!$A$139:$I$159,7,0))</f>
        <v>0.45</v>
      </c>
      <c r="DF33" s="21">
        <f>EXP(-LN(2)/35)*DF32+(1-EXP(-LN(2)/35))/(LN(2)/35)*DB33*DC33*VLOOKUP('Données projet'!$B$13,Paramètres!$A$1:$I$89,3,0)*0.475*44/12</f>
        <v>3.4983892505960466</v>
      </c>
      <c r="DG33" s="21">
        <f>EXP(-LN(2)/25)*DG32+(1-EXP(-LN(2)/25))/(LN(2)/25)*Calculateur!DB33*Calculateur!DD33*VLOOKUP('Données projet'!$B$13,Paramètres!$A$1:$I$89,3,0)*0.475*44/12</f>
        <v>21.339718185686859</v>
      </c>
      <c r="DH33" s="21">
        <f>EXP(-LN(2)/2)*DH32+(1-EXP(-LN(2)/2))/(LN(2)/2)*DB33*DE33*VLOOKUP('Données projet'!$B$13,Paramètres!$A$1:$I$89,3,0)*0.475*44/12</f>
        <v>30.303334116168998</v>
      </c>
      <c r="DI33" s="22">
        <f t="shared" si="15"/>
        <v>55.141441552451901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108.5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15.5</v>
      </c>
      <c r="DL33" s="12">
        <f>VLOOKUP(A33,'Données projet'!$A$165:$I$185,2,0)</f>
        <v>255</v>
      </c>
      <c r="DM33" s="12">
        <f>VLOOKUP(A33,'Données projet'!$A$165:$I$185,9,0)</f>
        <v>8</v>
      </c>
      <c r="DN33" s="12">
        <f t="array" ref="DN33">INDEX(DM:DM,MIN(IF(ISNUMBER(DM33:DM229),ROW(DM33:DM229),"")))</f>
        <v>8</v>
      </c>
      <c r="DO33" s="12">
        <f>IF('Données projet'!$A$166&gt;35,DO32+DN33-DW32,IF(A33&lt;'Données projet'!$A$166,$DL$205^A33,IF(A33='Données projet'!$A$166,'Données projet'!$B$166,DO32+DN33-DW32)))</f>
        <v>254.99999999999997</v>
      </c>
      <c r="DP33" s="17">
        <f>DO33*VLOOKUP('Données projet'!$B$14,Paramètres!$A$1:$I$89,3,0)*VLOOKUP('Données projet'!$B$14,Paramètres!$A$1:$I$89,5,0)</f>
        <v>230.72399999999996</v>
      </c>
      <c r="DQ33" s="13">
        <f t="shared" si="43"/>
        <v>56.439198612082045</v>
      </c>
      <c r="DR33" s="20">
        <f t="shared" si="16"/>
        <v>500.14257091604276</v>
      </c>
      <c r="DS33" s="59">
        <f t="shared" si="17"/>
        <v>954.80923758270944</v>
      </c>
      <c r="DT33" s="59">
        <f ca="1">AVERAGE(OFFSET($DS$3,0,0,'Données projet'!$E$14+1,1))-AVERAGE(OFFSET($H$3,0,0,'Données projet'!$E$14+1,1))</f>
        <v>320.81451813551064</v>
      </c>
      <c r="DU33" s="59">
        <f t="shared" si="44"/>
        <v>522.80818268773976</v>
      </c>
      <c r="DV33" s="15">
        <f>IF(ISNA(VLOOKUP(A33,'Données projet'!$A$165:$I$185,3,0)),0,VLOOKUP(A33,'Données projet'!$A$165:$I$185,3,0))</f>
        <v>6</v>
      </c>
      <c r="DW33" s="15">
        <f>IF(ISNA(VLOOKUP(A33,'Données projet'!$A$165:$I$185,4,0)),0,VLOOKUP(A33,'Données projet'!$A$165:$I$185,4,0))</f>
        <v>13</v>
      </c>
      <c r="DX33" s="16">
        <f>IF(ISNA(VLOOKUP(A33,'Données projet'!$A$165:$I$185,5,0)),0%,VLOOKUP(A33,'Données projet'!$A$165:$I$185,5,0)*VLOOKUP('Données projet'!$B$14,Paramètres!$A$1:$I$89,7,0))</f>
        <v>0.06</v>
      </c>
      <c r="DY33" s="16">
        <f>IF(ISNA(VLOOKUP(A33,'Données projet'!$A$165:$I$185,6,0)),0%,VLOOKUP(A33,'Données projet'!$A$165:$I$185,6,0)*VLOOKUP('Données projet'!$B$14,Paramètres!$A$1:$I$89,7,0))</f>
        <v>0.12</v>
      </c>
      <c r="DZ33" s="16">
        <f>IF(ISNA(VLOOKUP(A33,'Données projet'!$A$165:$I$185,7,0)),0%,VLOOKUP(A33,'Données projet'!$A$165:$I$185,7,0))</f>
        <v>0.4</v>
      </c>
      <c r="EA33" s="21">
        <f>EXP(-LN(2)/35)*EA32+(1-EXP(-LN(2)/35))/(LN(2)/35)*DW33*DX33*VLOOKUP('Données projet'!$B$14,Paramètres!$A$1:$I$89,3,0)*0.475*44/12</f>
        <v>1.8355435173005299</v>
      </c>
      <c r="EB33" s="21">
        <f>EXP(-LN(2)/25)*EB32+(1-EXP(-LN(2)/25))/(LN(2)/25)*Calculateur!DW33*Calculateur!DY33*VLOOKUP('Données projet'!$B$14,Paramètres!$A$1:$I$89,3,0)*0.475*44/12</f>
        <v>10.425959298447756</v>
      </c>
      <c r="EC33" s="21">
        <f>EXP(-LN(2)/2)*EC32+(1-EXP(-LN(2)/2))/(LN(2)/2)*DW33*DZ33*VLOOKUP('Données projet'!$B$14,Paramètres!$A$1:$I$89,3,0)*0.475*44/12</f>
        <v>5.9888835056364256</v>
      </c>
      <c r="ED33" s="22">
        <f t="shared" si="18"/>
        <v>18.250386321384713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108.5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15.5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14.833333333333334</v>
      </c>
      <c r="EJ33" s="12">
        <f>IF('Données projet'!$A$192&gt;35,EJ32+EI33-ER32,IF(A33&lt;'Données projet'!$A$192,$EG$205^A33,IF(A33='Données projet'!$A$192,'Données projet'!$B$192,EJ32+EI33-ER32)))</f>
        <v>184.66666666666669</v>
      </c>
      <c r="EK33" s="17">
        <f>EJ33*VLOOKUP('Données projet'!$B$15,Paramètres!$A$1:$I$89,3,0)*VLOOKUP('Données projet'!$B$15,Paramètres!$A$1:$I$89,5,0)</f>
        <v>110.43066666666668</v>
      </c>
      <c r="EL33" s="13">
        <f t="shared" si="45"/>
        <v>29.43242991113809</v>
      </c>
      <c r="EM33" s="20">
        <f t="shared" si="19"/>
        <v>243.5948932063433</v>
      </c>
      <c r="EN33" s="59">
        <f t="shared" si="20"/>
        <v>698.26155987301001</v>
      </c>
      <c r="EO33" s="59">
        <f ca="1">AVERAGE(OFFSET($EN$3,0,0,'Données projet'!$E$15+1,1))-AVERAGE(OFFSET($H$3,0,0,'Données projet'!$E$15+1,1))</f>
        <v>228.3393311631487</v>
      </c>
      <c r="EP33" s="59">
        <f t="shared" si="46"/>
        <v>266.26050497804033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6.2122642072721463</v>
      </c>
      <c r="EW33" s="21">
        <f>EXP(-LN(2)/25)*EW32+(1-EXP(-LN(2)/25))/(LN(2)/25)*Calculateur!ER33*Calculateur!ET33*VLOOKUP('Données projet'!$B$15,Paramètres!$A$1:$I$89,3,0)*0.475*44/12</f>
        <v>12.330882251955801</v>
      </c>
      <c r="EX33" s="21">
        <f>EXP(-LN(2)/2)*EX32+(1-EXP(-LN(2)/2))/(LN(2)/2)*ER33*EU33*VLOOKUP('Données projet'!$B$15,Paramètres!$A$1:$I$89,3,0)*0.475*44/12</f>
        <v>5.4456923740741496</v>
      </c>
      <c r="EY33" s="22">
        <f t="shared" si="21"/>
        <v>23.988838833302097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108.5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15.5</v>
      </c>
      <c r="FB33" s="12">
        <f>VLOOKUP(A33,'Données projet'!$A$217:$I$237,2,0)</f>
        <v>138</v>
      </c>
      <c r="FC33" s="12">
        <f>VLOOKUP(A33,'Données projet'!$A$217:$I$237,9,0)</f>
        <v>11.8</v>
      </c>
      <c r="FD33" s="12">
        <f t="array" ref="FD33">INDEX(FC:FC,MIN(IF(ISNUMBER(FC33:FC229),ROW(FC33:FC229),"")))</f>
        <v>11.8</v>
      </c>
      <c r="FE33" s="12">
        <f>IF('Données projet'!$A$218&gt;35,FE32+FD33-FM32,IF(A33&lt;'Données projet'!$A$218,$FB$205^A33,IF(A33='Données projet'!$A$218,'Données projet'!$B$218,FE32+FD33-FM32)))</f>
        <v>138</v>
      </c>
      <c r="FF33" s="17">
        <f>FE33*VLOOKUP('Données projet'!$B$16,Paramètres!$A$1:$I$89,3,0)*VLOOKUP('Données projet'!$B$16,Paramètres!$A$1:$I$89,5,0)</f>
        <v>78.936000000000007</v>
      </c>
      <c r="FG33" s="13">
        <f t="shared" si="47"/>
        <v>21.876828219051273</v>
      </c>
      <c r="FH33" s="20">
        <f t="shared" si="22"/>
        <v>175.5823424815143</v>
      </c>
      <c r="FI33" s="59">
        <f t="shared" si="23"/>
        <v>630.24900914818102</v>
      </c>
      <c r="FJ33" s="59">
        <f ca="1">AVERAGE(OFFSET($FI$3,0,0,'Données projet'!$E$16+1,1))-AVERAGE(OFFSET($H$3,0,0,'Données projet'!$E$16+1,1))</f>
        <v>242.10913976205194</v>
      </c>
      <c r="FK33" s="59">
        <f t="shared" si="48"/>
        <v>198.24795425321133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0.22500000000000001</v>
      </c>
      <c r="FP33" s="16">
        <f>IF(ISNA(VLOOKUP(A33,'Données projet'!$A$217:$I$237,7,0)),0%,VLOOKUP(A33,'Données projet'!$A$217:$I$237,7,0))</f>
        <v>0.5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10.837397006216971</v>
      </c>
      <c r="FS33" s="21">
        <f>EXP(-LN(2)/2)*FS32+(1-EXP(-LN(2)/2))/(LN(2)/2)*FM33*FP33*VLOOKUP('Données projet'!$B$16,Paramètres!$A$1:$I$89,3,0)*0.475*44/12</f>
        <v>13.22268255335635</v>
      </c>
      <c r="FT33" s="22">
        <f t="shared" si="24"/>
        <v>24.060079559573321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108.5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15.5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108.5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15.5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15.160860000000005</v>
      </c>
      <c r="D34" s="11">
        <f t="shared" si="32"/>
        <v>5.0914284800591112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85.983400213584332</v>
      </c>
      <c r="H34" s="67">
        <f t="shared" si="1"/>
        <v>433.1060691027696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108.5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10.199999999999999</v>
      </c>
      <c r="N34" s="13">
        <f>IF('Données projet'!$A$36&gt;35,N33+M34-V33,IF(A34&lt;'Données projet'!$A$36,$K$205^A34,IF(A34='Données projet'!$A$36,'Données projet'!$B$36,N33+M34-V33)))</f>
        <v>128.19999999999996</v>
      </c>
      <c r="O34" s="13">
        <f>N34*VLOOKUP('Données projet'!$B$9,Paramètres!$A$1:$I$89,3,0)*VLOOKUP('Données projet'!$B$9,Paramètres!$A$1:$I$89,5,0)</f>
        <v>103.99583999999999</v>
      </c>
      <c r="P34" s="13">
        <f t="shared" si="33"/>
        <v>27.911769723878031</v>
      </c>
      <c r="Q34" s="20">
        <f t="shared" si="2"/>
        <v>229.73908693575422</v>
      </c>
      <c r="R34" s="59">
        <f t="shared" si="0"/>
        <v>664.23908693575424</v>
      </c>
      <c r="S34" s="59">
        <f ca="1">AVERAGE(OFFSET($R$3,0,0,'Données projet'!$E$9+1,1))-AVERAGE(OFFSET($H$3,0,0,'Données projet'!$E$9+1,1))</f>
        <v>273.89826011924487</v>
      </c>
      <c r="T34" s="59">
        <f t="shared" si="34"/>
        <v>332.17519939974227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8.2737690815205536</v>
      </c>
      <c r="AB34" s="21">
        <f>EXP(-LN(2)/2)*AB33+(1-EXP(-LN(2)/2))/(LN(2)/2)*V34*Y34*VLOOKUP('Données projet'!$B$9,Paramètres!$A$1:$I$89,3,0)*0.475*44/12</f>
        <v>7.7587781888433858</v>
      </c>
      <c r="AC34" s="22">
        <f t="shared" si="3"/>
        <v>16.032547270363938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108.5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10.000000000000004</v>
      </c>
      <c r="AI34" s="13">
        <f>IF('Données projet'!$A$62&gt;35,AI33+AH34-AQ33,IF(A34&lt;'Données projet'!$A$62,$AF$205^A34,IF(A34='Données projet'!$A$62,'Données projet'!$B$62,AI33+AH34-AQ33)))</f>
        <v>201.59999999999988</v>
      </c>
      <c r="AJ34" s="13">
        <f>AI34*VLOOKUP('Données projet'!$B$10,Paramètres!$A$1:$I$89,3,0)*VLOOKUP('Données projet'!$B$10,Paramètres!$A$1:$I$89,5,0)</f>
        <v>94.34879999999994</v>
      </c>
      <c r="AK34" s="13">
        <f t="shared" si="35"/>
        <v>25.611153022386439</v>
      </c>
      <c r="AL34" s="20">
        <f t="shared" si="4"/>
        <v>208.93025151398959</v>
      </c>
      <c r="AM34" s="59">
        <f t="shared" si="5"/>
        <v>643.43025151398956</v>
      </c>
      <c r="AN34" s="59">
        <f ca="1">AVERAGE(OFFSET($AM$3,0,0,'Données projet'!$E$10+1,1))-AVERAGE(OFFSET($H$3,0,0,'Données projet'!$E$10+1,1))</f>
        <v>293.42903587188346</v>
      </c>
      <c r="AO34" s="59">
        <f t="shared" si="36"/>
        <v>267.80827667062124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3.0731143685149527</v>
      </c>
      <c r="AV34" s="21">
        <f>EXP(-LN(2)/25)*AV33+(1-EXP(-LN(2)/25))/(LN(2)/25)*Calculateur!AQ34*Calculateur!AS34*VLOOKUP('Données projet'!$B$10,Paramètres!$A$1:$I$89,3,0)*0.475*44/12</f>
        <v>7.640656268132366</v>
      </c>
      <c r="AW34" s="21">
        <f>EXP(-LN(2)/2)*AW33+(1-EXP(-LN(2)/2))/(LN(2)/2)*AQ34*AT34*VLOOKUP('Données projet'!$B$10,Paramètres!$A$1:$I$89,3,0)*0.475*44/12</f>
        <v>6.9523986630401735</v>
      </c>
      <c r="AX34" s="21">
        <f t="shared" si="6"/>
        <v>17.666169299687493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108.5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8.1999999999999993</v>
      </c>
      <c r="BD34" s="12">
        <f>IF('Données projet'!$A$88&gt;35,BD33+BC34-BL33,IF(A34&lt;'Données projet'!$A$88,$BA$205^A34,IF(A34='Données projet'!$A$88,'Données projet'!$B$88,BD33+BC34-BL33)))</f>
        <v>84.199999999999974</v>
      </c>
      <c r="BE34" s="13">
        <f>BD34*VLOOKUP('Données projet'!$B$11,Paramètres!$A$1:$I$89,3,0)*VLOOKUP('Données projet'!$B$11,Paramètres!$A$1:$I$89,5,0)</f>
        <v>76.184159999999977</v>
      </c>
      <c r="BF34" s="13">
        <f t="shared" si="37"/>
        <v>21.201554232857205</v>
      </c>
      <c r="BG34" s="20">
        <f t="shared" si="7"/>
        <v>169.61345228889294</v>
      </c>
      <c r="BH34" s="59">
        <f t="shared" si="8"/>
        <v>604.11345228889297</v>
      </c>
      <c r="BI34" s="59">
        <f ca="1">AVERAGE(OFFSET($BH$3,0,0,'Données projet'!$E$11+1,1))-AVERAGE(OFFSET($H$3,0,0,'Données projet'!$E$11+1,1))</f>
        <v>324.41828402031939</v>
      </c>
      <c r="BJ34" s="59">
        <f t="shared" si="38"/>
        <v>233.01060088065992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3.0210061298289821</v>
      </c>
      <c r="BR34" s="21">
        <f>EXP(-LN(2)/2)*BR33+(1-EXP(-LN(2)/2))/(LN(2)/2)*BL34*BO34*VLOOKUP('Données projet'!$B$11,Paramètres!$A$1:$I$89,3,0)*0.475*44/12</f>
        <v>4.3765298389887484</v>
      </c>
      <c r="BS34" s="22">
        <f t="shared" si="9"/>
        <v>7.3975359688177305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108.5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13.8</v>
      </c>
      <c r="BY34" s="12">
        <f>IF('Données projet'!$A$114&gt;35,BY33+BX34-CG33,IF(A34&lt;'Données projet'!$A$114,$BV$205^A34,IF(A34='Données projet'!$A$114,'Données projet'!$B$114,BY33+BX34-CG33)))</f>
        <v>189.8</v>
      </c>
      <c r="BZ34" s="13">
        <f>BY34*VLOOKUP('Données projet'!$B$12,Paramètres!$A$1:$I$89,3,0)*VLOOKUP('Données projet'!$B$12,Paramètres!$A$1:$I$89,5,0)</f>
        <v>103.63080000000001</v>
      </c>
      <c r="CA34" s="13">
        <f t="shared" si="39"/>
        <v>27.825181985080775</v>
      </c>
      <c r="CB34" s="20">
        <f t="shared" si="10"/>
        <v>228.952501957349</v>
      </c>
      <c r="CC34" s="59">
        <f t="shared" si="11"/>
        <v>663.452501957349</v>
      </c>
      <c r="CD34" s="59">
        <f ca="1">AVERAGE(OFFSET($CC$3,0,0,'Données projet'!$E$12+1,1))-AVERAGE(OFFSET($H$3,0,0,'Données projet'!$E$12+1,1))</f>
        <v>279.00060755204919</v>
      </c>
      <c r="CE34" s="59">
        <f t="shared" si="40"/>
        <v>333.91128554211014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7.1578183746753483</v>
      </c>
      <c r="CL34" s="21">
        <f>EXP(-LN(2)/25)*CL33+(1-EXP(-LN(2)/25))/(LN(2)/25)*Calculateur!CG34*Calculateur!CI34*VLOOKUP('Données projet'!$B$12,Paramètres!$A$1:$I$89,3,0)*0.475*44/12</f>
        <v>27.069681257645033</v>
      </c>
      <c r="CM34" s="21">
        <f>EXP(-LN(2)/2)*CM33+(1-EXP(-LN(2)/2))/(LN(2)/2)*CG34*CJ34*VLOOKUP('Données projet'!$B$12,Paramètres!$A$1:$I$89,3,0)*0.475*44/12</f>
        <v>15.240900887121683</v>
      </c>
      <c r="CN34" s="22">
        <f t="shared" si="12"/>
        <v>49.468400519442064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108.5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18.8</v>
      </c>
      <c r="CT34" s="12">
        <f>IF('Données projet'!$A$140&gt;35,CT33+CS34-DB33,IF(A34&lt;'Données projet'!$A$140,$CQ$205^A34,IF(A34='Données projet'!$A$140,'Données projet'!$B$140,CT33+CS34-DB33)))</f>
        <v>213.80000000000013</v>
      </c>
      <c r="CU34" s="17">
        <f>CT34*VLOOKUP('Données projet'!$B$13,Paramètres!$A$1:$I$89,3,0)*VLOOKUP('Données projet'!$B$13,Paramètres!$A$1:$I$89,5,0)</f>
        <v>127.85240000000007</v>
      </c>
      <c r="CV34" s="13">
        <f t="shared" si="41"/>
        <v>33.499631944426262</v>
      </c>
      <c r="CW34" s="20">
        <f t="shared" si="13"/>
        <v>281.0214556365425</v>
      </c>
      <c r="CX34" s="59">
        <f t="shared" si="14"/>
        <v>715.52145563654244</v>
      </c>
      <c r="CY34" s="59">
        <f ca="1">AVERAGE(OFFSET($CX$3,0,0,'Données projet'!$E$13+1,1))-AVERAGE(OFFSET($H$3,0,0,'Données projet'!$E$13+1,1))</f>
        <v>380.01315081072897</v>
      </c>
      <c r="CZ34" s="59">
        <f t="shared" si="42"/>
        <v>404.90871625409181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3.4297879711986052</v>
      </c>
      <c r="DG34" s="21">
        <f>EXP(-LN(2)/25)*DG33+(1-EXP(-LN(2)/25))/(LN(2)/25)*Calculateur!DB34*Calculateur!DD34*VLOOKUP('Données projet'!$B$13,Paramètres!$A$1:$I$89,3,0)*0.475*44/12</f>
        <v>20.756182469692245</v>
      </c>
      <c r="DH34" s="21">
        <f>EXP(-LN(2)/2)*DH33+(1-EXP(-LN(2)/2))/(LN(2)/2)*DB34*DE34*VLOOKUP('Données projet'!$B$13,Paramètres!$A$1:$I$89,3,0)*0.475*44/12</f>
        <v>21.427693046104753</v>
      </c>
      <c r="DI34" s="22">
        <f t="shared" si="15"/>
        <v>45.613663486995605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108.5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6.2</v>
      </c>
      <c r="DO34" s="12">
        <f>IF('Données projet'!$A$166&gt;35,DO33+DN34-DW33,IF(A34&lt;'Données projet'!$A$166,$DL$205^A34,IF(A34='Données projet'!$A$166,'Données projet'!$B$166,DO33+DN34-DW33)))</f>
        <v>248.2</v>
      </c>
      <c r="DP34" s="17">
        <f>DO34*VLOOKUP('Données projet'!$B$14,Paramètres!$A$1:$I$89,3,0)*VLOOKUP('Données projet'!$B$14,Paramètres!$A$1:$I$89,5,0)</f>
        <v>224.57136</v>
      </c>
      <c r="DQ34" s="13">
        <f t="shared" si="43"/>
        <v>55.107255873104265</v>
      </c>
      <c r="DR34" s="20">
        <f t="shared" si="16"/>
        <v>487.10692264565654</v>
      </c>
      <c r="DS34" s="59">
        <f t="shared" si="17"/>
        <v>921.6069226456566</v>
      </c>
      <c r="DT34" s="59">
        <f ca="1">AVERAGE(OFFSET($DS$3,0,0,'Données projet'!$E$14+1,1))-AVERAGE(OFFSET($H$3,0,0,'Données projet'!$E$14+1,1))</f>
        <v>320.81451813551064</v>
      </c>
      <c r="DU34" s="59">
        <f t="shared" si="44"/>
        <v>522.80818268773976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1.7995496284972636</v>
      </c>
      <c r="EB34" s="21">
        <f>EXP(-LN(2)/25)*EB33+(1-EXP(-LN(2)/25))/(LN(2)/25)*Calculateur!DW34*Calculateur!DY34*VLOOKUP('Données projet'!$B$14,Paramètres!$A$1:$I$89,3,0)*0.475*44/12</f>
        <v>10.140860893154331</v>
      </c>
      <c r="EC34" s="21">
        <f>EXP(-LN(2)/2)*EC33+(1-EXP(-LN(2)/2))/(LN(2)/2)*DW34*DZ34*VLOOKUP('Données projet'!$B$14,Paramètres!$A$1:$I$89,3,0)*0.475*44/12</f>
        <v>4.2347801385717796</v>
      </c>
      <c r="ED34" s="22">
        <f t="shared" si="18"/>
        <v>16.175190660223375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108.5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14.833333333333334</v>
      </c>
      <c r="EJ34" s="12">
        <f>IF('Données projet'!$A$192&gt;35,EJ33+EI34-ER33,IF(A34&lt;'Données projet'!$A$192,$EG$205^A34,IF(A34='Données projet'!$A$192,'Données projet'!$B$192,EJ33+EI34-ER33)))</f>
        <v>199.50000000000003</v>
      </c>
      <c r="EK34" s="17">
        <f>EJ34*VLOOKUP('Données projet'!$B$15,Paramètres!$A$1:$I$89,3,0)*VLOOKUP('Données projet'!$B$15,Paramètres!$A$1:$I$89,5,0)</f>
        <v>119.30100000000002</v>
      </c>
      <c r="EL34" s="13">
        <f t="shared" si="45"/>
        <v>31.51191363312137</v>
      </c>
      <c r="EM34" s="20">
        <f t="shared" si="19"/>
        <v>262.66582457768635</v>
      </c>
      <c r="EN34" s="59">
        <f t="shared" si="20"/>
        <v>697.16582457768641</v>
      </c>
      <c r="EO34" s="59">
        <f ca="1">AVERAGE(OFFSET($EN$3,0,0,'Données projet'!$E$15+1,1))-AVERAGE(OFFSET($H$3,0,0,'Données projet'!$E$15+1,1))</f>
        <v>228.3393311631487</v>
      </c>
      <c r="EP34" s="59">
        <f t="shared" si="46"/>
        <v>266.26050497804033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6.0904454952745626</v>
      </c>
      <c r="EW34" s="21">
        <f>EXP(-LN(2)/25)*EW33+(1-EXP(-LN(2)/25))/(LN(2)/25)*Calculateur!ER34*Calculateur!ET34*VLOOKUP('Données projet'!$B$15,Paramètres!$A$1:$I$89,3,0)*0.475*44/12</f>
        <v>11.993693628323154</v>
      </c>
      <c r="EX34" s="21">
        <f>EXP(-LN(2)/2)*EX33+(1-EXP(-LN(2)/2))/(LN(2)/2)*ER34*EU34*VLOOKUP('Données projet'!$B$15,Paramètres!$A$1:$I$89,3,0)*0.475*44/12</f>
        <v>3.8506860059637007</v>
      </c>
      <c r="EY34" s="22">
        <f t="shared" si="21"/>
        <v>21.934825129561418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108.5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13.6</v>
      </c>
      <c r="FE34" s="12">
        <f>IF('Données projet'!$A$218&gt;35,FE33+FD34-FM33,IF(A34&lt;'Données projet'!$A$218,$FB$205^A34,IF(A34='Données projet'!$A$218,'Données projet'!$B$218,FE33+FD34-FM33)))</f>
        <v>116.6</v>
      </c>
      <c r="FF34" s="17">
        <f>FE34*VLOOKUP('Données projet'!$B$16,Paramètres!$A$1:$I$89,3,0)*VLOOKUP('Données projet'!$B$16,Paramètres!$A$1:$I$89,5,0)</f>
        <v>66.6952</v>
      </c>
      <c r="FG34" s="13">
        <f t="shared" si="47"/>
        <v>18.850463580226855</v>
      </c>
      <c r="FH34" s="20">
        <f t="shared" si="22"/>
        <v>148.99203073556177</v>
      </c>
      <c r="FI34" s="59">
        <f t="shared" si="23"/>
        <v>583.4920307355618</v>
      </c>
      <c r="FJ34" s="59">
        <f ca="1">AVERAGE(OFFSET($FI$3,0,0,'Données projet'!$E$16+1,1))-AVERAGE(OFFSET($H$3,0,0,'Données projet'!$E$16+1,1))</f>
        <v>242.10913976205194</v>
      </c>
      <c r="FK34" s="59">
        <f t="shared" si="48"/>
        <v>198.24795425321133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10.541047815168028</v>
      </c>
      <c r="FS34" s="21">
        <f>EXP(-LN(2)/2)*FS33+(1-EXP(-LN(2)/2))/(LN(2)/2)*FM34*FP34*VLOOKUP('Données projet'!$B$16,Paramètres!$A$1:$I$89,3,0)*0.475*44/12</f>
        <v>9.3498484989553283</v>
      </c>
      <c r="FT34" s="22">
        <f t="shared" si="24"/>
        <v>19.890896314123356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108.5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108.5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15.649920000000005</v>
      </c>
      <c r="D35" s="11">
        <f t="shared" si="32"/>
        <v>5.2362813765062493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88.674749703763396</v>
      </c>
      <c r="H35" s="67">
        <f t="shared" si="1"/>
        <v>434.21013406408167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108.5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10.199999999999999</v>
      </c>
      <c r="N35" s="13">
        <f>IF('Données projet'!$A$36&gt;35,N34+M35-V34,IF(A35&lt;'Données projet'!$A$36,$K$205^A35,IF(A35='Données projet'!$A$36,'Données projet'!$B$36,N34+M35-V34)))</f>
        <v>138.39999999999995</v>
      </c>
      <c r="O35" s="13">
        <f>N35*VLOOKUP('Données projet'!$B$9,Paramètres!$A$1:$I$89,3,0)*VLOOKUP('Données projet'!$B$9,Paramètres!$A$1:$I$89,5,0)</f>
        <v>112.27007999999996</v>
      </c>
      <c r="P35" s="13">
        <f t="shared" si="33"/>
        <v>29.86519561157689</v>
      </c>
      <c r="Q35" s="20">
        <f t="shared" ref="Q35:Q66" si="53">(O35+P35)*0.475*44/12</f>
        <v>247.552271690163</v>
      </c>
      <c r="R35" s="59">
        <f t="shared" si="0"/>
        <v>682.05227169016302</v>
      </c>
      <c r="S35" s="59">
        <f ca="1">AVERAGE(OFFSET($R$3,0,0,'Données projet'!$E$9+1,1))-AVERAGE(OFFSET($H$3,0,0,'Données projet'!$E$9+1,1))</f>
        <v>273.89826011924487</v>
      </c>
      <c r="T35" s="59">
        <f t="shared" si="34"/>
        <v>332.17519939974227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8.0475224308877689</v>
      </c>
      <c r="AB35" s="21">
        <f>EXP(-LN(2)/2)*AB34+(1-EXP(-LN(2)/2))/(LN(2)/2)*V35*Y35*VLOOKUP('Données projet'!$B$9,Paramètres!$A$1:$I$89,3,0)*0.475*44/12</f>
        <v>5.4862846710534381</v>
      </c>
      <c r="AC35" s="22">
        <f t="shared" si="3"/>
        <v>13.533807101941207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108.5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10.000000000000004</v>
      </c>
      <c r="AI35" s="13">
        <f>IF('Données projet'!$A$62&gt;35,AI34+AH35-AQ34,IF(A35&lt;'Données projet'!$A$62,$AF$205^A35,IF(A35='Données projet'!$A$62,'Données projet'!$B$62,AI34+AH35-AQ34)))</f>
        <v>211.59999999999988</v>
      </c>
      <c r="AJ35" s="13">
        <f>AI35*VLOOKUP('Données projet'!$B$10,Paramètres!$A$1:$I$89,3,0)*VLOOKUP('Données projet'!$B$10,Paramètres!$A$1:$I$89,5,0)</f>
        <v>99.028799999999947</v>
      </c>
      <c r="AK35" s="13">
        <f t="shared" si="35"/>
        <v>26.730491283721712</v>
      </c>
      <c r="AL35" s="20">
        <f t="shared" si="4"/>
        <v>219.0307656524819</v>
      </c>
      <c r="AM35" s="59">
        <f t="shared" si="5"/>
        <v>653.53076565248193</v>
      </c>
      <c r="AN35" s="59">
        <f ca="1">AVERAGE(OFFSET($AM$3,0,0,'Données projet'!$E$10+1,1))-AVERAGE(OFFSET($H$3,0,0,'Données projet'!$E$10+1,1))</f>
        <v>293.42903587188346</v>
      </c>
      <c r="AO35" s="59">
        <f t="shared" si="36"/>
        <v>267.80827667062124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3.0128524701630561</v>
      </c>
      <c r="AV35" s="21">
        <f>EXP(-LN(2)/25)*AV34+(1-EXP(-LN(2)/25))/(LN(2)/25)*Calculateur!AQ35*Calculateur!AS35*VLOOKUP('Données projet'!$B$10,Paramètres!$A$1:$I$89,3,0)*0.475*44/12</f>
        <v>7.4317221206756363</v>
      </c>
      <c r="AW35" s="21">
        <f>EXP(-LN(2)/2)*AW34+(1-EXP(-LN(2)/2))/(LN(2)/2)*AQ35*AT35*VLOOKUP('Données projet'!$B$10,Paramètres!$A$1:$I$89,3,0)*0.475*44/12</f>
        <v>4.9160882401479942</v>
      </c>
      <c r="AX35" s="21">
        <f t="shared" si="6"/>
        <v>15.360662830986687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108.5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8.1999999999999993</v>
      </c>
      <c r="BD35" s="12">
        <f>IF('Données projet'!$A$88&gt;35,BD34+BC35-BL34,IF(A35&lt;'Données projet'!$A$88,$BA$205^A35,IF(A35='Données projet'!$A$88,'Données projet'!$B$88,BD34+BC35-BL34)))</f>
        <v>92.399999999999977</v>
      </c>
      <c r="BE35" s="13">
        <f>BD35*VLOOKUP('Données projet'!$B$11,Paramètres!$A$1:$I$89,3,0)*VLOOKUP('Données projet'!$B$11,Paramètres!$A$1:$I$89,5,0)</f>
        <v>83.603519999999975</v>
      </c>
      <c r="BF35" s="13">
        <f t="shared" si="37"/>
        <v>23.015991519299678</v>
      </c>
      <c r="BG35" s="20">
        <f t="shared" si="7"/>
        <v>185.69564922944687</v>
      </c>
      <c r="BH35" s="59">
        <f t="shared" si="8"/>
        <v>620.19564922944687</v>
      </c>
      <c r="BI35" s="59">
        <f ca="1">AVERAGE(OFFSET($BH$3,0,0,'Données projet'!$E$11+1,1))-AVERAGE(OFFSET($H$3,0,0,'Données projet'!$E$11+1,1))</f>
        <v>324.41828402031939</v>
      </c>
      <c r="BJ35" s="59">
        <f t="shared" si="38"/>
        <v>233.01060088065992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2.938396558341001</v>
      </c>
      <c r="BR35" s="21">
        <f>EXP(-LN(2)/2)*BR34+(1-EXP(-LN(2)/2))/(LN(2)/2)*BL35*BO35*VLOOKUP('Données projet'!$B$11,Paramètres!$A$1:$I$89,3,0)*0.475*44/12</f>
        <v>3.0946739272142132</v>
      </c>
      <c r="BS35" s="22">
        <f t="shared" si="9"/>
        <v>6.0330704855552142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108.5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13.8</v>
      </c>
      <c r="BY35" s="12">
        <f>IF('Données projet'!$A$114&gt;35,BY34+BX35-CG34,IF(A35&lt;'Données projet'!$A$114,$BV$205^A35,IF(A35='Données projet'!$A$114,'Données projet'!$B$114,BY34+BX35-CG34)))</f>
        <v>203.60000000000002</v>
      </c>
      <c r="BZ35" s="13">
        <f>BY35*VLOOKUP('Données projet'!$B$12,Paramètres!$A$1:$I$89,3,0)*VLOOKUP('Données projet'!$B$12,Paramètres!$A$1:$I$89,5,0)</f>
        <v>111.1656</v>
      </c>
      <c r="CA35" s="13">
        <f t="shared" si="39"/>
        <v>29.60544032483066</v>
      </c>
      <c r="CB35" s="20">
        <f t="shared" si="10"/>
        <v>245.17622856574675</v>
      </c>
      <c r="CC35" s="59">
        <f t="shared" si="11"/>
        <v>679.67622856574678</v>
      </c>
      <c r="CD35" s="59">
        <f ca="1">AVERAGE(OFFSET($CC$3,0,0,'Données projet'!$E$12+1,1))-AVERAGE(OFFSET($H$3,0,0,'Données projet'!$E$12+1,1))</f>
        <v>279.00060755204919</v>
      </c>
      <c r="CE35" s="59">
        <f t="shared" si="40"/>
        <v>333.91128554211014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7.0174579221860824</v>
      </c>
      <c r="CL35" s="21">
        <f>EXP(-LN(2)/25)*CL34+(1-EXP(-LN(2)/25))/(LN(2)/25)*Calculateur!CG35*Calculateur!CI35*VLOOKUP('Données projet'!$B$12,Paramètres!$A$1:$I$89,3,0)*0.475*44/12</f>
        <v>26.329459400122062</v>
      </c>
      <c r="CM35" s="21">
        <f>EXP(-LN(2)/2)*CM34+(1-EXP(-LN(2)/2))/(LN(2)/2)*CG35*CJ35*VLOOKUP('Données projet'!$B$12,Paramètres!$A$1:$I$89,3,0)*0.475*44/12</f>
        <v>10.77694436867581</v>
      </c>
      <c r="CN35" s="22">
        <f t="shared" si="12"/>
        <v>44.123861690983958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108.5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18.8</v>
      </c>
      <c r="CT35" s="12">
        <f>IF('Données projet'!$A$140&gt;35,CT34+CS35-DB34,IF(A35&lt;'Données projet'!$A$140,$CQ$205^A35,IF(A35='Données projet'!$A$140,'Données projet'!$B$140,CT34+CS35-DB34)))</f>
        <v>232.60000000000014</v>
      </c>
      <c r="CU35" s="17">
        <f>CT35*VLOOKUP('Données projet'!$B$13,Paramètres!$A$1:$I$89,3,0)*VLOOKUP('Données projet'!$B$13,Paramètres!$A$1:$I$89,5,0)</f>
        <v>139.09480000000008</v>
      </c>
      <c r="CV35" s="13">
        <f t="shared" si="41"/>
        <v>36.089558664086184</v>
      </c>
      <c r="CW35" s="20">
        <f t="shared" si="13"/>
        <v>305.11275800661684</v>
      </c>
      <c r="CX35" s="59">
        <f t="shared" si="14"/>
        <v>739.61275800661679</v>
      </c>
      <c r="CY35" s="59">
        <f ca="1">AVERAGE(OFFSET($CX$3,0,0,'Données projet'!$E$13+1,1))-AVERAGE(OFFSET($H$3,0,0,'Données projet'!$E$13+1,1))</f>
        <v>380.01315081072897</v>
      </c>
      <c r="CZ35" s="59">
        <f t="shared" si="42"/>
        <v>404.90871625409181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3.3625319210474989</v>
      </c>
      <c r="DG35" s="21">
        <f>EXP(-LN(2)/25)*DG34+(1-EXP(-LN(2)/25))/(LN(2)/25)*Calculateur!DB35*Calculateur!DD35*VLOOKUP('Données projet'!$B$13,Paramètres!$A$1:$I$89,3,0)*0.475*44/12</f>
        <v>20.188603568538312</v>
      </c>
      <c r="DH35" s="21">
        <f>EXP(-LN(2)/2)*DH34+(1-EXP(-LN(2)/2))/(LN(2)/2)*DB35*DE35*VLOOKUP('Données projet'!$B$13,Paramètres!$A$1:$I$89,3,0)*0.475*44/12</f>
        <v>15.151667058084501</v>
      </c>
      <c r="DI35" s="22">
        <f t="shared" si="15"/>
        <v>38.702802547670309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108.5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6.2</v>
      </c>
      <c r="DO35" s="12">
        <f>IF('Données projet'!$A$166&gt;35,DO34+DN35-DW34,IF(A35&lt;'Données projet'!$A$166,$DL$205^A35,IF(A35='Données projet'!$A$166,'Données projet'!$B$166,DO34+DN35-DW34)))</f>
        <v>254.39999999999998</v>
      </c>
      <c r="DP35" s="17">
        <f>DO35*VLOOKUP('Données projet'!$B$14,Paramètres!$A$1:$I$89,3,0)*VLOOKUP('Données projet'!$B$14,Paramètres!$A$1:$I$89,5,0)</f>
        <v>230.18111999999996</v>
      </c>
      <c r="DQ35" s="13">
        <f t="shared" si="43"/>
        <v>56.321842115392933</v>
      </c>
      <c r="DR35" s="20">
        <f t="shared" si="16"/>
        <v>498.99265901764267</v>
      </c>
      <c r="DS35" s="59">
        <f t="shared" si="17"/>
        <v>933.49265901764261</v>
      </c>
      <c r="DT35" s="59">
        <f ca="1">AVERAGE(OFFSET($DS$3,0,0,'Données projet'!$E$14+1,1))-AVERAGE(OFFSET($H$3,0,0,'Données projet'!$E$14+1,1))</f>
        <v>320.81451813551064</v>
      </c>
      <c r="DU35" s="59">
        <f t="shared" si="44"/>
        <v>522.80818268773976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1.764261557899325</v>
      </c>
      <c r="EB35" s="21">
        <f>EXP(-LN(2)/25)*EB34+(1-EXP(-LN(2)/25))/(LN(2)/25)*Calculateur!DW35*Calculateur!DY35*VLOOKUP('Données projet'!$B$14,Paramètres!$A$1:$I$89,3,0)*0.475*44/12</f>
        <v>9.8635585187463288</v>
      </c>
      <c r="EC35" s="21">
        <f>EXP(-LN(2)/2)*EC34+(1-EXP(-LN(2)/2))/(LN(2)/2)*DW35*DZ35*VLOOKUP('Données projet'!$B$14,Paramètres!$A$1:$I$89,3,0)*0.475*44/12</f>
        <v>2.9944417528182128</v>
      </c>
      <c r="ED35" s="22">
        <f t="shared" si="18"/>
        <v>14.622261829463866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108.5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14.833333333333334</v>
      </c>
      <c r="EJ35" s="12">
        <f>IF('Données projet'!$A$192&gt;35,EJ34+EI35-ER34,IF(A35&lt;'Données projet'!$A$192,$EG$205^A35,IF(A35='Données projet'!$A$192,'Données projet'!$B$192,EJ34+EI35-ER34)))</f>
        <v>214.33333333333337</v>
      </c>
      <c r="EK35" s="17">
        <f>EJ35*VLOOKUP('Données projet'!$B$15,Paramètres!$A$1:$I$89,3,0)*VLOOKUP('Données projet'!$B$15,Paramètres!$A$1:$I$89,5,0)</f>
        <v>128.17133333333337</v>
      </c>
      <c r="EL35" s="13">
        <f t="shared" si="45"/>
        <v>33.5734603980111</v>
      </c>
      <c r="EM35" s="20">
        <f t="shared" si="19"/>
        <v>281.70551574875822</v>
      </c>
      <c r="EN35" s="59">
        <f t="shared" si="20"/>
        <v>716.20551574875822</v>
      </c>
      <c r="EO35" s="59">
        <f ca="1">AVERAGE(OFFSET($EN$3,0,0,'Données projet'!$E$15+1,1))-AVERAGE(OFFSET($H$3,0,0,'Données projet'!$E$15+1,1))</f>
        <v>228.3393311631487</v>
      </c>
      <c r="EP35" s="59">
        <f t="shared" si="46"/>
        <v>266.26050497804033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5.9710155739171737</v>
      </c>
      <c r="EW35" s="21">
        <f>EXP(-LN(2)/25)*EW34+(1-EXP(-LN(2)/25))/(LN(2)/25)*Calculateur!ER35*Calculateur!ET35*VLOOKUP('Données projet'!$B$15,Paramètres!$A$1:$I$89,3,0)*0.475*44/12</f>
        <v>11.66572544533572</v>
      </c>
      <c r="EX35" s="21">
        <f>EXP(-LN(2)/2)*EX34+(1-EXP(-LN(2)/2))/(LN(2)/2)*ER35*EU35*VLOOKUP('Données projet'!$B$15,Paramètres!$A$1:$I$89,3,0)*0.475*44/12</f>
        <v>2.7228461870370753</v>
      </c>
      <c r="EY35" s="22">
        <f t="shared" si="21"/>
        <v>20.359587206289969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108.5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13.6</v>
      </c>
      <c r="FE35" s="12">
        <f>IF('Données projet'!$A$218&gt;35,FE34+FD35-FM34,IF(A35&lt;'Données projet'!$A$218,$FB$205^A35,IF(A35='Données projet'!$A$218,'Données projet'!$B$218,FE34+FD35-FM34)))</f>
        <v>130.19999999999999</v>
      </c>
      <c r="FF35" s="17">
        <f>FE35*VLOOKUP('Données projet'!$B$16,Paramètres!$A$1:$I$89,3,0)*VLOOKUP('Données projet'!$B$16,Paramètres!$A$1:$I$89,5,0)</f>
        <v>74.474400000000003</v>
      </c>
      <c r="FG35" s="13">
        <f t="shared" si="47"/>
        <v>20.780570274034375</v>
      </c>
      <c r="FH35" s="20">
        <f t="shared" si="22"/>
        <v>165.90240656060988</v>
      </c>
      <c r="FI35" s="59">
        <f t="shared" si="23"/>
        <v>600.40240656060985</v>
      </c>
      <c r="FJ35" s="59">
        <f ca="1">AVERAGE(OFFSET($FI$3,0,0,'Données projet'!$E$16+1,1))-AVERAGE(OFFSET($H$3,0,0,'Données projet'!$E$16+1,1))</f>
        <v>242.10913976205194</v>
      </c>
      <c r="FK35" s="59">
        <f t="shared" si="48"/>
        <v>198.24795425321133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10.252802308332646</v>
      </c>
      <c r="FS35" s="21">
        <f>EXP(-LN(2)/2)*FS34+(1-EXP(-LN(2)/2))/(LN(2)/2)*FM35*FP35*VLOOKUP('Données projet'!$B$16,Paramètres!$A$1:$I$89,3,0)*0.475*44/12</f>
        <v>6.6113412766781758</v>
      </c>
      <c r="FT35" s="22">
        <f t="shared" si="24"/>
        <v>16.864143585010822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108.5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108.5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16.138980000000004</v>
      </c>
      <c r="D36" s="11">
        <f t="shared" si="32"/>
        <v>5.380608237227948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91.363865849283584</v>
      </c>
      <c r="H36" s="67">
        <f t="shared" si="1"/>
        <v>435.31328284650533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108.5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10.199999999999999</v>
      </c>
      <c r="N36" s="13">
        <f>IF('Données projet'!$A$36&gt;35,N35+M36-V35,IF(A36&lt;'Données projet'!$A$36,$K$205^A36,IF(A36='Données projet'!$A$36,'Données projet'!$B$36,N35+M36-V35)))</f>
        <v>148.59999999999994</v>
      </c>
      <c r="O36" s="13">
        <f>N36*VLOOKUP('Données projet'!$B$9,Paramètres!$A$1:$I$89,3,0)*VLOOKUP('Données projet'!$B$9,Paramètres!$A$1:$I$89,5,0)</f>
        <v>120.54431999999997</v>
      </c>
      <c r="P36" s="13">
        <f t="shared" si="33"/>
        <v>31.80191953664422</v>
      </c>
      <c r="Q36" s="20">
        <f t="shared" si="53"/>
        <v>265.33636719298863</v>
      </c>
      <c r="R36" s="59">
        <f t="shared" si="0"/>
        <v>699.83636719298863</v>
      </c>
      <c r="S36" s="59">
        <f ca="1">AVERAGE(OFFSET($R$3,0,0,'Données projet'!$E$9+1,1))-AVERAGE(OFFSET($H$3,0,0,'Données projet'!$E$9+1,1))</f>
        <v>273.89826011924487</v>
      </c>
      <c r="T36" s="59">
        <f t="shared" si="34"/>
        <v>332.17519939974227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7.8274625068143306</v>
      </c>
      <c r="AB36" s="21">
        <f>EXP(-LN(2)/2)*AB35+(1-EXP(-LN(2)/2))/(LN(2)/2)*V36*Y36*VLOOKUP('Données projet'!$B$9,Paramètres!$A$1:$I$89,3,0)*0.475*44/12</f>
        <v>3.8793890944216938</v>
      </c>
      <c r="AC36" s="22">
        <f t="shared" si="3"/>
        <v>11.706851601236025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108.5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10.000000000000004</v>
      </c>
      <c r="AI36" s="13">
        <f>IF('Données projet'!$A$62&gt;35,AI35+AH36-AQ35,IF(A36&lt;'Données projet'!$A$62,$AF$205^A36,IF(A36='Données projet'!$A$62,'Données projet'!$B$62,AI35+AH36-AQ35)))</f>
        <v>221.59999999999988</v>
      </c>
      <c r="AJ36" s="13">
        <f>AI36*VLOOKUP('Données projet'!$B$10,Paramètres!$A$1:$I$89,3,0)*VLOOKUP('Données projet'!$B$10,Paramètres!$A$1:$I$89,5,0)</f>
        <v>103.70879999999994</v>
      </c>
      <c r="AK36" s="13">
        <f t="shared" si="35"/>
        <v>27.84368661708951</v>
      </c>
      <c r="AL36" s="20">
        <f t="shared" si="4"/>
        <v>229.12058085809744</v>
      </c>
      <c r="AM36" s="59">
        <f t="shared" si="5"/>
        <v>663.62058085809747</v>
      </c>
      <c r="AN36" s="59">
        <f ca="1">AVERAGE(OFFSET($AM$3,0,0,'Données projet'!$E$10+1,1))-AVERAGE(OFFSET($H$3,0,0,'Données projet'!$E$10+1,1))</f>
        <v>293.42903587188346</v>
      </c>
      <c r="AO36" s="59">
        <f t="shared" si="36"/>
        <v>267.80827667062124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2.9537722708817116</v>
      </c>
      <c r="AV36" s="21">
        <f>EXP(-LN(2)/25)*AV35+(1-EXP(-LN(2)/25))/(LN(2)/25)*Calculateur!AQ36*Calculateur!AS36*VLOOKUP('Données projet'!$B$10,Paramètres!$A$1:$I$89,3,0)*0.475*44/12</f>
        <v>7.2285012884684798</v>
      </c>
      <c r="AW36" s="21">
        <f>EXP(-LN(2)/2)*AW35+(1-EXP(-LN(2)/2))/(LN(2)/2)*AQ36*AT36*VLOOKUP('Données projet'!$B$10,Paramètres!$A$1:$I$89,3,0)*0.475*44/12</f>
        <v>3.4761993315200876</v>
      </c>
      <c r="AX36" s="21">
        <f t="shared" si="6"/>
        <v>13.658472890870279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108.5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8.1999999999999993</v>
      </c>
      <c r="BD36" s="12">
        <f>IF('Données projet'!$A$88&gt;35,BD35+BC36-BL35,IF(A36&lt;'Données projet'!$A$88,$BA$205^A36,IF(A36='Données projet'!$A$88,'Données projet'!$B$88,BD35+BC36-BL35)))</f>
        <v>100.59999999999998</v>
      </c>
      <c r="BE36" s="13">
        <f>BD36*VLOOKUP('Données projet'!$B$11,Paramètres!$A$1:$I$89,3,0)*VLOOKUP('Données projet'!$B$11,Paramètres!$A$1:$I$89,5,0)</f>
        <v>91.022879999999972</v>
      </c>
      <c r="BF36" s="13">
        <f t="shared" si="37"/>
        <v>24.811756526220293</v>
      </c>
      <c r="BG36" s="20">
        <f t="shared" si="7"/>
        <v>201.74532528316695</v>
      </c>
      <c r="BH36" s="59">
        <f t="shared" si="8"/>
        <v>636.24532528316695</v>
      </c>
      <c r="BI36" s="59">
        <f ca="1">AVERAGE(OFFSET($BH$3,0,0,'Données projet'!$E$11+1,1))-AVERAGE(OFFSET($H$3,0,0,'Données projet'!$E$11+1,1))</f>
        <v>324.41828402031939</v>
      </c>
      <c r="BJ36" s="59">
        <f t="shared" si="38"/>
        <v>233.01060088065992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2.8580459499296071</v>
      </c>
      <c r="BR36" s="21">
        <f>EXP(-LN(2)/2)*BR35+(1-EXP(-LN(2)/2))/(LN(2)/2)*BL36*BO36*VLOOKUP('Données projet'!$B$11,Paramètres!$A$1:$I$89,3,0)*0.475*44/12</f>
        <v>2.1882649194943746</v>
      </c>
      <c r="BS36" s="22">
        <f t="shared" si="9"/>
        <v>5.0463108694239818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108.5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13.8</v>
      </c>
      <c r="BY36" s="12">
        <f>IF('Données projet'!$A$114&gt;35,BY35+BX36-CG35,IF(A36&lt;'Données projet'!$A$114,$BV$205^A36,IF(A36='Données projet'!$A$114,'Données projet'!$B$114,BY35+BX36-CG35)))</f>
        <v>217.40000000000003</v>
      </c>
      <c r="BZ36" s="13">
        <f>BY36*VLOOKUP('Données projet'!$B$12,Paramètres!$A$1:$I$89,3,0)*VLOOKUP('Données projet'!$B$12,Paramètres!$A$1:$I$89,5,0)</f>
        <v>118.70040000000002</v>
      </c>
      <c r="CA36" s="13">
        <f t="shared" si="39"/>
        <v>31.371697109278699</v>
      </c>
      <c r="CB36" s="20">
        <f t="shared" si="10"/>
        <v>261.37556913199376</v>
      </c>
      <c r="CC36" s="59">
        <f t="shared" si="11"/>
        <v>695.87556913199376</v>
      </c>
      <c r="CD36" s="59">
        <f ca="1">AVERAGE(OFFSET($CC$3,0,0,'Données projet'!$E$12+1,1))-AVERAGE(OFFSET($H$3,0,0,'Données projet'!$E$12+1,1))</f>
        <v>279.00060755204919</v>
      </c>
      <c r="CE36" s="59">
        <f t="shared" si="40"/>
        <v>333.91128554211014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6.8798498525587082</v>
      </c>
      <c r="CL36" s="21">
        <f>EXP(-LN(2)/25)*CL35+(1-EXP(-LN(2)/25))/(LN(2)/25)*Calculateur!CG36*Calculateur!CI36*VLOOKUP('Données projet'!$B$12,Paramètres!$A$1:$I$89,3,0)*0.475*44/12</f>
        <v>25.609478948219632</v>
      </c>
      <c r="CM36" s="21">
        <f>EXP(-LN(2)/2)*CM35+(1-EXP(-LN(2)/2))/(LN(2)/2)*CG36*CJ36*VLOOKUP('Données projet'!$B$12,Paramètres!$A$1:$I$89,3,0)*0.475*44/12</f>
        <v>7.6204504435608422</v>
      </c>
      <c r="CN36" s="22">
        <f t="shared" si="12"/>
        <v>40.10977924433918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108.5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18.8</v>
      </c>
      <c r="CT36" s="12">
        <f>IF('Données projet'!$A$140&gt;35,CT35+CS36-DB35,IF(A36&lt;'Données projet'!$A$140,$CQ$205^A36,IF(A36='Données projet'!$A$140,'Données projet'!$B$140,CT35+CS36-DB35)))</f>
        <v>251.40000000000015</v>
      </c>
      <c r="CU36" s="17">
        <f>CT36*VLOOKUP('Données projet'!$B$13,Paramètres!$A$1:$I$89,3,0)*VLOOKUP('Données projet'!$B$13,Paramètres!$A$1:$I$89,5,0)</f>
        <v>150.33720000000011</v>
      </c>
      <c r="CV36" s="13">
        <f t="shared" si="41"/>
        <v>38.655205513460167</v>
      </c>
      <c r="CW36" s="20">
        <f t="shared" si="13"/>
        <v>329.1617729359433</v>
      </c>
      <c r="CX36" s="59">
        <f t="shared" si="14"/>
        <v>763.6617729359433</v>
      </c>
      <c r="CY36" s="59">
        <f ca="1">AVERAGE(OFFSET($CX$3,0,0,'Données projet'!$E$13+1,1))-AVERAGE(OFFSET($H$3,0,0,'Données projet'!$E$13+1,1))</f>
        <v>380.01315081072897</v>
      </c>
      <c r="CZ36" s="59">
        <f t="shared" si="42"/>
        <v>404.90871625409181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3.2965947210177156</v>
      </c>
      <c r="DG36" s="21">
        <f>EXP(-LN(2)/25)*DG35+(1-EXP(-LN(2)/25))/(LN(2)/25)*Calculateur!DB36*Calculateur!DD36*VLOOKUP('Données projet'!$B$13,Paramètres!$A$1:$I$89,3,0)*0.475*44/12</f>
        <v>19.636545142284113</v>
      </c>
      <c r="DH36" s="21">
        <f>EXP(-LN(2)/2)*DH35+(1-EXP(-LN(2)/2))/(LN(2)/2)*DB36*DE36*VLOOKUP('Données projet'!$B$13,Paramètres!$A$1:$I$89,3,0)*0.475*44/12</f>
        <v>10.713846523052379</v>
      </c>
      <c r="DI36" s="22">
        <f t="shared" si="15"/>
        <v>33.646986386354207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108.5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6.2</v>
      </c>
      <c r="DO36" s="12">
        <f>IF('Données projet'!$A$166&gt;35,DO35+DN36-DW35,IF(A36&lt;'Données projet'!$A$166,$DL$205^A36,IF(A36='Données projet'!$A$166,'Données projet'!$B$166,DO35+DN36-DW35)))</f>
        <v>260.59999999999997</v>
      </c>
      <c r="DP36" s="17">
        <f>DO36*VLOOKUP('Données projet'!$B$14,Paramètres!$A$1:$I$89,3,0)*VLOOKUP('Données projet'!$B$14,Paramètres!$A$1:$I$89,5,0)</f>
        <v>235.79087999999996</v>
      </c>
      <c r="DQ36" s="13">
        <f t="shared" si="43"/>
        <v>57.532987351107714</v>
      </c>
      <c r="DR36" s="20">
        <f t="shared" si="16"/>
        <v>510.87240230317911</v>
      </c>
      <c r="DS36" s="59">
        <f t="shared" si="17"/>
        <v>945.37240230317911</v>
      </c>
      <c r="DT36" s="59">
        <f ca="1">AVERAGE(OFFSET($DS$3,0,0,'Données projet'!$E$14+1,1))-AVERAGE(OFFSET($H$3,0,0,'Données projet'!$E$14+1,1))</f>
        <v>320.81451813551064</v>
      </c>
      <c r="DU36" s="59">
        <f t="shared" si="44"/>
        <v>522.80818268773976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1.7296654648422143</v>
      </c>
      <c r="EB36" s="21">
        <f>EXP(-LN(2)/25)*EB35+(1-EXP(-LN(2)/25))/(LN(2)/25)*Calculateur!DW36*Calculateur!DY36*VLOOKUP('Données projet'!$B$14,Paramètres!$A$1:$I$89,3,0)*0.475*44/12</f>
        <v>9.5938389923492107</v>
      </c>
      <c r="EC36" s="21">
        <f>EXP(-LN(2)/2)*EC35+(1-EXP(-LN(2)/2))/(LN(2)/2)*DW36*DZ36*VLOOKUP('Données projet'!$B$14,Paramètres!$A$1:$I$89,3,0)*0.475*44/12</f>
        <v>2.1173900692858898</v>
      </c>
      <c r="ED36" s="22">
        <f t="shared" si="18"/>
        <v>13.440894526477315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108.5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14.833333333333334</v>
      </c>
      <c r="EJ36" s="12">
        <f>IF('Données projet'!$A$192&gt;35,EJ35+EI36-ER35,IF(A36&lt;'Données projet'!$A$192,$EG$205^A36,IF(A36='Données projet'!$A$192,'Données projet'!$B$192,EJ35+EI36-ER35)))</f>
        <v>229.16666666666671</v>
      </c>
      <c r="EK36" s="17">
        <f>EJ36*VLOOKUP('Données projet'!$B$15,Paramètres!$A$1:$I$89,3,0)*VLOOKUP('Données projet'!$B$15,Paramètres!$A$1:$I$89,5,0)</f>
        <v>137.04166666666671</v>
      </c>
      <c r="EL36" s="13">
        <f t="shared" si="45"/>
        <v>35.618452776877568</v>
      </c>
      <c r="EM36" s="20">
        <f t="shared" si="19"/>
        <v>300.7163746975063</v>
      </c>
      <c r="EN36" s="59">
        <f t="shared" si="20"/>
        <v>735.21637469750635</v>
      </c>
      <c r="EO36" s="59">
        <f ca="1">AVERAGE(OFFSET($EN$3,0,0,'Données projet'!$E$15+1,1))-AVERAGE(OFFSET($H$3,0,0,'Données projet'!$E$15+1,1))</f>
        <v>228.3393311631487</v>
      </c>
      <c r="EP36" s="59">
        <f t="shared" si="46"/>
        <v>266.26050497804033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5.8539276004725442</v>
      </c>
      <c r="EW36" s="21">
        <f>EXP(-LN(2)/25)*EW35+(1-EXP(-LN(2)/25))/(LN(2)/25)*Calculateur!ER36*Calculateur!ET36*VLOOKUP('Données projet'!$B$15,Paramètres!$A$1:$I$89,3,0)*0.475*44/12</f>
        <v>11.346725569559176</v>
      </c>
      <c r="EX36" s="21">
        <f>EXP(-LN(2)/2)*EX35+(1-EXP(-LN(2)/2))/(LN(2)/2)*ER36*EU36*VLOOKUP('Données projet'!$B$15,Paramètres!$A$1:$I$89,3,0)*0.475*44/12</f>
        <v>1.9253430029818506</v>
      </c>
      <c r="EY36" s="22">
        <f t="shared" si="21"/>
        <v>19.125996173013572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108.5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13.6</v>
      </c>
      <c r="FE36" s="12">
        <f>IF('Données projet'!$A$218&gt;35,FE35+FD36-FM35,IF(A36&lt;'Données projet'!$A$218,$FB$205^A36,IF(A36='Données projet'!$A$218,'Données projet'!$B$218,FE35+FD36-FM35)))</f>
        <v>143.79999999999998</v>
      </c>
      <c r="FF36" s="17">
        <f>FE36*VLOOKUP('Données projet'!$B$16,Paramètres!$A$1:$I$89,3,0)*VLOOKUP('Données projet'!$B$16,Paramètres!$A$1:$I$89,5,0)</f>
        <v>82.253599999999992</v>
      </c>
      <c r="FG36" s="13">
        <f t="shared" si="47"/>
        <v>22.687306987029338</v>
      </c>
      <c r="FH36" s="20">
        <f t="shared" si="22"/>
        <v>182.77207966907611</v>
      </c>
      <c r="FI36" s="59">
        <f t="shared" si="23"/>
        <v>617.27207966907611</v>
      </c>
      <c r="FJ36" s="59">
        <f ca="1">AVERAGE(OFFSET($FI$3,0,0,'Données projet'!$E$16+1,1))-AVERAGE(OFFSET($H$3,0,0,'Données projet'!$E$16+1,1))</f>
        <v>242.10913976205194</v>
      </c>
      <c r="FK36" s="59">
        <f t="shared" si="48"/>
        <v>198.24795425321133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9.9724388900398484</v>
      </c>
      <c r="FS36" s="21">
        <f>EXP(-LN(2)/2)*FS35+(1-EXP(-LN(2)/2))/(LN(2)/2)*FM36*FP36*VLOOKUP('Données projet'!$B$16,Paramètres!$A$1:$I$89,3,0)*0.475*44/12</f>
        <v>4.6749242494776651</v>
      </c>
      <c r="FT36" s="22">
        <f t="shared" si="24"/>
        <v>14.647363139517513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108.5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108.5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16.628040000000002</v>
      </c>
      <c r="D37" s="11">
        <f t="shared" si="32"/>
        <v>5.524426832339377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94.050824095195267</v>
      </c>
      <c r="H37" s="67">
        <f t="shared" si="1"/>
        <v>436.41554639965773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108.5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10.199999999999999</v>
      </c>
      <c r="N37" s="13">
        <f>IF('Données projet'!$A$36&gt;35,N36+M37-V36,IF(A37&lt;'Données projet'!$A$36,$K$205^A37,IF(A37='Données projet'!$A$36,'Données projet'!$B$36,N36+M37-V36)))</f>
        <v>158.79999999999993</v>
      </c>
      <c r="O37" s="13">
        <f>N37*VLOOKUP('Données projet'!$B$9,Paramètres!$A$1:$I$89,3,0)*VLOOKUP('Données projet'!$B$9,Paramètres!$A$1:$I$89,5,0)</f>
        <v>128.81855999999996</v>
      </c>
      <c r="P37" s="13">
        <f t="shared" si="33"/>
        <v>33.723218352057046</v>
      </c>
      <c r="Q37" s="20">
        <f t="shared" si="53"/>
        <v>283.09359729649924</v>
      </c>
      <c r="R37" s="59">
        <f t="shared" si="0"/>
        <v>717.59359729649918</v>
      </c>
      <c r="S37" s="59">
        <f ca="1">AVERAGE(OFFSET($R$3,0,0,'Données projet'!$E$9+1,1))-AVERAGE(OFFSET($H$3,0,0,'Données projet'!$E$9+1,1))</f>
        <v>273.89826011924487</v>
      </c>
      <c r="T37" s="59">
        <f t="shared" si="34"/>
        <v>332.17519939974227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7.6134201329371294</v>
      </c>
      <c r="AB37" s="21">
        <f>EXP(-LN(2)/2)*AB36+(1-EXP(-LN(2)/2))/(LN(2)/2)*V37*Y37*VLOOKUP('Données projet'!$B$9,Paramètres!$A$1:$I$89,3,0)*0.475*44/12</f>
        <v>2.7431423355267195</v>
      </c>
      <c r="AC37" s="22">
        <f t="shared" si="3"/>
        <v>10.356562468463849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108.5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10.000000000000004</v>
      </c>
      <c r="AI37" s="13">
        <f>IF('Données projet'!$A$62&gt;35,AI36+AH37-AQ36,IF(A37&lt;'Données projet'!$A$62,$AF$205^A37,IF(A37='Données projet'!$A$62,'Données projet'!$B$62,AI36+AH37-AQ36)))</f>
        <v>231.59999999999988</v>
      </c>
      <c r="AJ37" s="13">
        <f>AI37*VLOOKUP('Données projet'!$B$10,Paramètres!$A$1:$I$89,3,0)*VLOOKUP('Données projet'!$B$10,Paramètres!$A$1:$I$89,5,0)</f>
        <v>108.38879999999993</v>
      </c>
      <c r="AK37" s="13">
        <f t="shared" si="35"/>
        <v>28.951047900249165</v>
      </c>
      <c r="AL37" s="20">
        <f t="shared" si="4"/>
        <v>239.20023509293381</v>
      </c>
      <c r="AM37" s="59">
        <f t="shared" si="5"/>
        <v>673.70023509293378</v>
      </c>
      <c r="AN37" s="59">
        <f ca="1">AVERAGE(OFFSET($AM$3,0,0,'Données projet'!$E$10+1,1))-AVERAGE(OFFSET($H$3,0,0,'Données projet'!$E$10+1,1))</f>
        <v>293.42903587188346</v>
      </c>
      <c r="AO37" s="59">
        <f t="shared" si="36"/>
        <v>267.80827667062124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2.895850598272911</v>
      </c>
      <c r="AV37" s="21">
        <f>EXP(-LN(2)/25)*AV36+(1-EXP(-LN(2)/25))/(LN(2)/25)*Calculateur!AQ37*Calculateur!AS37*VLOOKUP('Données projet'!$B$10,Paramètres!$A$1:$I$89,3,0)*0.475*44/12</f>
        <v>7.0308375406049475</v>
      </c>
      <c r="AW37" s="21">
        <f>EXP(-LN(2)/2)*AW36+(1-EXP(-LN(2)/2))/(LN(2)/2)*AQ37*AT37*VLOOKUP('Données projet'!$B$10,Paramètres!$A$1:$I$89,3,0)*0.475*44/12</f>
        <v>2.4580441200739975</v>
      </c>
      <c r="AX37" s="21">
        <f t="shared" si="6"/>
        <v>12.384732258951857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108.5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8.1999999999999993</v>
      </c>
      <c r="BD37" s="12">
        <f>IF('Données projet'!$A$88&gt;35,BD36+BC37-BL36,IF(A37&lt;'Données projet'!$A$88,$BA$205^A37,IF(A37='Données projet'!$A$88,'Données projet'!$B$88,BD36+BC37-BL36)))</f>
        <v>108.79999999999998</v>
      </c>
      <c r="BE37" s="13">
        <f>BD37*VLOOKUP('Données projet'!$B$11,Paramètres!$A$1:$I$89,3,0)*VLOOKUP('Données projet'!$B$11,Paramètres!$A$1:$I$89,5,0)</f>
        <v>98.442239999999984</v>
      </c>
      <c r="BF37" s="13">
        <f t="shared" si="37"/>
        <v>26.590544283900247</v>
      </c>
      <c r="BG37" s="20">
        <f t="shared" si="7"/>
        <v>217.76543262779288</v>
      </c>
      <c r="BH37" s="59">
        <f t="shared" si="8"/>
        <v>652.26543262779285</v>
      </c>
      <c r="BI37" s="59">
        <f ca="1">AVERAGE(OFFSET($BH$3,0,0,'Données projet'!$E$11+1,1))-AVERAGE(OFFSET($H$3,0,0,'Données projet'!$E$11+1,1))</f>
        <v>324.41828402031939</v>
      </c>
      <c r="BJ37" s="59">
        <f t="shared" si="38"/>
        <v>233.01060088065992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2.7798925331306776</v>
      </c>
      <c r="BR37" s="21">
        <f>EXP(-LN(2)/2)*BR36+(1-EXP(-LN(2)/2))/(LN(2)/2)*BL37*BO37*VLOOKUP('Données projet'!$B$11,Paramètres!$A$1:$I$89,3,0)*0.475*44/12</f>
        <v>1.5473369636071068</v>
      </c>
      <c r="BS37" s="22">
        <f t="shared" si="9"/>
        <v>4.3272294967377842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108.5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13.8</v>
      </c>
      <c r="BY37" s="12">
        <f>IF('Données projet'!$A$114&gt;35,BY36+BX37-CG36,IF(A37&lt;'Données projet'!$A$114,$BV$205^A37,IF(A37='Données projet'!$A$114,'Données projet'!$B$114,BY36+BX37-CG36)))</f>
        <v>231.20000000000005</v>
      </c>
      <c r="BZ37" s="13">
        <f>BY37*VLOOKUP('Données projet'!$B$12,Paramètres!$A$1:$I$89,3,0)*VLOOKUP('Données projet'!$B$12,Paramètres!$A$1:$I$89,5,0)</f>
        <v>126.23520000000002</v>
      </c>
      <c r="CA37" s="13">
        <f t="shared" si="39"/>
        <v>33.12494229060627</v>
      </c>
      <c r="CB37" s="20">
        <f t="shared" si="10"/>
        <v>277.55224782280595</v>
      </c>
      <c r="CC37" s="59">
        <f t="shared" si="11"/>
        <v>712.05224782280595</v>
      </c>
      <c r="CD37" s="59">
        <f ca="1">AVERAGE(OFFSET($CC$3,0,0,'Données projet'!$E$12+1,1))-AVERAGE(OFFSET($H$3,0,0,'Données projet'!$E$12+1,1))</f>
        <v>279.00060755204919</v>
      </c>
      <c r="CE37" s="59">
        <f t="shared" si="40"/>
        <v>333.91128554211014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6.7449401932440924</v>
      </c>
      <c r="CL37" s="21">
        <f>EXP(-LN(2)/25)*CL36+(1-EXP(-LN(2)/25))/(LN(2)/25)*Calculateur!CG37*Calculateur!CI37*VLOOKUP('Données projet'!$B$12,Paramètres!$A$1:$I$89,3,0)*0.475*44/12</f>
        <v>24.909186399636599</v>
      </c>
      <c r="CM37" s="21">
        <f>EXP(-LN(2)/2)*CM36+(1-EXP(-LN(2)/2))/(LN(2)/2)*CG37*CJ37*VLOOKUP('Données projet'!$B$12,Paramètres!$A$1:$I$89,3,0)*0.475*44/12</f>
        <v>5.388472184337906</v>
      </c>
      <c r="CN37" s="22">
        <f t="shared" si="12"/>
        <v>37.042598777218601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108.5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18.8</v>
      </c>
      <c r="CT37" s="12">
        <f>IF('Données projet'!$A$140&gt;35,CT36+CS37-DB36,IF(A37&lt;'Données projet'!$A$140,$CQ$205^A37,IF(A37='Données projet'!$A$140,'Données projet'!$B$140,CT36+CS37-DB36)))</f>
        <v>270.20000000000016</v>
      </c>
      <c r="CU37" s="17">
        <f>CT37*VLOOKUP('Données projet'!$B$13,Paramètres!$A$1:$I$89,3,0)*VLOOKUP('Données projet'!$B$13,Paramètres!$A$1:$I$89,5,0)</f>
        <v>161.57960000000011</v>
      </c>
      <c r="CV37" s="13">
        <f t="shared" si="41"/>
        <v>41.198594631057318</v>
      </c>
      <c r="CW37" s="20">
        <f t="shared" si="13"/>
        <v>353.17202231575834</v>
      </c>
      <c r="CX37" s="59">
        <f t="shared" si="14"/>
        <v>787.67202231575834</v>
      </c>
      <c r="CY37" s="59">
        <f ca="1">AVERAGE(OFFSET($CX$3,0,0,'Données projet'!$E$13+1,1))-AVERAGE(OFFSET($H$3,0,0,'Données projet'!$E$13+1,1))</f>
        <v>380.01315081072897</v>
      </c>
      <c r="CZ37" s="59">
        <f t="shared" si="42"/>
        <v>404.90871625409181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3.2319505092627954</v>
      </c>
      <c r="DG37" s="21">
        <f>EXP(-LN(2)/25)*DG36+(1-EXP(-LN(2)/25))/(LN(2)/25)*Calculateur!DB37*Calculateur!DD37*VLOOKUP('Données projet'!$B$13,Paramètres!$A$1:$I$89,3,0)*0.475*44/12</f>
        <v>19.099582782727325</v>
      </c>
      <c r="DH37" s="21">
        <f>EXP(-LN(2)/2)*DH36+(1-EXP(-LN(2)/2))/(LN(2)/2)*DB37*DE37*VLOOKUP('Données projet'!$B$13,Paramètres!$A$1:$I$89,3,0)*0.475*44/12</f>
        <v>7.575833529042252</v>
      </c>
      <c r="DI37" s="22">
        <f t="shared" si="15"/>
        <v>29.907366821032372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108.5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6.2</v>
      </c>
      <c r="DO37" s="12">
        <f>IF('Données projet'!$A$166&gt;35,DO36+DN37-DW36,IF(A37&lt;'Données projet'!$A$166,$DL$205^A37,IF(A37='Données projet'!$A$166,'Données projet'!$B$166,DO36+DN37-DW36)))</f>
        <v>266.79999999999995</v>
      </c>
      <c r="DP37" s="17">
        <f>DO37*VLOOKUP('Données projet'!$B$14,Paramètres!$A$1:$I$89,3,0)*VLOOKUP('Données projet'!$B$14,Paramètres!$A$1:$I$89,5,0)</f>
        <v>241.40063999999995</v>
      </c>
      <c r="DQ37" s="13">
        <f t="shared" si="43"/>
        <v>58.740782866262698</v>
      </c>
      <c r="DR37" s="20">
        <f t="shared" si="16"/>
        <v>522.74631149207403</v>
      </c>
      <c r="DS37" s="59">
        <f t="shared" si="17"/>
        <v>957.24631149207403</v>
      </c>
      <c r="DT37" s="59">
        <f ca="1">AVERAGE(OFFSET($DS$3,0,0,'Données projet'!$E$14+1,1))-AVERAGE(OFFSET($H$3,0,0,'Données projet'!$E$14+1,1))</f>
        <v>320.81451813551064</v>
      </c>
      <c r="DU37" s="59">
        <f t="shared" si="44"/>
        <v>522.80818268773976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1.6957477800684202</v>
      </c>
      <c r="EB37" s="21">
        <f>EXP(-LN(2)/25)*EB36+(1-EXP(-LN(2)/25))/(LN(2)/25)*Calculateur!DW37*Calculateur!DY37*VLOOKUP('Données projet'!$B$14,Paramètres!$A$1:$I$89,3,0)*0.475*44/12</f>
        <v>9.3314949605853563</v>
      </c>
      <c r="EC37" s="21">
        <f>EXP(-LN(2)/2)*EC36+(1-EXP(-LN(2)/2))/(LN(2)/2)*DW37*DZ37*VLOOKUP('Données projet'!$B$14,Paramètres!$A$1:$I$89,3,0)*0.475*44/12</f>
        <v>1.4972208764091064</v>
      </c>
      <c r="ED37" s="22">
        <f t="shared" si="18"/>
        <v>12.524463617062882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108.5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>
        <f>VLOOKUP(A37,'Données projet'!$A$191:$I$211,2,0)</f>
        <v>244</v>
      </c>
      <c r="EH37" s="12">
        <f>VLOOKUP(A37,'Données projet'!$A$191:$I$211,9,0)</f>
        <v>14.833333333333334</v>
      </c>
      <c r="EI37" s="12">
        <f t="array" ref="EI37">INDEX(EH:EH,MIN(IF(ISNUMBER(EH37:EH233),ROW(EH37:EH233),"")))</f>
        <v>14.833333333333334</v>
      </c>
      <c r="EJ37" s="12">
        <f>IF('Données projet'!$A$192&gt;35,EJ36+EI37-ER36,IF(A37&lt;'Données projet'!$A$192,$EG$205^A37,IF(A37='Données projet'!$A$192,'Données projet'!$B$192,EJ36+EI37-ER36)))</f>
        <v>244.00000000000006</v>
      </c>
      <c r="EK37" s="17">
        <f>EJ37*VLOOKUP('Données projet'!$B$15,Paramètres!$A$1:$I$89,3,0)*VLOOKUP('Données projet'!$B$15,Paramètres!$A$1:$I$89,5,0)</f>
        <v>145.91200000000006</v>
      </c>
      <c r="EL37" s="13">
        <f t="shared" si="45"/>
        <v>37.648084239987625</v>
      </c>
      <c r="EM37" s="20">
        <f t="shared" si="19"/>
        <v>319.7004800513119</v>
      </c>
      <c r="EN37" s="59">
        <f t="shared" si="20"/>
        <v>754.20048005131184</v>
      </c>
      <c r="EO37" s="59">
        <f ca="1">AVERAGE(OFFSET($EN$3,0,0,'Données projet'!$E$15+1,1))-AVERAGE(OFFSET($H$3,0,0,'Données projet'!$E$15+1,1))</f>
        <v>228.3393311631487</v>
      </c>
      <c r="EP37" s="59">
        <f t="shared" si="46"/>
        <v>266.26050497804033</v>
      </c>
      <c r="EQ37" s="15">
        <f>IF(ISNA(VLOOKUP(A37,'Données projet'!$A$191:$I$211,3,0)),0,VLOOKUP(A37,'Données projet'!$A$191:$I$211,3,0))</f>
        <v>5</v>
      </c>
      <c r="ER37" s="15">
        <f>IF(ISNA(VLOOKUP(A37,'Données projet'!$A$191:$I$211,4,0)),0,VLOOKUP(A37,'Données projet'!$A$191:$I$211,4,0))</f>
        <v>46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5.7391356507705522</v>
      </c>
      <c r="EW37" s="21">
        <f>EXP(-LN(2)/25)*EW36+(1-EXP(-LN(2)/25))/(LN(2)/25)*Calculateur!ER37*Calculateur!ET37*VLOOKUP('Données projet'!$B$15,Paramètres!$A$1:$I$89,3,0)*0.475*44/12</f>
        <v>11.036448762161216</v>
      </c>
      <c r="EX37" s="21">
        <f>EXP(-LN(2)/2)*EX36+(1-EXP(-LN(2)/2))/(LN(2)/2)*ER37*EU37*VLOOKUP('Données projet'!$B$15,Paramètres!$A$1:$I$89,3,0)*0.475*44/12</f>
        <v>1.3614230935185379</v>
      </c>
      <c r="EY37" s="22">
        <f t="shared" si="21"/>
        <v>18.137007506450306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108.5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13.6</v>
      </c>
      <c r="FE37" s="12">
        <f>IF('Données projet'!$A$218&gt;35,FE36+FD37-FM36,IF(A37&lt;'Données projet'!$A$218,$FB$205^A37,IF(A37='Données projet'!$A$218,'Données projet'!$B$218,FE36+FD37-FM36)))</f>
        <v>157.39999999999998</v>
      </c>
      <c r="FF37" s="17">
        <f>FE37*VLOOKUP('Données projet'!$B$16,Paramètres!$A$1:$I$89,3,0)*VLOOKUP('Données projet'!$B$16,Paramètres!$A$1:$I$89,5,0)</f>
        <v>90.03279999999998</v>
      </c>
      <c r="FG37" s="13">
        <f t="shared" si="47"/>
        <v>24.573135396321401</v>
      </c>
      <c r="FH37" s="20">
        <f t="shared" si="22"/>
        <v>199.6053374819264</v>
      </c>
      <c r="FI37" s="59">
        <f t="shared" si="23"/>
        <v>634.10533748192643</v>
      </c>
      <c r="FJ37" s="59">
        <f ca="1">AVERAGE(OFFSET($FI$3,0,0,'Données projet'!$E$16+1,1))-AVERAGE(OFFSET($H$3,0,0,'Données projet'!$E$16+1,1))</f>
        <v>242.10913976205194</v>
      </c>
      <c r="FK37" s="59">
        <f t="shared" si="48"/>
        <v>198.24795425321133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9.6997420241639407</v>
      </c>
      <c r="FS37" s="21">
        <f>EXP(-LN(2)/2)*FS36+(1-EXP(-LN(2)/2))/(LN(2)/2)*FM37*FP37*VLOOKUP('Données projet'!$B$16,Paramètres!$A$1:$I$89,3,0)*0.475*44/12</f>
        <v>3.3056706383390884</v>
      </c>
      <c r="FT37" s="22">
        <f t="shared" si="24"/>
        <v>13.00541266250303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108.5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108.5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17.117100000000001</v>
      </c>
      <c r="D38" s="11">
        <f t="shared" si="32"/>
        <v>5.6677538272272541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96.735695196298181</v>
      </c>
      <c r="H38" s="67">
        <f t="shared" si="1"/>
        <v>437.51695374908746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108.5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10.199999999999999</v>
      </c>
      <c r="N38" s="13">
        <f>IF('Données projet'!$A$36&gt;35,N37+M38-V37,IF(A38&lt;'Données projet'!$A$36,$K$205^A38,IF(A38='Données projet'!$A$36,'Données projet'!$B$36,N37+M38-V37)))</f>
        <v>168.99999999999991</v>
      </c>
      <c r="O38" s="13">
        <f>N38*VLOOKUP('Données projet'!$B$9,Paramètres!$A$1:$I$89,3,0)*VLOOKUP('Données projet'!$B$9,Paramètres!$A$1:$I$89,5,0)</f>
        <v>137.09279999999993</v>
      </c>
      <c r="P38" s="13">
        <f t="shared" si="33"/>
        <v>35.630195607611064</v>
      </c>
      <c r="Q38" s="20">
        <f t="shared" si="53"/>
        <v>300.8258840165891</v>
      </c>
      <c r="R38" s="59">
        <f t="shared" si="0"/>
        <v>735.32588401658904</v>
      </c>
      <c r="S38" s="59">
        <f ca="1">AVERAGE(OFFSET($R$3,0,0,'Données projet'!$E$9+1,1))-AVERAGE(OFFSET($H$3,0,0,'Données projet'!$E$9+1,1))</f>
        <v>273.89826011924487</v>
      </c>
      <c r="T38" s="59">
        <f t="shared" si="34"/>
        <v>332.17519939974227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7.4052307590295996</v>
      </c>
      <c r="AB38" s="21">
        <f>EXP(-LN(2)/2)*AB37+(1-EXP(-LN(2)/2))/(LN(2)/2)*V38*Y38*VLOOKUP('Données projet'!$B$9,Paramètres!$A$1:$I$89,3,0)*0.475*44/12</f>
        <v>1.9396945472108471</v>
      </c>
      <c r="AC38" s="22">
        <f t="shared" si="3"/>
        <v>9.3449253062404463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108.5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10.000000000000004</v>
      </c>
      <c r="AI38" s="13">
        <f>IF('Données projet'!$A$62&gt;35,AI37+AH38-AQ37,IF(A38&lt;'Données projet'!$A$62,$AF$205^A38,IF(A38='Données projet'!$A$62,'Données projet'!$B$62,AI37+AH38-AQ37)))</f>
        <v>241.59999999999988</v>
      </c>
      <c r="AJ38" s="13">
        <f>AI38*VLOOKUP('Données projet'!$B$10,Paramètres!$A$1:$I$89,3,0)*VLOOKUP('Données projet'!$B$10,Paramètres!$A$1:$I$89,5,0)</f>
        <v>113.06879999999995</v>
      </c>
      <c r="AK38" s="13">
        <f t="shared" si="35"/>
        <v>30.052855829090237</v>
      </c>
      <c r="AL38" s="20">
        <f t="shared" si="4"/>
        <v>249.27021723566543</v>
      </c>
      <c r="AM38" s="59">
        <f t="shared" si="5"/>
        <v>683.77021723566543</v>
      </c>
      <c r="AN38" s="59">
        <f ca="1">AVERAGE(OFFSET($AM$3,0,0,'Données projet'!$E$10+1,1))-AVERAGE(OFFSET($H$3,0,0,'Données projet'!$E$10+1,1))</f>
        <v>293.42903587188346</v>
      </c>
      <c r="AO38" s="59">
        <f t="shared" si="36"/>
        <v>267.80827667062124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2.8390647343352371</v>
      </c>
      <c r="AV38" s="21">
        <f>EXP(-LN(2)/25)*AV37+(1-EXP(-LN(2)/25))/(LN(2)/25)*Calculateur!AQ38*Calculateur!AS38*VLOOKUP('Données projet'!$B$10,Paramètres!$A$1:$I$89,3,0)*0.475*44/12</f>
        <v>6.8385789183214278</v>
      </c>
      <c r="AW38" s="21">
        <f>EXP(-LN(2)/2)*AW37+(1-EXP(-LN(2)/2))/(LN(2)/2)*AQ38*AT38*VLOOKUP('Données projet'!$B$10,Paramètres!$A$1:$I$89,3,0)*0.475*44/12</f>
        <v>1.738099665760044</v>
      </c>
      <c r="AX38" s="21">
        <f t="shared" si="6"/>
        <v>11.415743318416709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108.5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8.1999999999999993</v>
      </c>
      <c r="BD38" s="12">
        <f>IF('Données projet'!$A$88&gt;35,BD37+BC38-BL37,IF(A38&lt;'Données projet'!$A$88,$BA$205^A38,IF(A38='Données projet'!$A$88,'Données projet'!$B$88,BD37+BC38-BL37)))</f>
        <v>116.99999999999999</v>
      </c>
      <c r="BE38" s="13">
        <f>BD38*VLOOKUP('Données projet'!$B$11,Paramètres!$A$1:$I$89,3,0)*VLOOKUP('Données projet'!$B$11,Paramètres!$A$1:$I$89,5,0)</f>
        <v>105.86159999999998</v>
      </c>
      <c r="BF38" s="13">
        <f t="shared" si="37"/>
        <v>28.353779818951288</v>
      </c>
      <c r="BG38" s="20">
        <f t="shared" si="7"/>
        <v>233.75845318467347</v>
      </c>
      <c r="BH38" s="59">
        <f t="shared" si="8"/>
        <v>668.2584531846735</v>
      </c>
      <c r="BI38" s="59">
        <f ca="1">AVERAGE(OFFSET($BH$3,0,0,'Données projet'!$E$11+1,1))-AVERAGE(OFFSET($H$3,0,0,'Données projet'!$E$11+1,1))</f>
        <v>324.41828402031939</v>
      </c>
      <c r="BJ38" s="59">
        <f t="shared" si="38"/>
        <v>233.01060088065992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2.7038762256240245</v>
      </c>
      <c r="BR38" s="21">
        <f>EXP(-LN(2)/2)*BR37+(1-EXP(-LN(2)/2))/(LN(2)/2)*BL38*BO38*VLOOKUP('Données projet'!$B$11,Paramètres!$A$1:$I$89,3,0)*0.475*44/12</f>
        <v>1.0941324597471873</v>
      </c>
      <c r="BS38" s="22">
        <f t="shared" si="9"/>
        <v>3.7980086853712116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108.5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13.8</v>
      </c>
      <c r="BY38" s="12">
        <f>IF('Données projet'!$A$114&gt;35,BY37+BX38-CG37,IF(A38&lt;'Données projet'!$A$114,$BV$205^A38,IF(A38='Données projet'!$A$114,'Données projet'!$B$114,BY37+BX38-CG37)))</f>
        <v>245.00000000000006</v>
      </c>
      <c r="BZ38" s="13">
        <f>BY38*VLOOKUP('Données projet'!$B$12,Paramètres!$A$1:$I$89,3,0)*VLOOKUP('Données projet'!$B$12,Paramètres!$A$1:$I$89,5,0)</f>
        <v>133.77000000000004</v>
      </c>
      <c r="CA38" s="13">
        <f t="shared" si="39"/>
        <v>34.86604096673306</v>
      </c>
      <c r="CB38" s="20">
        <f t="shared" si="10"/>
        <v>293.70777135039344</v>
      </c>
      <c r="CC38" s="59">
        <f t="shared" si="11"/>
        <v>728.20777135039339</v>
      </c>
      <c r="CD38" s="59">
        <f ca="1">AVERAGE(OFFSET($CC$3,0,0,'Données projet'!$E$12+1,1))-AVERAGE(OFFSET($H$3,0,0,'Données projet'!$E$12+1,1))</f>
        <v>279.00060755204919</v>
      </c>
      <c r="CE38" s="59">
        <f t="shared" si="40"/>
        <v>333.91128554211014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6.612676030061869</v>
      </c>
      <c r="CL38" s="21">
        <f>EXP(-LN(2)/25)*CL37+(1-EXP(-LN(2)/25))/(LN(2)/25)*Calculateur!CG38*Calculateur!CI38*VLOOKUP('Données projet'!$B$12,Paramètres!$A$1:$I$89,3,0)*0.475*44/12</f>
        <v>24.228043387621355</v>
      </c>
      <c r="CM38" s="21">
        <f>EXP(-LN(2)/2)*CM37+(1-EXP(-LN(2)/2))/(LN(2)/2)*CG38*CJ38*VLOOKUP('Données projet'!$B$12,Paramètres!$A$1:$I$89,3,0)*0.475*44/12</f>
        <v>3.8102252217804216</v>
      </c>
      <c r="CN38" s="22">
        <f t="shared" si="12"/>
        <v>34.650944639463646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108.5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18.8</v>
      </c>
      <c r="CT38" s="12">
        <f>IF('Données projet'!$A$140&gt;35,CT37+CS38-DB37,IF(A38&lt;'Données projet'!$A$140,$CQ$205^A38,IF(A38='Données projet'!$A$140,'Données projet'!$B$140,CT37+CS38-DB37)))</f>
        <v>289.00000000000017</v>
      </c>
      <c r="CU38" s="17">
        <f>CT38*VLOOKUP('Données projet'!$B$13,Paramètres!$A$1:$I$89,3,0)*VLOOKUP('Données projet'!$B$13,Paramètres!$A$1:$I$89,5,0)</f>
        <v>172.82200000000012</v>
      </c>
      <c r="CV38" s="13">
        <f t="shared" si="41"/>
        <v>43.721450828113497</v>
      </c>
      <c r="CW38" s="20">
        <f t="shared" si="13"/>
        <v>377.14651019229785</v>
      </c>
      <c r="CX38" s="59">
        <f t="shared" si="14"/>
        <v>811.64651019229791</v>
      </c>
      <c r="CY38" s="59">
        <f ca="1">AVERAGE(OFFSET($CX$3,0,0,'Données projet'!$E$13+1,1))-AVERAGE(OFFSET($H$3,0,0,'Données projet'!$E$13+1,1))</f>
        <v>380.01315081072897</v>
      </c>
      <c r="CZ38" s="59">
        <f t="shared" si="42"/>
        <v>404.90871625409181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3.1685739310713132</v>
      </c>
      <c r="DG38" s="21">
        <f>EXP(-LN(2)/25)*DG37+(1-EXP(-LN(2)/25))/(LN(2)/25)*Calculateur!DB38*Calculateur!DD38*VLOOKUP('Données projet'!$B$13,Paramètres!$A$1:$I$89,3,0)*0.475*44/12</f>
        <v>18.577303687130239</v>
      </c>
      <c r="DH38" s="21">
        <f>EXP(-LN(2)/2)*DH37+(1-EXP(-LN(2)/2))/(LN(2)/2)*DB38*DE38*VLOOKUP('Données projet'!$B$13,Paramètres!$A$1:$I$89,3,0)*0.475*44/12</f>
        <v>5.3569232615261901</v>
      </c>
      <c r="DI38" s="22">
        <f t="shared" si="15"/>
        <v>27.102800879727745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108.5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273</v>
      </c>
      <c r="DM38" s="12">
        <f>VLOOKUP(A38,'Données projet'!$A$165:$I$185,9,0)</f>
        <v>6.2</v>
      </c>
      <c r="DN38" s="12">
        <f t="array" ref="DN38">INDEX(DM:DM,MIN(IF(ISNUMBER(DM38:DM234),ROW(DM38:DM234),"")))</f>
        <v>6.2</v>
      </c>
      <c r="DO38" s="12">
        <f>IF('Données projet'!$A$166&gt;35,DO37+DN38-DW37,IF(A38&lt;'Données projet'!$A$166,$DL$205^A38,IF(A38='Données projet'!$A$166,'Données projet'!$B$166,DO37+DN38-DW37)))</f>
        <v>272.99999999999994</v>
      </c>
      <c r="DP38" s="17">
        <f>DO38*VLOOKUP('Données projet'!$B$14,Paramètres!$A$1:$I$89,3,0)*VLOOKUP('Données projet'!$B$14,Paramètres!$A$1:$I$89,5,0)</f>
        <v>247.01039999999992</v>
      </c>
      <c r="DQ38" s="13">
        <f t="shared" si="43"/>
        <v>59.945315462121812</v>
      </c>
      <c r="DR38" s="20">
        <f t="shared" si="16"/>
        <v>534.61453776319524</v>
      </c>
      <c r="DS38" s="59">
        <f t="shared" si="17"/>
        <v>969.11453776319524</v>
      </c>
      <c r="DT38" s="59">
        <f ca="1">AVERAGE(OFFSET($DS$3,0,0,'Données projet'!$E$14+1,1))-AVERAGE(OFFSET($H$3,0,0,'Données projet'!$E$14+1,1))</f>
        <v>320.81451813551064</v>
      </c>
      <c r="DU38" s="59">
        <f t="shared" si="44"/>
        <v>522.80818268773976</v>
      </c>
      <c r="DV38" s="15">
        <f>IF(ISNA(VLOOKUP(A38,'Données projet'!$A$165:$I$185,3,0)),0,VLOOKUP(A38,'Données projet'!$A$165:$I$185,3,0))</f>
        <v>7</v>
      </c>
      <c r="DW38" s="15">
        <f>IF(ISNA(VLOOKUP(A38,'Données projet'!$A$165:$I$185,4,0)),0,VLOOKUP(A38,'Données projet'!$A$165:$I$185,4,0))</f>
        <v>273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1.6624952004052953</v>
      </c>
      <c r="EB38" s="21">
        <f>EXP(-LN(2)/25)*EB37+(1-EXP(-LN(2)/25))/(LN(2)/25)*Calculateur!DW38*Calculateur!DY38*VLOOKUP('Données projet'!$B$14,Paramètres!$A$1:$I$89,3,0)*0.475*44/12</f>
        <v>9.0763247401661573</v>
      </c>
      <c r="EC38" s="21">
        <f>EXP(-LN(2)/2)*EC37+(1-EXP(-LN(2)/2))/(LN(2)/2)*DW38*DZ38*VLOOKUP('Données projet'!$B$14,Paramètres!$A$1:$I$89,3,0)*0.475*44/12</f>
        <v>1.0586950346429449</v>
      </c>
      <c r="ED38" s="22">
        <f t="shared" si="18"/>
        <v>11.797514975214398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108.5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12.833333333333334</v>
      </c>
      <c r="EJ38" s="12">
        <f>IF('Données projet'!$A$192&gt;35,EJ37+EI38-ER37,IF(A38&lt;'Données projet'!$A$192,$EG$205^A38,IF(A38='Données projet'!$A$192,'Données projet'!$B$192,EJ37+EI38-ER37)))</f>
        <v>210.83333333333337</v>
      </c>
      <c r="EK38" s="17">
        <f>EJ38*VLOOKUP('Données projet'!$B$15,Paramètres!$A$1:$I$89,3,0)*VLOOKUP('Données projet'!$B$15,Paramètres!$A$1:$I$89,5,0)</f>
        <v>126.07833333333336</v>
      </c>
      <c r="EL38" s="13">
        <f t="shared" si="45"/>
        <v>33.08856817390501</v>
      </c>
      <c r="EM38" s="20">
        <f t="shared" si="19"/>
        <v>277.21568679177352</v>
      </c>
      <c r="EN38" s="59">
        <f t="shared" si="20"/>
        <v>711.71568679177358</v>
      </c>
      <c r="EO38" s="59">
        <f ca="1">AVERAGE(OFFSET($EN$3,0,0,'Données projet'!$E$15+1,1))-AVERAGE(OFFSET($H$3,0,0,'Données projet'!$E$15+1,1))</f>
        <v>228.3393311631487</v>
      </c>
      <c r="EP38" s="59">
        <f t="shared" si="46"/>
        <v>266.26050497804033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5.6265947011860407</v>
      </c>
      <c r="EW38" s="21">
        <f>EXP(-LN(2)/25)*EW37+(1-EXP(-LN(2)/25))/(LN(2)/25)*Calculateur!ER38*Calculateur!ET38*VLOOKUP('Données projet'!$B$15,Paramètres!$A$1:$I$89,3,0)*0.475*44/12</f>
        <v>10.734656490378301</v>
      </c>
      <c r="EX38" s="21">
        <f>EXP(-LN(2)/2)*EX37+(1-EXP(-LN(2)/2))/(LN(2)/2)*ER38*EU38*VLOOKUP('Données projet'!$B$15,Paramètres!$A$1:$I$89,3,0)*0.475*44/12</f>
        <v>0.9626715014909254</v>
      </c>
      <c r="EY38" s="22">
        <f t="shared" si="21"/>
        <v>17.323922693055266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108.5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13.6</v>
      </c>
      <c r="FE38" s="12">
        <f>IF('Données projet'!$A$218&gt;35,FE37+FD38-FM37,IF(A38&lt;'Données projet'!$A$218,$FB$205^A38,IF(A38='Données projet'!$A$218,'Données projet'!$B$218,FE37+FD38-FM37)))</f>
        <v>170.99999999999997</v>
      </c>
      <c r="FF38" s="17">
        <f>FE38*VLOOKUP('Données projet'!$B$16,Paramètres!$A$1:$I$89,3,0)*VLOOKUP('Données projet'!$B$16,Paramètres!$A$1:$I$89,5,0)</f>
        <v>97.811999999999998</v>
      </c>
      <c r="FG38" s="13">
        <f t="shared" si="47"/>
        <v>26.44006747012326</v>
      </c>
      <c r="FH38" s="20">
        <f t="shared" si="22"/>
        <v>216.40568417713132</v>
      </c>
      <c r="FI38" s="59">
        <f t="shared" si="23"/>
        <v>650.90568417713132</v>
      </c>
      <c r="FJ38" s="59">
        <f ca="1">AVERAGE(OFFSET($FI$3,0,0,'Données projet'!$E$16+1,1))-AVERAGE(OFFSET($H$3,0,0,'Données projet'!$E$16+1,1))</f>
        <v>242.10913976205194</v>
      </c>
      <c r="FK38" s="59">
        <f t="shared" si="48"/>
        <v>198.24795425321133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9.434502068425914</v>
      </c>
      <c r="FS38" s="21">
        <f>EXP(-LN(2)/2)*FS37+(1-EXP(-LN(2)/2))/(LN(2)/2)*FM38*FP38*VLOOKUP('Données projet'!$B$16,Paramètres!$A$1:$I$89,3,0)*0.475*44/12</f>
        <v>2.337462124738833</v>
      </c>
      <c r="FT38" s="22">
        <f t="shared" si="24"/>
        <v>11.771964193164747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108.5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108.5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17.606159999999999</v>
      </c>
      <c r="D39" s="11">
        <f t="shared" si="32"/>
        <v>5.8106048808056867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99.418545634297843</v>
      </c>
      <c r="H39" s="67">
        <f t="shared" si="1"/>
        <v>438.61753216740323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108.5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10.199999999999999</v>
      </c>
      <c r="N39" s="13">
        <f>IF('Données projet'!$A$36&gt;35,N38+M39-V38,IF(A39&lt;'Données projet'!$A$36,$K$205^A39,IF(A39='Données projet'!$A$36,'Données projet'!$B$36,N38+M39-V38)))</f>
        <v>179.1999999999999</v>
      </c>
      <c r="O39" s="13">
        <f>N39*VLOOKUP('Données projet'!$B$9,Paramètres!$A$1:$I$89,3,0)*VLOOKUP('Données projet'!$B$9,Paramètres!$A$1:$I$89,5,0)</f>
        <v>145.36703999999995</v>
      </c>
      <c r="P39" s="13">
        <f t="shared" si="33"/>
        <v>37.523814117080803</v>
      </c>
      <c r="Q39" s="20">
        <f t="shared" si="53"/>
        <v>318.53490425391561</v>
      </c>
      <c r="R39" s="59">
        <f t="shared" si="0"/>
        <v>753.03490425391556</v>
      </c>
      <c r="S39" s="59">
        <f ca="1">AVERAGE(OFFSET($R$3,0,0,'Données projet'!$E$9+1,1))-AVERAGE(OFFSET($H$3,0,0,'Données projet'!$E$9+1,1))</f>
        <v>273.89826011924487</v>
      </c>
      <c r="T39" s="59">
        <f t="shared" si="34"/>
        <v>332.17519939974227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7.2027343344997741</v>
      </c>
      <c r="AB39" s="21">
        <f>EXP(-LN(2)/2)*AB38+(1-EXP(-LN(2)/2))/(LN(2)/2)*V39*Y39*VLOOKUP('Données projet'!$B$9,Paramètres!$A$1:$I$89,3,0)*0.475*44/12</f>
        <v>1.37157116776336</v>
      </c>
      <c r="AC39" s="22">
        <f t="shared" si="3"/>
        <v>8.5743055022631331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108.5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10.000000000000004</v>
      </c>
      <c r="AI39" s="13">
        <f>IF('Données projet'!$A$62&gt;35,AI38+AH39-AQ38,IF(A39&lt;'Données projet'!$A$62,$AF$205^A39,IF(A39='Données projet'!$A$62,'Données projet'!$B$62,AI38+AH39-AQ38)))</f>
        <v>251.59999999999988</v>
      </c>
      <c r="AJ39" s="13">
        <f>AI39*VLOOKUP('Données projet'!$B$10,Paramètres!$A$1:$I$89,3,0)*VLOOKUP('Données projet'!$B$10,Paramètres!$A$1:$I$89,5,0)</f>
        <v>117.74879999999995</v>
      </c>
      <c r="AK39" s="13">
        <f t="shared" si="35"/>
        <v>31.149366548366</v>
      </c>
      <c r="AL39" s="20">
        <f t="shared" si="4"/>
        <v>259.33097340507067</v>
      </c>
      <c r="AM39" s="59">
        <f t="shared" si="5"/>
        <v>693.83097340507061</v>
      </c>
      <c r="AN39" s="59">
        <f ca="1">AVERAGE(OFFSET($AM$3,0,0,'Données projet'!$E$10+1,1))-AVERAGE(OFFSET($H$3,0,0,'Données projet'!$E$10+1,1))</f>
        <v>293.42903587188346</v>
      </c>
      <c r="AO39" s="59">
        <f t="shared" si="36"/>
        <v>267.80827667062124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2.7833924065534239</v>
      </c>
      <c r="AV39" s="21">
        <f>EXP(-LN(2)/25)*AV38+(1-EXP(-LN(2)/25))/(LN(2)/25)*Calculateur!AQ39*Calculateur!AS39*VLOOKUP('Données projet'!$B$10,Paramètres!$A$1:$I$89,3,0)*0.475*44/12</f>
        <v>6.6515776181746933</v>
      </c>
      <c r="AW39" s="21">
        <f>EXP(-LN(2)/2)*AW38+(1-EXP(-LN(2)/2))/(LN(2)/2)*AQ39*AT39*VLOOKUP('Données projet'!$B$10,Paramètres!$A$1:$I$89,3,0)*0.475*44/12</f>
        <v>1.229022060036999</v>
      </c>
      <c r="AX39" s="21">
        <f t="shared" si="6"/>
        <v>10.663992084765116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108.5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8.1999999999999993</v>
      </c>
      <c r="BD39" s="12">
        <f>IF('Données projet'!$A$88&gt;35,BD38+BC39-BL38,IF(A39&lt;'Données projet'!$A$88,$BA$205^A39,IF(A39='Données projet'!$A$88,'Données projet'!$B$88,BD38+BC39-BL38)))</f>
        <v>125.19999999999999</v>
      </c>
      <c r="BE39" s="13">
        <f>BD39*VLOOKUP('Données projet'!$B$11,Paramètres!$A$1:$I$89,3,0)*VLOOKUP('Données projet'!$B$11,Paramètres!$A$1:$I$89,5,0)</f>
        <v>113.28095999999998</v>
      </c>
      <c r="BF39" s="13">
        <f t="shared" si="37"/>
        <v>30.102677097724456</v>
      </c>
      <c r="BG39" s="20">
        <f t="shared" si="7"/>
        <v>249.72650127853672</v>
      </c>
      <c r="BH39" s="59">
        <f t="shared" si="8"/>
        <v>684.22650127853672</v>
      </c>
      <c r="BI39" s="59">
        <f ca="1">AVERAGE(OFFSET($BH$3,0,0,'Données projet'!$E$11+1,1))-AVERAGE(OFFSET($H$3,0,0,'Données projet'!$E$11+1,1))</f>
        <v>324.41828402031939</v>
      </c>
      <c r="BJ39" s="59">
        <f t="shared" si="38"/>
        <v>233.01060088065992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2.6299385880436645</v>
      </c>
      <c r="BR39" s="21">
        <f>EXP(-LN(2)/2)*BR38+(1-EXP(-LN(2)/2))/(LN(2)/2)*BL39*BO39*VLOOKUP('Données projet'!$B$11,Paramètres!$A$1:$I$89,3,0)*0.475*44/12</f>
        <v>0.77366848180355341</v>
      </c>
      <c r="BS39" s="22">
        <f t="shared" si="9"/>
        <v>3.4036070698472178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108.5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13.8</v>
      </c>
      <c r="BY39" s="12">
        <f>IF('Données projet'!$A$114&gt;35,BY38+BX39-CG38,IF(A39&lt;'Données projet'!$A$114,$BV$205^A39,IF(A39='Données projet'!$A$114,'Données projet'!$B$114,BY38+BX39-CG38)))</f>
        <v>258.80000000000007</v>
      </c>
      <c r="BZ39" s="13">
        <f>BY39*VLOOKUP('Données projet'!$B$12,Paramètres!$A$1:$I$89,3,0)*VLOOKUP('Données projet'!$B$12,Paramètres!$A$1:$I$89,5,0)</f>
        <v>141.30480000000003</v>
      </c>
      <c r="CA39" s="13">
        <f t="shared" si="39"/>
        <v>36.595755275288994</v>
      </c>
      <c r="CB39" s="20">
        <f t="shared" si="10"/>
        <v>309.84346710446169</v>
      </c>
      <c r="CC39" s="59">
        <f t="shared" si="11"/>
        <v>744.34346710446175</v>
      </c>
      <c r="CD39" s="59">
        <f ca="1">AVERAGE(OFFSET($CC$3,0,0,'Données projet'!$E$12+1,1))-AVERAGE(OFFSET($H$3,0,0,'Données projet'!$E$12+1,1))</f>
        <v>279.00060755204919</v>
      </c>
      <c r="CE39" s="59">
        <f t="shared" si="40"/>
        <v>333.91128554211014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6.4830054864464755</v>
      </c>
      <c r="CL39" s="21">
        <f>EXP(-LN(2)/25)*CL38+(1-EXP(-LN(2)/25))/(LN(2)/25)*Calculateur!CG39*Calculateur!CI39*VLOOKUP('Données projet'!$B$12,Paramètres!$A$1:$I$89,3,0)*0.475*44/12</f>
        <v>23.565526267089421</v>
      </c>
      <c r="CM39" s="21">
        <f>EXP(-LN(2)/2)*CM38+(1-EXP(-LN(2)/2))/(LN(2)/2)*CG39*CJ39*VLOOKUP('Données projet'!$B$12,Paramètres!$A$1:$I$89,3,0)*0.475*44/12</f>
        <v>2.6942360921689534</v>
      </c>
      <c r="CN39" s="22">
        <f t="shared" si="12"/>
        <v>32.742767845704847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108.5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18.8</v>
      </c>
      <c r="CT39" s="12">
        <f>IF('Données projet'!$A$140&gt;35,CT38+CS39-DB38,IF(A39&lt;'Données projet'!$A$140,$CQ$205^A39,IF(A39='Données projet'!$A$140,'Données projet'!$B$140,CT38+CS39-DB38)))</f>
        <v>307.80000000000018</v>
      </c>
      <c r="CU39" s="17">
        <f>CT39*VLOOKUP('Données projet'!$B$13,Paramètres!$A$1:$I$89,3,0)*VLOOKUP('Données projet'!$B$13,Paramètres!$A$1:$I$89,5,0)</f>
        <v>184.06440000000012</v>
      </c>
      <c r="CV39" s="13">
        <f t="shared" si="41"/>
        <v>46.225261821093866</v>
      </c>
      <c r="CW39" s="20">
        <f t="shared" si="13"/>
        <v>401.08782767173875</v>
      </c>
      <c r="CX39" s="59">
        <f t="shared" si="14"/>
        <v>835.58782767173875</v>
      </c>
      <c r="CY39" s="59">
        <f ca="1">AVERAGE(OFFSET($CX$3,0,0,'Données projet'!$E$13+1,1))-AVERAGE(OFFSET($H$3,0,0,'Données projet'!$E$13+1,1))</f>
        <v>380.01315081072897</v>
      </c>
      <c r="CZ39" s="59">
        <f t="shared" si="42"/>
        <v>404.90871625409181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3.1064401289222703</v>
      </c>
      <c r="DG39" s="21">
        <f>EXP(-LN(2)/25)*DG38+(1-EXP(-LN(2)/25))/(LN(2)/25)*Calculateur!DB39*Calculateur!DD39*VLOOKUP('Données projet'!$B$13,Paramètres!$A$1:$I$89,3,0)*0.475*44/12</f>
        <v>18.069306340867723</v>
      </c>
      <c r="DH39" s="21">
        <f>EXP(-LN(2)/2)*DH38+(1-EXP(-LN(2)/2))/(LN(2)/2)*DB39*DE39*VLOOKUP('Données projet'!$B$13,Paramètres!$A$1:$I$89,3,0)*0.475*44/12</f>
        <v>3.7879167645211265</v>
      </c>
      <c r="DI39" s="22">
        <f t="shared" si="15"/>
        <v>24.96366323431112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108.5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-5.6843418860808015E-14</v>
      </c>
      <c r="DP39" s="17">
        <f>DO39*VLOOKUP('Données projet'!$B$14,Paramètres!$A$1:$I$89,3,0)*VLOOKUP('Données projet'!$B$14,Paramètres!$A$1:$I$89,5,0)</f>
        <v>-5.1431925385259088E-14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320.81451813551064</v>
      </c>
      <c r="DU39" s="59">
        <f t="shared" si="44"/>
        <v>522.80818268773976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1.6298946835472934</v>
      </c>
      <c r="EB39" s="21">
        <f>EXP(-LN(2)/25)*EB38+(1-EXP(-LN(2)/25))/(LN(2)/25)*Calculateur!DW39*Calculateur!DY39*VLOOKUP('Données projet'!$B$14,Paramètres!$A$1:$I$89,3,0)*0.475*44/12</f>
        <v>8.82813216284314</v>
      </c>
      <c r="EC39" s="21">
        <f>EXP(-LN(2)/2)*EC38+(1-EXP(-LN(2)/2))/(LN(2)/2)*DW39*DZ39*VLOOKUP('Données projet'!$B$14,Paramètres!$A$1:$I$89,3,0)*0.475*44/12</f>
        <v>0.7486104382045532</v>
      </c>
      <c r="ED39" s="22">
        <f t="shared" si="18"/>
        <v>11.206637284594986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108.5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12.833333333333334</v>
      </c>
      <c r="EJ39" s="12">
        <f>IF('Données projet'!$A$192&gt;35,EJ38+EI39-ER38,IF(A39&lt;'Données projet'!$A$192,$EG$205^A39,IF(A39='Données projet'!$A$192,'Données projet'!$B$192,EJ38+EI39-ER38)))</f>
        <v>223.66666666666671</v>
      </c>
      <c r="EK39" s="17">
        <f>EJ39*VLOOKUP('Données projet'!$B$15,Paramètres!$A$1:$I$89,3,0)*VLOOKUP('Données projet'!$B$15,Paramètres!$A$1:$I$89,5,0)</f>
        <v>133.75266666666673</v>
      </c>
      <c r="EL39" s="13">
        <f t="shared" si="45"/>
        <v>34.86204901776788</v>
      </c>
      <c r="EM39" s="20">
        <f t="shared" si="19"/>
        <v>293.67062981705698</v>
      </c>
      <c r="EN39" s="59">
        <f t="shared" si="20"/>
        <v>728.17062981705703</v>
      </c>
      <c r="EO39" s="59">
        <f ca="1">AVERAGE(OFFSET($EN$3,0,0,'Données projet'!$E$15+1,1))-AVERAGE(OFFSET($H$3,0,0,'Données projet'!$E$15+1,1))</f>
        <v>228.3393311631487</v>
      </c>
      <c r="EP39" s="59">
        <f t="shared" si="46"/>
        <v>266.26050497804033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5.5162606109796801</v>
      </c>
      <c r="EW39" s="21">
        <f>EXP(-LN(2)/25)*EW38+(1-EXP(-LN(2)/25))/(LN(2)/25)*Calculateur!ER39*Calculateur!ET39*VLOOKUP('Données projet'!$B$15,Paramètres!$A$1:$I$89,3,0)*0.475*44/12</f>
        <v>10.441116744137856</v>
      </c>
      <c r="EX39" s="21">
        <f>EXP(-LN(2)/2)*EX38+(1-EXP(-LN(2)/2))/(LN(2)/2)*ER39*EU39*VLOOKUP('Données projet'!$B$15,Paramètres!$A$1:$I$89,3,0)*0.475*44/12</f>
        <v>0.68071154675926904</v>
      </c>
      <c r="EY39" s="22">
        <f t="shared" si="21"/>
        <v>16.638088901876806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108.5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13.6</v>
      </c>
      <c r="FE39" s="12">
        <f>IF('Données projet'!$A$218&gt;35,FE38+FD39-FM38,IF(A39&lt;'Données projet'!$A$218,$FB$205^A39,IF(A39='Données projet'!$A$218,'Données projet'!$B$218,FE38+FD39-FM38)))</f>
        <v>184.59999999999997</v>
      </c>
      <c r="FF39" s="17">
        <f>FE39*VLOOKUP('Données projet'!$B$16,Paramètres!$A$1:$I$89,3,0)*VLOOKUP('Données projet'!$B$16,Paramètres!$A$1:$I$89,5,0)</f>
        <v>105.59119999999999</v>
      </c>
      <c r="FG39" s="13">
        <f t="shared" si="47"/>
        <v>28.289776938219592</v>
      </c>
      <c r="FH39" s="20">
        <f t="shared" si="22"/>
        <v>233.17603483406575</v>
      </c>
      <c r="FI39" s="59">
        <f t="shared" si="23"/>
        <v>667.67603483406572</v>
      </c>
      <c r="FJ39" s="59">
        <f ca="1">AVERAGE(OFFSET($FI$3,0,0,'Données projet'!$E$16+1,1))-AVERAGE(OFFSET($H$3,0,0,'Données projet'!$E$16+1,1))</f>
        <v>242.10913976205194</v>
      </c>
      <c r="FK39" s="59">
        <f t="shared" si="48"/>
        <v>198.24795425321133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9.1765151132259071</v>
      </c>
      <c r="FS39" s="21">
        <f>EXP(-LN(2)/2)*FS38+(1-EXP(-LN(2)/2))/(LN(2)/2)*FM39*FP39*VLOOKUP('Données projet'!$B$16,Paramètres!$A$1:$I$89,3,0)*0.475*44/12</f>
        <v>1.6528353191695446</v>
      </c>
      <c r="FT39" s="22">
        <f t="shared" si="24"/>
        <v>10.829350432395451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108.5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108.5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18.095219999999998</v>
      </c>
      <c r="D40" s="11">
        <f t="shared" si="32"/>
        <v>5.952994732547797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102.09943798730819</v>
      </c>
      <c r="H40" s="67">
        <f t="shared" si="1"/>
        <v>439.71730732585405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108.5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10.199999999999999</v>
      </c>
      <c r="N40" s="13">
        <f>IF('Données projet'!$A$36&gt;35,N39+M40-V39,IF(A40&lt;'Données projet'!$A$36,$K$205^A40,IF(A40='Données projet'!$A$36,'Données projet'!$B$36,N39+M40-V39)))</f>
        <v>189.39999999999989</v>
      </c>
      <c r="O40" s="13">
        <f>N40*VLOOKUP('Données projet'!$B$9,Paramètres!$A$1:$I$89,3,0)*VLOOKUP('Données projet'!$B$9,Paramètres!$A$1:$I$89,5,0)</f>
        <v>153.64127999999991</v>
      </c>
      <c r="P40" s="13">
        <f t="shared" si="33"/>
        <v>39.404920897415295</v>
      </c>
      <c r="Q40" s="20">
        <f t="shared" si="53"/>
        <v>336.22213322966473</v>
      </c>
      <c r="R40" s="59">
        <f t="shared" si="0"/>
        <v>770.72213322966468</v>
      </c>
      <c r="S40" s="59">
        <f ca="1">AVERAGE(OFFSET($R$3,0,0,'Données projet'!$E$9+1,1))-AVERAGE(OFFSET($H$3,0,0,'Données projet'!$E$9+1,1))</f>
        <v>273.89826011924487</v>
      </c>
      <c r="T40" s="59">
        <f t="shared" si="34"/>
        <v>332.17519939974227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7.0057751853475407</v>
      </c>
      <c r="AB40" s="21">
        <f>EXP(-LN(2)/2)*AB39+(1-EXP(-LN(2)/2))/(LN(2)/2)*V40*Y40*VLOOKUP('Données projet'!$B$9,Paramètres!$A$1:$I$89,3,0)*0.475*44/12</f>
        <v>0.96984727360542367</v>
      </c>
      <c r="AC40" s="22">
        <f t="shared" si="3"/>
        <v>7.9756224589529641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108.5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10.000000000000004</v>
      </c>
      <c r="AI40" s="13">
        <f>IF('Données projet'!$A$62&gt;35,AI39+AH40-AQ39,IF(A40&lt;'Données projet'!$A$62,$AF$205^A40,IF(A40='Données projet'!$A$62,'Données projet'!$B$62,AI39+AH40-AQ39)))</f>
        <v>261.59999999999991</v>
      </c>
      <c r="AJ40" s="13">
        <f>AI40*VLOOKUP('Données projet'!$B$10,Paramètres!$A$1:$I$89,3,0)*VLOOKUP('Données projet'!$B$10,Paramètres!$A$1:$I$89,5,0)</f>
        <v>122.42879999999995</v>
      </c>
      <c r="AK40" s="13">
        <f t="shared" si="35"/>
        <v>32.240814688958388</v>
      </c>
      <c r="AL40" s="20">
        <f t="shared" si="4"/>
        <v>269.38291224993577</v>
      </c>
      <c r="AM40" s="59">
        <f t="shared" si="5"/>
        <v>703.88291224993577</v>
      </c>
      <c r="AN40" s="59">
        <f ca="1">AVERAGE(OFFSET($AM$3,0,0,'Données projet'!$E$10+1,1))-AVERAGE(OFFSET($H$3,0,0,'Données projet'!$E$10+1,1))</f>
        <v>293.42903587188346</v>
      </c>
      <c r="AO40" s="59">
        <f t="shared" si="36"/>
        <v>267.80827667062124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2.7288117791626449</v>
      </c>
      <c r="AV40" s="21">
        <f>EXP(-LN(2)/25)*AV39+(1-EXP(-LN(2)/25))/(LN(2)/25)*Calculateur!AQ40*Calculateur!AS40*VLOOKUP('Données projet'!$B$10,Paramètres!$A$1:$I$89,3,0)*0.475*44/12</f>
        <v>6.4696898784144414</v>
      </c>
      <c r="AW40" s="21">
        <f>EXP(-LN(2)/2)*AW39+(1-EXP(-LN(2)/2))/(LN(2)/2)*AQ40*AT40*VLOOKUP('Données projet'!$B$10,Paramètres!$A$1:$I$89,3,0)*0.475*44/12</f>
        <v>0.86904983288002213</v>
      </c>
      <c r="AX40" s="21">
        <f t="shared" si="6"/>
        <v>10.067551490457108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108.5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8.1999999999999993</v>
      </c>
      <c r="BD40" s="12">
        <f>IF('Données projet'!$A$88&gt;35,BD39+BC40-BL39,IF(A40&lt;'Données projet'!$A$88,$BA$205^A40,IF(A40='Données projet'!$A$88,'Données projet'!$B$88,BD39+BC40-BL39)))</f>
        <v>133.39999999999998</v>
      </c>
      <c r="BE40" s="13">
        <f>BD40*VLOOKUP('Données projet'!$B$11,Paramètres!$A$1:$I$89,3,0)*VLOOKUP('Données projet'!$B$11,Paramètres!$A$1:$I$89,5,0)</f>
        <v>120.70031999999998</v>
      </c>
      <c r="BF40" s="13">
        <f t="shared" si="37"/>
        <v>31.838282075030818</v>
      </c>
      <c r="BG40" s="20">
        <f t="shared" si="7"/>
        <v>265.67139861401193</v>
      </c>
      <c r="BH40" s="59">
        <f t="shared" si="8"/>
        <v>700.17139861401188</v>
      </c>
      <c r="BI40" s="59">
        <f ca="1">AVERAGE(OFFSET($BH$3,0,0,'Données projet'!$E$11+1,1))-AVERAGE(OFFSET($H$3,0,0,'Données projet'!$E$11+1,1))</f>
        <v>324.41828402031939</v>
      </c>
      <c r="BJ40" s="59">
        <f t="shared" si="38"/>
        <v>233.01060088065992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2.5580227790511509</v>
      </c>
      <c r="BR40" s="21">
        <f>EXP(-LN(2)/2)*BR39+(1-EXP(-LN(2)/2))/(LN(2)/2)*BL40*BO40*VLOOKUP('Données projet'!$B$11,Paramètres!$A$1:$I$89,3,0)*0.475*44/12</f>
        <v>0.54706622987359366</v>
      </c>
      <c r="BS40" s="22">
        <f t="shared" si="9"/>
        <v>3.1050890089247445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108.5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13.8</v>
      </c>
      <c r="BY40" s="12">
        <f>IF('Données projet'!$A$114&gt;35,BY39+BX40-CG39,IF(A40&lt;'Données projet'!$A$114,$BV$205^A40,IF(A40='Données projet'!$A$114,'Données projet'!$B$114,BY39+BX40-CG39)))</f>
        <v>272.60000000000008</v>
      </c>
      <c r="BZ40" s="13">
        <f>BY40*VLOOKUP('Données projet'!$B$12,Paramètres!$A$1:$I$89,3,0)*VLOOKUP('Données projet'!$B$12,Paramètres!$A$1:$I$89,5,0)</f>
        <v>148.83960000000005</v>
      </c>
      <c r="CA40" s="13">
        <f t="shared" si="39"/>
        <v>38.314761484407519</v>
      </c>
      <c r="CB40" s="20">
        <f t="shared" si="10"/>
        <v>325.9605129186765</v>
      </c>
      <c r="CC40" s="59">
        <f t="shared" si="11"/>
        <v>760.4605129186765</v>
      </c>
      <c r="CD40" s="59">
        <f ca="1">AVERAGE(OFFSET($CC$3,0,0,'Données projet'!$E$12+1,1))-AVERAGE(OFFSET($H$3,0,0,'Données projet'!$E$12+1,1))</f>
        <v>279.00060755204919</v>
      </c>
      <c r="CE40" s="59">
        <f t="shared" si="40"/>
        <v>333.91128554211014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6.3558777031001581</v>
      </c>
      <c r="CL40" s="21">
        <f>EXP(-LN(2)/25)*CL39+(1-EXP(-LN(2)/25))/(LN(2)/25)*Calculateur!CG40*Calculateur!CI40*VLOOKUP('Données projet'!$B$12,Paramètres!$A$1:$I$89,3,0)*0.475*44/12</f>
        <v>22.921125712058693</v>
      </c>
      <c r="CM40" s="21">
        <f>EXP(-LN(2)/2)*CM39+(1-EXP(-LN(2)/2))/(LN(2)/2)*CG40*CJ40*VLOOKUP('Données projet'!$B$12,Paramètres!$A$1:$I$89,3,0)*0.475*44/12</f>
        <v>1.9051126108902112</v>
      </c>
      <c r="CN40" s="22">
        <f t="shared" si="12"/>
        <v>31.182116026049062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108.5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18.8</v>
      </c>
      <c r="CT40" s="12">
        <f>IF('Données projet'!$A$140&gt;35,CT39+CS40-DB39,IF(A40&lt;'Données projet'!$A$140,$CQ$205^A40,IF(A40='Données projet'!$A$140,'Données projet'!$B$140,CT39+CS40-DB39)))</f>
        <v>326.60000000000019</v>
      </c>
      <c r="CU40" s="17">
        <f>CT40*VLOOKUP('Données projet'!$B$13,Paramètres!$A$1:$I$89,3,0)*VLOOKUP('Données projet'!$B$13,Paramètres!$A$1:$I$89,5,0)</f>
        <v>195.30680000000015</v>
      </c>
      <c r="CV40" s="13">
        <f t="shared" si="41"/>
        <v>48.711323321845938</v>
      </c>
      <c r="CW40" s="20">
        <f t="shared" si="13"/>
        <v>424.99823145221518</v>
      </c>
      <c r="CX40" s="59">
        <f t="shared" si="14"/>
        <v>859.49823145221512</v>
      </c>
      <c r="CY40" s="59">
        <f ca="1">AVERAGE(OFFSET($CX$3,0,0,'Données projet'!$E$13+1,1))-AVERAGE(OFFSET($H$3,0,0,'Données projet'!$E$13+1,1))</f>
        <v>380.01315081072897</v>
      </c>
      <c r="CZ40" s="59">
        <f t="shared" si="42"/>
        <v>404.90871625409181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3.0455247327354931</v>
      </c>
      <c r="DG40" s="21">
        <f>EXP(-LN(2)/25)*DG39+(1-EXP(-LN(2)/25))/(LN(2)/25)*Calculateur!DB40*Calculateur!DD40*VLOOKUP('Données projet'!$B$13,Paramètres!$A$1:$I$89,3,0)*0.475*44/12</f>
        <v>17.575200208753174</v>
      </c>
      <c r="DH40" s="21">
        <f>EXP(-LN(2)/2)*DH39+(1-EXP(-LN(2)/2))/(LN(2)/2)*DB40*DE40*VLOOKUP('Données projet'!$B$13,Paramètres!$A$1:$I$89,3,0)*0.475*44/12</f>
        <v>2.6784616307630955</v>
      </c>
      <c r="DI40" s="22">
        <f t="shared" si="15"/>
        <v>23.299186572251763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108.5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-5.6843418860808015E-14</v>
      </c>
      <c r="DP40" s="17">
        <f>DO40*VLOOKUP('Données projet'!$B$14,Paramètres!$A$1:$I$89,3,0)*VLOOKUP('Données projet'!$B$14,Paramètres!$A$1:$I$89,5,0)</f>
        <v>-5.1431925385259088E-14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320.81451813551064</v>
      </c>
      <c r="DU40" s="59">
        <f t="shared" si="44"/>
        <v>522.80818268773976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1.597933442940525</v>
      </c>
      <c r="EB40" s="21">
        <f>EXP(-LN(2)/25)*EB39+(1-EXP(-LN(2)/25))/(LN(2)/25)*Calculateur!DW40*Calculateur!DY40*VLOOKUP('Données projet'!$B$14,Paramètres!$A$1:$I$89,3,0)*0.475*44/12</f>
        <v>8.5867264245989006</v>
      </c>
      <c r="EC40" s="21">
        <f>EXP(-LN(2)/2)*EC39+(1-EXP(-LN(2)/2))/(LN(2)/2)*DW40*DZ40*VLOOKUP('Données projet'!$B$14,Paramètres!$A$1:$I$89,3,0)*0.475*44/12</f>
        <v>0.52934751732147245</v>
      </c>
      <c r="ED40" s="22">
        <f t="shared" si="18"/>
        <v>10.714007384860897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108.5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12.833333333333334</v>
      </c>
      <c r="EJ40" s="12">
        <f>IF('Données projet'!$A$192&gt;35,EJ39+EI40-ER39,IF(A40&lt;'Données projet'!$A$192,$EG$205^A40,IF(A40='Données projet'!$A$192,'Données projet'!$B$192,EJ39+EI40-ER39)))</f>
        <v>236.50000000000006</v>
      </c>
      <c r="EK40" s="17">
        <f>EJ40*VLOOKUP('Données projet'!$B$15,Paramètres!$A$1:$I$89,3,0)*VLOOKUP('Données projet'!$B$15,Paramètres!$A$1:$I$89,5,0)</f>
        <v>141.42700000000005</v>
      </c>
      <c r="EL40" s="13">
        <f t="shared" si="45"/>
        <v>36.623717959686019</v>
      </c>
      <c r="EM40" s="20">
        <f t="shared" si="19"/>
        <v>310.10500044645323</v>
      </c>
      <c r="EN40" s="59">
        <f t="shared" si="20"/>
        <v>744.60500044645323</v>
      </c>
      <c r="EO40" s="59">
        <f ca="1">AVERAGE(OFFSET($EN$3,0,0,'Données projet'!$E$15+1,1))-AVERAGE(OFFSET($H$3,0,0,'Données projet'!$E$15+1,1))</f>
        <v>228.3393311631487</v>
      </c>
      <c r="EP40" s="59">
        <f t="shared" si="46"/>
        <v>266.26050497804033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5.4080901049851162</v>
      </c>
      <c r="EW40" s="21">
        <f>EXP(-LN(2)/25)*EW39+(1-EXP(-LN(2)/25))/(LN(2)/25)*Calculateur!ER40*Calculateur!ET40*VLOOKUP('Données projet'!$B$15,Paramètres!$A$1:$I$89,3,0)*0.475*44/12</f>
        <v>10.15560385769494</v>
      </c>
      <c r="EX40" s="21">
        <f>EXP(-LN(2)/2)*EX39+(1-EXP(-LN(2)/2))/(LN(2)/2)*ER40*EU40*VLOOKUP('Données projet'!$B$15,Paramètres!$A$1:$I$89,3,0)*0.475*44/12</f>
        <v>0.48133575074546281</v>
      </c>
      <c r="EY40" s="22">
        <f t="shared" si="21"/>
        <v>16.045029713425517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108.5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13.6</v>
      </c>
      <c r="FE40" s="12">
        <f>IF('Données projet'!$A$218&gt;35,FE39+FD40-FM39,IF(A40&lt;'Données projet'!$A$218,$FB$205^A40,IF(A40='Données projet'!$A$218,'Données projet'!$B$218,FE39+FD40-FM39)))</f>
        <v>198.19999999999996</v>
      </c>
      <c r="FF40" s="17">
        <f>FE40*VLOOKUP('Données projet'!$B$16,Paramètres!$A$1:$I$89,3,0)*VLOOKUP('Données projet'!$B$16,Paramètres!$A$1:$I$89,5,0)</f>
        <v>113.37039999999999</v>
      </c>
      <c r="FG40" s="13">
        <f t="shared" si="47"/>
        <v>30.123676926130397</v>
      </c>
      <c r="FH40" s="20">
        <f t="shared" si="22"/>
        <v>249.91885064634377</v>
      </c>
      <c r="FI40" s="59">
        <f t="shared" si="23"/>
        <v>684.4188506463438</v>
      </c>
      <c r="FJ40" s="59">
        <f ca="1">AVERAGE(OFFSET($FI$3,0,0,'Données projet'!$E$16+1,1))-AVERAGE(OFFSET($H$3,0,0,'Données projet'!$E$16+1,1))</f>
        <v>242.10913976205194</v>
      </c>
      <c r="FK40" s="59">
        <f t="shared" si="48"/>
        <v>198.24795425321133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8.9255828248827882</v>
      </c>
      <c r="FS40" s="21">
        <f>EXP(-LN(2)/2)*FS39+(1-EXP(-LN(2)/2))/(LN(2)/2)*FM40*FP40*VLOOKUP('Données projet'!$B$16,Paramètres!$A$1:$I$89,3,0)*0.475*44/12</f>
        <v>1.1687310623694167</v>
      </c>
      <c r="FT40" s="22">
        <f t="shared" si="24"/>
        <v>10.094313887252206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108.5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108.5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18.584279999999996</v>
      </c>
      <c r="D41" s="11">
        <f t="shared" si="32"/>
        <v>6.0949372798439283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104.77843125828474</v>
      </c>
      <c r="H41" s="67">
        <f t="shared" si="1"/>
        <v>440.81630342906146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108.5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10.199999999999999</v>
      </c>
      <c r="N41" s="13">
        <f>IF('Données projet'!$A$36&gt;35,N40+M41-V40,IF(A41&lt;'Données projet'!$A$36,$K$205^A41,IF(A41='Données projet'!$A$36,'Données projet'!$B$36,N40+M41-V40)))</f>
        <v>199.59999999999988</v>
      </c>
      <c r="O41" s="13">
        <f>N41*VLOOKUP('Données projet'!$B$9,Paramètres!$A$1:$I$89,3,0)*VLOOKUP('Données projet'!$B$9,Paramètres!$A$1:$I$89,5,0)</f>
        <v>161.91551999999993</v>
      </c>
      <c r="P41" s="13">
        <f t="shared" si="33"/>
        <v>41.274266582040376</v>
      </c>
      <c r="Q41" s="20">
        <f t="shared" si="53"/>
        <v>353.88887829705351</v>
      </c>
      <c r="R41" s="59">
        <f t="shared" si="0"/>
        <v>788.38887829705345</v>
      </c>
      <c r="S41" s="59">
        <f ca="1">AVERAGE(OFFSET($R$3,0,0,'Données projet'!$E$9+1,1))-AVERAGE(OFFSET($H$3,0,0,'Données projet'!$E$9+1,1))</f>
        <v>273.89826011924487</v>
      </c>
      <c r="T41" s="59">
        <f t="shared" si="34"/>
        <v>332.17519939974227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6.8142018944865068</v>
      </c>
      <c r="AB41" s="21">
        <f>EXP(-LN(2)/2)*AB40+(1-EXP(-LN(2)/2))/(LN(2)/2)*V41*Y41*VLOOKUP('Données projet'!$B$9,Paramètres!$A$1:$I$89,3,0)*0.475*44/12</f>
        <v>0.68578558388168009</v>
      </c>
      <c r="AC41" s="22">
        <f t="shared" si="3"/>
        <v>7.4999874783681868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108.5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10.000000000000004</v>
      </c>
      <c r="AI41" s="13">
        <f>IF('Données projet'!$A$62&gt;35,AI40+AH41-AQ40,IF(A41&lt;'Données projet'!$A$62,$AF$205^A41,IF(A41='Données projet'!$A$62,'Données projet'!$B$62,AI40+AH41-AQ40)))</f>
        <v>271.59999999999991</v>
      </c>
      <c r="AJ41" s="13">
        <f>AI41*VLOOKUP('Données projet'!$B$10,Paramètres!$A$1:$I$89,3,0)*VLOOKUP('Données projet'!$B$10,Paramètres!$A$1:$I$89,5,0)</f>
        <v>127.10879999999996</v>
      </c>
      <c r="AK41" s="13">
        <f t="shared" si="35"/>
        <v>33.32741592766736</v>
      </c>
      <c r="AL41" s="20">
        <f t="shared" si="4"/>
        <v>279.4264094073539</v>
      </c>
      <c r="AM41" s="59">
        <f t="shared" si="5"/>
        <v>713.92640940735396</v>
      </c>
      <c r="AN41" s="59">
        <f ca="1">AVERAGE(OFFSET($AM$3,0,0,'Données projet'!$E$10+1,1))-AVERAGE(OFFSET($H$3,0,0,'Données projet'!$E$10+1,1))</f>
        <v>293.42903587188346</v>
      </c>
      <c r="AO41" s="59">
        <f t="shared" si="36"/>
        <v>267.80827667062124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2.6753014445841039</v>
      </c>
      <c r="AV41" s="21">
        <f>EXP(-LN(2)/25)*AV40+(1-EXP(-LN(2)/25))/(LN(2)/25)*Calculateur!AQ41*Calculateur!AS41*VLOOKUP('Données projet'!$B$10,Paramètres!$A$1:$I$89,3,0)*0.475*44/12</f>
        <v>6.2927758684629946</v>
      </c>
      <c r="AW41" s="21">
        <f>EXP(-LN(2)/2)*AW40+(1-EXP(-LN(2)/2))/(LN(2)/2)*AQ41*AT41*VLOOKUP('Données projet'!$B$10,Paramètres!$A$1:$I$89,3,0)*0.475*44/12</f>
        <v>0.61451103001849949</v>
      </c>
      <c r="AX41" s="21">
        <f t="shared" si="6"/>
        <v>9.5825883430655985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108.5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8.1999999999999993</v>
      </c>
      <c r="BD41" s="12">
        <f>IF('Données projet'!$A$88&gt;35,BD40+BC41-BL40,IF(A41&lt;'Données projet'!$A$88,$BA$205^A41,IF(A41='Données projet'!$A$88,'Données projet'!$B$88,BD40+BC41-BL40)))</f>
        <v>141.59999999999997</v>
      </c>
      <c r="BE41" s="13">
        <f>BD41*VLOOKUP('Données projet'!$B$11,Paramètres!$A$1:$I$89,3,0)*VLOOKUP('Données projet'!$B$11,Paramètres!$A$1:$I$89,5,0)</f>
        <v>128.11967999999996</v>
      </c>
      <c r="BF41" s="13">
        <f t="shared" si="37"/>
        <v>33.561504850994297</v>
      </c>
      <c r="BG41" s="20">
        <f t="shared" si="7"/>
        <v>281.5947302821483</v>
      </c>
      <c r="BH41" s="59">
        <f t="shared" si="8"/>
        <v>716.09473028214825</v>
      </c>
      <c r="BI41" s="59">
        <f ca="1">AVERAGE(OFFSET($BH$3,0,0,'Données projet'!$E$11+1,1))-AVERAGE(OFFSET($H$3,0,0,'Données projet'!$E$11+1,1))</f>
        <v>324.41828402031939</v>
      </c>
      <c r="BJ41" s="59">
        <f t="shared" si="38"/>
        <v>233.01060088065992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2.4880735116374257</v>
      </c>
      <c r="BR41" s="21">
        <f>EXP(-LN(2)/2)*BR40+(1-EXP(-LN(2)/2))/(LN(2)/2)*BL41*BO41*VLOOKUP('Données projet'!$B$11,Paramètres!$A$1:$I$89,3,0)*0.475*44/12</f>
        <v>0.3868342409017767</v>
      </c>
      <c r="BS41" s="22">
        <f t="shared" si="9"/>
        <v>2.8749077525392024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108.5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13.8</v>
      </c>
      <c r="BY41" s="12">
        <f>IF('Données projet'!$A$114&gt;35,BY40+BX41-CG40,IF(A41&lt;'Données projet'!$A$114,$BV$205^A41,IF(A41='Données projet'!$A$114,'Données projet'!$B$114,BY40+BX41-CG40)))</f>
        <v>286.40000000000009</v>
      </c>
      <c r="BZ41" s="13">
        <f>BY41*VLOOKUP('Données projet'!$B$12,Paramètres!$A$1:$I$89,3,0)*VLOOKUP('Données projet'!$B$12,Paramètres!$A$1:$I$89,5,0)</f>
        <v>156.37440000000007</v>
      </c>
      <c r="CA41" s="13">
        <f t="shared" si="39"/>
        <v>40.023663524293205</v>
      </c>
      <c r="CB41" s="20">
        <f t="shared" si="10"/>
        <v>342.0599606381441</v>
      </c>
      <c r="CC41" s="59">
        <f t="shared" si="11"/>
        <v>776.55996063814405</v>
      </c>
      <c r="CD41" s="59">
        <f ca="1">AVERAGE(OFFSET($CC$3,0,0,'Données projet'!$E$12+1,1))-AVERAGE(OFFSET($H$3,0,0,'Données projet'!$E$12+1,1))</f>
        <v>279.00060755204919</v>
      </c>
      <c r="CE41" s="59">
        <f t="shared" si="40"/>
        <v>333.91128554211014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6.2312428180449704</v>
      </c>
      <c r="CL41" s="21">
        <f>EXP(-LN(2)/25)*CL40+(1-EXP(-LN(2)/25))/(LN(2)/25)*Calculateur!CG41*Calculateur!CI41*VLOOKUP('Données projet'!$B$12,Paramètres!$A$1:$I$89,3,0)*0.475*44/12</f>
        <v>22.294346324092835</v>
      </c>
      <c r="CM41" s="21">
        <f>EXP(-LN(2)/2)*CM40+(1-EXP(-LN(2)/2))/(LN(2)/2)*CG41*CJ41*VLOOKUP('Données projet'!$B$12,Paramètres!$A$1:$I$89,3,0)*0.475*44/12</f>
        <v>1.3471180460844769</v>
      </c>
      <c r="CN41" s="22">
        <f t="shared" si="12"/>
        <v>29.872707188222282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108.5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18.8</v>
      </c>
      <c r="CT41" s="12">
        <f>IF('Données projet'!$A$140&gt;35,CT40+CS41-DB40,IF(A41&lt;'Données projet'!$A$140,$CQ$205^A41,IF(A41='Données projet'!$A$140,'Données projet'!$B$140,CT40+CS41-DB40)))</f>
        <v>345.4000000000002</v>
      </c>
      <c r="CU41" s="17">
        <f>CT41*VLOOKUP('Données projet'!$B$13,Paramètres!$A$1:$I$89,3,0)*VLOOKUP('Données projet'!$B$13,Paramètres!$A$1:$I$89,5,0)</f>
        <v>206.54920000000013</v>
      </c>
      <c r="CV41" s="13">
        <f t="shared" si="41"/>
        <v>51.180773446917421</v>
      </c>
      <c r="CW41" s="20">
        <f t="shared" si="13"/>
        <v>448.87970375338136</v>
      </c>
      <c r="CX41" s="59">
        <f t="shared" si="14"/>
        <v>883.37970375338136</v>
      </c>
      <c r="CY41" s="59">
        <f ca="1">AVERAGE(OFFSET($CX$3,0,0,'Données projet'!$E$13+1,1))-AVERAGE(OFFSET($H$3,0,0,'Données projet'!$E$13+1,1))</f>
        <v>380.01315081072897</v>
      </c>
      <c r="CZ41" s="59">
        <f t="shared" si="42"/>
        <v>404.90871625409181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2.9858038503132156</v>
      </c>
      <c r="DG41" s="21">
        <f>EXP(-LN(2)/25)*DG40+(1-EXP(-LN(2)/25))/(LN(2)/25)*Calculateur!DB41*Calculateur!DD41*VLOOKUP('Données projet'!$B$13,Paramètres!$A$1:$I$89,3,0)*0.475*44/12</f>
        <v>17.094605434805207</v>
      </c>
      <c r="DH41" s="21">
        <f>EXP(-LN(2)/2)*DH40+(1-EXP(-LN(2)/2))/(LN(2)/2)*DB41*DE41*VLOOKUP('Données projet'!$B$13,Paramètres!$A$1:$I$89,3,0)*0.475*44/12</f>
        <v>1.8939583822605635</v>
      </c>
      <c r="DI41" s="22">
        <f t="shared" si="15"/>
        <v>21.974367667378985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108.5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-5.6843418860808015E-14</v>
      </c>
      <c r="DP41" s="17">
        <f>DO41*VLOOKUP('Données projet'!$B$14,Paramètres!$A$1:$I$89,3,0)*VLOOKUP('Données projet'!$B$14,Paramètres!$A$1:$I$89,5,0)</f>
        <v>-5.1431925385259088E-14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320.81451813551064</v>
      </c>
      <c r="DU41" s="59">
        <f t="shared" si="44"/>
        <v>522.80818268773976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1.5665989427676235</v>
      </c>
      <c r="EB41" s="21">
        <f>EXP(-LN(2)/25)*EB40+(1-EXP(-LN(2)/25))/(LN(2)/25)*Calculateur!DW41*Calculateur!DY41*VLOOKUP('Données projet'!$B$14,Paramètres!$A$1:$I$89,3,0)*0.475*44/12</f>
        <v>8.3519219389619259</v>
      </c>
      <c r="EC41" s="21">
        <f>EXP(-LN(2)/2)*EC40+(1-EXP(-LN(2)/2))/(LN(2)/2)*DW41*DZ41*VLOOKUP('Données projet'!$B$14,Paramètres!$A$1:$I$89,3,0)*0.475*44/12</f>
        <v>0.3743052191022766</v>
      </c>
      <c r="ED41" s="22">
        <f t="shared" si="18"/>
        <v>10.292826100831826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108.5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12.833333333333334</v>
      </c>
      <c r="EJ41" s="12">
        <f>IF('Données projet'!$A$192&gt;35,EJ40+EI41-ER40,IF(A41&lt;'Données projet'!$A$192,$EG$205^A41,IF(A41='Données projet'!$A$192,'Données projet'!$B$192,EJ40+EI41-ER40)))</f>
        <v>249.3333333333334</v>
      </c>
      <c r="EK41" s="17">
        <f>EJ41*VLOOKUP('Données projet'!$B$15,Paramètres!$A$1:$I$89,3,0)*VLOOKUP('Données projet'!$B$15,Paramètres!$A$1:$I$89,5,0)</f>
        <v>149.1013333333334</v>
      </c>
      <c r="EL41" s="13">
        <f t="shared" si="45"/>
        <v>38.37428902704788</v>
      </c>
      <c r="EM41" s="20">
        <f t="shared" si="19"/>
        <v>326.52004227766406</v>
      </c>
      <c r="EN41" s="59">
        <f t="shared" si="20"/>
        <v>761.02004227766406</v>
      </c>
      <c r="EO41" s="59">
        <f ca="1">AVERAGE(OFFSET($EN$3,0,0,'Données projet'!$E$15+1,1))-AVERAGE(OFFSET($H$3,0,0,'Données projet'!$E$15+1,1))</f>
        <v>228.3393311631487</v>
      </c>
      <c r="EP41" s="59">
        <f t="shared" si="46"/>
        <v>266.26050497804033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5.3020407566356118</v>
      </c>
      <c r="EW41" s="21">
        <f>EXP(-LN(2)/25)*EW40+(1-EXP(-LN(2)/25))/(LN(2)/25)*Calculateur!ER41*Calculateur!ET41*VLOOKUP('Données projet'!$B$15,Paramètres!$A$1:$I$89,3,0)*0.475*44/12</f>
        <v>9.8778983361462753</v>
      </c>
      <c r="EX41" s="21">
        <f>EXP(-LN(2)/2)*EX40+(1-EXP(-LN(2)/2))/(LN(2)/2)*ER41*EU41*VLOOKUP('Données projet'!$B$15,Paramètres!$A$1:$I$89,3,0)*0.475*44/12</f>
        <v>0.34035577337963457</v>
      </c>
      <c r="EY41" s="22">
        <f t="shared" si="21"/>
        <v>15.520294866161521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108.5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13.6</v>
      </c>
      <c r="FE41" s="12">
        <f>IF('Données projet'!$A$218&gt;35,FE40+FD41-FM40,IF(A41&lt;'Données projet'!$A$218,$FB$205^A41,IF(A41='Données projet'!$A$218,'Données projet'!$B$218,FE40+FD41-FM40)))</f>
        <v>211.79999999999995</v>
      </c>
      <c r="FF41" s="17">
        <f>FE41*VLOOKUP('Données projet'!$B$16,Paramètres!$A$1:$I$89,3,0)*VLOOKUP('Données projet'!$B$16,Paramètres!$A$1:$I$89,5,0)</f>
        <v>121.14959999999998</v>
      </c>
      <c r="FG41" s="13">
        <f t="shared" si="47"/>
        <v>31.942975650935612</v>
      </c>
      <c r="FH41" s="20">
        <f t="shared" si="22"/>
        <v>266.63623592537948</v>
      </c>
      <c r="FI41" s="59">
        <f t="shared" si="23"/>
        <v>701.13623592537942</v>
      </c>
      <c r="FJ41" s="59">
        <f ca="1">AVERAGE(OFFSET($FI$3,0,0,'Données projet'!$E$16+1,1))-AVERAGE(OFFSET($H$3,0,0,'Données projet'!$E$16+1,1))</f>
        <v>242.10913976205194</v>
      </c>
      <c r="FK41" s="59">
        <f t="shared" si="48"/>
        <v>198.24795425321133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8.6815122931603668</v>
      </c>
      <c r="FS41" s="21">
        <f>EXP(-LN(2)/2)*FS40+(1-EXP(-LN(2)/2))/(LN(2)/2)*FM41*FP41*VLOOKUP('Données projet'!$B$16,Paramètres!$A$1:$I$89,3,0)*0.475*44/12</f>
        <v>0.82641765958477242</v>
      </c>
      <c r="FT41" s="22">
        <f t="shared" si="24"/>
        <v>9.5079299527451386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108.5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108.5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19.073339999999995</v>
      </c>
      <c r="D42" s="11">
        <f t="shared" si="32"/>
        <v>6.2364456469878045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107.45558116791312</v>
      </c>
      <c r="H42" s="67">
        <f t="shared" si="1"/>
        <v>441.91454333517038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108.5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10.199999999999999</v>
      </c>
      <c r="N42" s="13">
        <f>IF('Données projet'!$A$36&gt;35,N41+M42-V41,IF(A42&lt;'Données projet'!$A$36,$K$205^A42,IF(A42='Données projet'!$A$36,'Données projet'!$B$36,N41+M42-V41)))</f>
        <v>209.79999999999987</v>
      </c>
      <c r="O42" s="13">
        <f>N42*VLOOKUP('Données projet'!$B$9,Paramètres!$A$1:$I$89,3,0)*VLOOKUP('Données projet'!$B$9,Paramètres!$A$1:$I$89,5,0)</f>
        <v>170.18975999999989</v>
      </c>
      <c r="P42" s="13">
        <f t="shared" si="33"/>
        <v>43.132520752965824</v>
      </c>
      <c r="Q42" s="20">
        <f t="shared" si="53"/>
        <v>371.53630564474861</v>
      </c>
      <c r="R42" s="59">
        <f t="shared" si="0"/>
        <v>806.03630564474861</v>
      </c>
      <c r="S42" s="59">
        <f ca="1">AVERAGE(OFFSET($R$3,0,0,'Données projet'!$E$9+1,1))-AVERAGE(OFFSET($H$3,0,0,'Données projet'!$E$9+1,1))</f>
        <v>273.89826011924487</v>
      </c>
      <c r="T42" s="59">
        <f t="shared" si="34"/>
        <v>332.17519939974227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6.6278671853384701</v>
      </c>
      <c r="AB42" s="21">
        <f>EXP(-LN(2)/2)*AB41+(1-EXP(-LN(2)/2))/(LN(2)/2)*V42*Y42*VLOOKUP('Données projet'!$B$9,Paramètres!$A$1:$I$89,3,0)*0.475*44/12</f>
        <v>0.48492363680271194</v>
      </c>
      <c r="AC42" s="22">
        <f t="shared" si="3"/>
        <v>7.1127908221411822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108.5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10.000000000000004</v>
      </c>
      <c r="AI42" s="13">
        <f>IF('Données projet'!$A$62&gt;35,AI41+AH42-AQ41,IF(A42&lt;'Données projet'!$A$62,$AF$205^A42,IF(A42='Données projet'!$A$62,'Données projet'!$B$62,AI41+AH42-AQ41)))</f>
        <v>281.59999999999991</v>
      </c>
      <c r="AJ42" s="13">
        <f>AI42*VLOOKUP('Données projet'!$B$10,Paramètres!$A$1:$I$89,3,0)*VLOOKUP('Données projet'!$B$10,Paramètres!$A$1:$I$89,5,0)</f>
        <v>131.78879999999995</v>
      </c>
      <c r="AK42" s="13">
        <f t="shared" si="35"/>
        <v>34.409369159409614</v>
      </c>
      <c r="AL42" s="20">
        <f t="shared" si="4"/>
        <v>289.46181128597163</v>
      </c>
      <c r="AM42" s="59">
        <f t="shared" si="5"/>
        <v>723.96181128597163</v>
      </c>
      <c r="AN42" s="59">
        <f ca="1">AVERAGE(OFFSET($AM$3,0,0,'Données projet'!$E$10+1,1))-AVERAGE(OFFSET($H$3,0,0,'Données projet'!$E$10+1,1))</f>
        <v>293.42903587188346</v>
      </c>
      <c r="AO42" s="59">
        <f t="shared" si="36"/>
        <v>267.80827667062124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2.6228404150285667</v>
      </c>
      <c r="AV42" s="21">
        <f>EXP(-LN(2)/25)*AV41+(1-EXP(-LN(2)/25))/(LN(2)/25)*Calculateur!AQ42*Calculateur!AS42*VLOOKUP('Données projet'!$B$10,Paramètres!$A$1:$I$89,3,0)*0.475*44/12</f>
        <v>6.1206995814171732</v>
      </c>
      <c r="AW42" s="21">
        <f>EXP(-LN(2)/2)*AW41+(1-EXP(-LN(2)/2))/(LN(2)/2)*AQ42*AT42*VLOOKUP('Données projet'!$B$10,Paramètres!$A$1:$I$89,3,0)*0.475*44/12</f>
        <v>0.43452491644001107</v>
      </c>
      <c r="AX42" s="21">
        <f t="shared" si="6"/>
        <v>9.1780649128857519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108.5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8.1999999999999993</v>
      </c>
      <c r="BD42" s="12">
        <f>IF('Données projet'!$A$88&gt;35,BD41+BC42-BL41,IF(A42&lt;'Données projet'!$A$88,$BA$205^A42,IF(A42='Données projet'!$A$88,'Données projet'!$B$88,BD41+BC42-BL41)))</f>
        <v>149.79999999999995</v>
      </c>
      <c r="BE42" s="13">
        <f>BD42*VLOOKUP('Données projet'!$B$11,Paramètres!$A$1:$I$89,3,0)*VLOOKUP('Données projet'!$B$11,Paramètres!$A$1:$I$89,5,0)</f>
        <v>135.53903999999997</v>
      </c>
      <c r="BF42" s="13">
        <f t="shared" si="37"/>
        <v>35.273144164630104</v>
      </c>
      <c r="BG42" s="20">
        <f t="shared" si="7"/>
        <v>297.49788742006405</v>
      </c>
      <c r="BH42" s="59">
        <f t="shared" si="8"/>
        <v>731.99788742006399</v>
      </c>
      <c r="BI42" s="59">
        <f ca="1">AVERAGE(OFFSET($BH$3,0,0,'Données projet'!$E$11+1,1))-AVERAGE(OFFSET($H$3,0,0,'Données projet'!$E$11+1,1))</f>
        <v>324.41828402031939</v>
      </c>
      <c r="BJ42" s="59">
        <f t="shared" si="38"/>
        <v>233.01060088065992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2.420037010619601</v>
      </c>
      <c r="BR42" s="21">
        <f>EXP(-LN(2)/2)*BR41+(1-EXP(-LN(2)/2))/(LN(2)/2)*BL42*BO42*VLOOKUP('Données projet'!$B$11,Paramètres!$A$1:$I$89,3,0)*0.475*44/12</f>
        <v>0.27353311493679683</v>
      </c>
      <c r="BS42" s="22">
        <f t="shared" si="9"/>
        <v>2.693570125556398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108.5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13.8</v>
      </c>
      <c r="BY42" s="12">
        <f>IF('Données projet'!$A$114&gt;35,BY41+BX42-CG41,IF(A42&lt;'Données projet'!$A$114,$BV$205^A42,IF(A42='Données projet'!$A$114,'Données projet'!$B$114,BY41+BX42-CG41)))</f>
        <v>300.2000000000001</v>
      </c>
      <c r="BZ42" s="13">
        <f>BY42*VLOOKUP('Données projet'!$B$12,Paramètres!$A$1:$I$89,3,0)*VLOOKUP('Données projet'!$B$12,Paramètres!$A$1:$I$89,5,0)</f>
        <v>163.90920000000006</v>
      </c>
      <c r="CA42" s="13">
        <f t="shared" si="39"/>
        <v>41.723003836805745</v>
      </c>
      <c r="CB42" s="20">
        <f t="shared" si="10"/>
        <v>358.14275501577009</v>
      </c>
      <c r="CC42" s="59">
        <f t="shared" si="11"/>
        <v>792.64275501577004</v>
      </c>
      <c r="CD42" s="59">
        <f ca="1">AVERAGE(OFFSET($CC$3,0,0,'Données projet'!$E$12+1,1))-AVERAGE(OFFSET($H$3,0,0,'Données projet'!$E$12+1,1))</f>
        <v>279.00060755204919</v>
      </c>
      <c r="CE42" s="59">
        <f t="shared" si="40"/>
        <v>333.91128554211014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6.1090519470659412</v>
      </c>
      <c r="CL42" s="21">
        <f>EXP(-LN(2)/25)*CL41+(1-EXP(-LN(2)/25))/(LN(2)/25)*Calculateur!CG42*Calculateur!CI42*VLOOKUP('Données projet'!$B$12,Paramètres!$A$1:$I$89,3,0)*0.475*44/12</f>
        <v>21.684706251451797</v>
      </c>
      <c r="CM42" s="21">
        <f>EXP(-LN(2)/2)*CM41+(1-EXP(-LN(2)/2))/(LN(2)/2)*CG42*CJ42*VLOOKUP('Données projet'!$B$12,Paramètres!$A$1:$I$89,3,0)*0.475*44/12</f>
        <v>0.95255630544510572</v>
      </c>
      <c r="CN42" s="22">
        <f t="shared" si="12"/>
        <v>28.746314503962843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108.5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18.8</v>
      </c>
      <c r="CT42" s="12">
        <f>IF('Données projet'!$A$140&gt;35,CT41+CS42-DB41,IF(A42&lt;'Données projet'!$A$140,$CQ$205^A42,IF(A42='Données projet'!$A$140,'Données projet'!$B$140,CT41+CS42-DB41)))</f>
        <v>364.20000000000022</v>
      </c>
      <c r="CU42" s="17">
        <f>CT42*VLOOKUP('Données projet'!$B$13,Paramètres!$A$1:$I$89,3,0)*VLOOKUP('Données projet'!$B$13,Paramètres!$A$1:$I$89,5,0)</f>
        <v>217.79160000000013</v>
      </c>
      <c r="CV42" s="13">
        <f t="shared" si="41"/>
        <v>53.634619420976733</v>
      </c>
      <c r="CW42" s="20">
        <f t="shared" si="13"/>
        <v>472.73399882486802</v>
      </c>
      <c r="CX42" s="59">
        <f t="shared" si="14"/>
        <v>907.23399882486797</v>
      </c>
      <c r="CY42" s="59">
        <f ca="1">AVERAGE(OFFSET($CX$3,0,0,'Données projet'!$E$13+1,1))-AVERAGE(OFFSET($H$3,0,0,'Données projet'!$E$13+1,1))</f>
        <v>380.01315081072897</v>
      </c>
      <c r="CZ42" s="59">
        <f t="shared" si="42"/>
        <v>404.90871625409181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2.9272540579690975</v>
      </c>
      <c r="DG42" s="21">
        <f>EXP(-LN(2)/25)*DG41+(1-EXP(-LN(2)/25))/(LN(2)/25)*Calculateur!DB42*Calculateur!DD42*VLOOKUP('Données projet'!$B$13,Paramètres!$A$1:$I$89,3,0)*0.475*44/12</f>
        <v>16.627152550224228</v>
      </c>
      <c r="DH42" s="21">
        <f>EXP(-LN(2)/2)*DH41+(1-EXP(-LN(2)/2))/(LN(2)/2)*DB42*DE42*VLOOKUP('Données projet'!$B$13,Paramètres!$A$1:$I$89,3,0)*0.475*44/12</f>
        <v>1.3392308153815478</v>
      </c>
      <c r="DI42" s="22">
        <f t="shared" si="15"/>
        <v>20.893637423574873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108.5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-5.6843418860808015E-14</v>
      </c>
      <c r="DP42" s="17">
        <f>DO42*VLOOKUP('Données projet'!$B$14,Paramètres!$A$1:$I$89,3,0)*VLOOKUP('Données projet'!$B$14,Paramètres!$A$1:$I$89,5,0)</f>
        <v>-5.1431925385259088E-14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320.81451813551064</v>
      </c>
      <c r="DU42" s="59">
        <f t="shared" si="44"/>
        <v>522.80818268773976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1.5358788930309546</v>
      </c>
      <c r="EB42" s="21">
        <f>EXP(-LN(2)/25)*EB41+(1-EXP(-LN(2)/25))/(LN(2)/25)*Calculateur!DW42*Calculateur!DY42*VLOOKUP('Données projet'!$B$14,Paramètres!$A$1:$I$89,3,0)*0.475*44/12</f>
        <v>8.1235381943325251</v>
      </c>
      <c r="EC42" s="21">
        <f>EXP(-LN(2)/2)*EC41+(1-EXP(-LN(2)/2))/(LN(2)/2)*DW42*DZ42*VLOOKUP('Données projet'!$B$14,Paramètres!$A$1:$I$89,3,0)*0.475*44/12</f>
        <v>0.26467375866073622</v>
      </c>
      <c r="ED42" s="22">
        <f t="shared" si="18"/>
        <v>9.9240908460242157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108.5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12.833333333333334</v>
      </c>
      <c r="EJ42" s="12">
        <f>IF('Données projet'!$A$192&gt;35,EJ41+EI42-ER41,IF(A42&lt;'Données projet'!$A$192,$EG$205^A42,IF(A42='Données projet'!$A$192,'Données projet'!$B$192,EJ41+EI42-ER41)))</f>
        <v>262.16666666666674</v>
      </c>
      <c r="EK42" s="17">
        <f>EJ42*VLOOKUP('Données projet'!$B$15,Paramètres!$A$1:$I$89,3,0)*VLOOKUP('Données projet'!$B$15,Paramètres!$A$1:$I$89,5,0)</f>
        <v>156.77566666666672</v>
      </c>
      <c r="EL42" s="13">
        <f t="shared" si="45"/>
        <v>40.114398592763365</v>
      </c>
      <c r="EM42" s="20">
        <f t="shared" si="19"/>
        <v>342.9168636601741</v>
      </c>
      <c r="EN42" s="59">
        <f t="shared" si="20"/>
        <v>777.41686366017416</v>
      </c>
      <c r="EO42" s="59">
        <f ca="1">AVERAGE(OFFSET($EN$3,0,0,'Données projet'!$E$15+1,1))-AVERAGE(OFFSET($H$3,0,0,'Données projet'!$E$15+1,1))</f>
        <v>228.3393311631487</v>
      </c>
      <c r="EP42" s="59">
        <f t="shared" si="46"/>
        <v>266.26050497804033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5.1980709713235251</v>
      </c>
      <c r="EW42" s="21">
        <f>EXP(-LN(2)/25)*EW41+(1-EXP(-LN(2)/25))/(LN(2)/25)*Calculateur!ER42*Calculateur!ET42*VLOOKUP('Données projet'!$B$15,Paramètres!$A$1:$I$89,3,0)*0.475*44/12</f>
        <v>9.6077866866882573</v>
      </c>
      <c r="EX42" s="21">
        <f>EXP(-LN(2)/2)*EX41+(1-EXP(-LN(2)/2))/(LN(2)/2)*ER42*EU42*VLOOKUP('Données projet'!$B$15,Paramètres!$A$1:$I$89,3,0)*0.475*44/12</f>
        <v>0.24066787537273143</v>
      </c>
      <c r="EY42" s="22">
        <f t="shared" si="21"/>
        <v>15.046525533384512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108.5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13.6</v>
      </c>
      <c r="FE42" s="12">
        <f>IF('Données projet'!$A$218&gt;35,FE41+FD42-FM41,IF(A42&lt;'Données projet'!$A$218,$FB$205^A42,IF(A42='Données projet'!$A$218,'Données projet'!$B$218,FE41+FD42-FM41)))</f>
        <v>225.39999999999995</v>
      </c>
      <c r="FF42" s="17">
        <f>FE42*VLOOKUP('Données projet'!$B$16,Paramètres!$A$1:$I$89,3,0)*VLOOKUP('Données projet'!$B$16,Paramètres!$A$1:$I$89,5,0)</f>
        <v>128.92879999999997</v>
      </c>
      <c r="FG42" s="13">
        <f t="shared" si="47"/>
        <v>33.748717393921957</v>
      </c>
      <c r="FH42" s="20">
        <f t="shared" si="22"/>
        <v>283.33000946108069</v>
      </c>
      <c r="FI42" s="59">
        <f t="shared" si="23"/>
        <v>717.83000946108064</v>
      </c>
      <c r="FJ42" s="59">
        <f ca="1">AVERAGE(OFFSET($FI$3,0,0,'Données projet'!$E$16+1,1))-AVERAGE(OFFSET($H$3,0,0,'Données projet'!$E$16+1,1))</f>
        <v>242.10913976205194</v>
      </c>
      <c r="FK42" s="59">
        <f t="shared" si="48"/>
        <v>198.24795425321133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8.4441158829630076</v>
      </c>
      <c r="FS42" s="21">
        <f>EXP(-LN(2)/2)*FS41+(1-EXP(-LN(2)/2))/(LN(2)/2)*FM42*FP42*VLOOKUP('Données projet'!$B$16,Paramètres!$A$1:$I$89,3,0)*0.475*44/12</f>
        <v>0.58436553118470846</v>
      </c>
      <c r="FT42" s="22">
        <f t="shared" si="24"/>
        <v>9.0284814141477163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108.5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108.5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19.562399999999993</v>
      </c>
      <c r="D43" s="11">
        <f t="shared" si="32"/>
        <v>6.3775322468881059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110.13094041661265</v>
      </c>
      <c r="H43" s="67">
        <f t="shared" si="1"/>
        <v>443.01204866333006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108.5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220</v>
      </c>
      <c r="L43" s="12">
        <f>VLOOKUP(A43,'Données projet'!$A$35:$I$55,9,0)</f>
        <v>10.199999999999999</v>
      </c>
      <c r="M43" s="12">
        <f t="array" ref="M43">INDEX(L:L,MIN(IF(ISNUMBER(L43:L239),ROW(L43:L239),"")))</f>
        <v>10.199999999999999</v>
      </c>
      <c r="N43" s="13">
        <f>IF('Données projet'!$A$36&gt;35,N42+M43-V42,IF(A43&lt;'Données projet'!$A$36,$K$205^A43,IF(A43='Données projet'!$A$36,'Données projet'!$B$36,N42+M43-V42)))</f>
        <v>219.99999999999986</v>
      </c>
      <c r="O43" s="13">
        <f>N43*VLOOKUP('Données projet'!$B$9,Paramètres!$A$1:$I$89,3,0)*VLOOKUP('Données projet'!$B$9,Paramètres!$A$1:$I$89,5,0)</f>
        <v>178.46399999999991</v>
      </c>
      <c r="P43" s="13">
        <f t="shared" si="33"/>
        <v>44.980284206661821</v>
      </c>
      <c r="Q43" s="20">
        <f t="shared" si="53"/>
        <v>389.16546165993583</v>
      </c>
      <c r="R43" s="59">
        <f t="shared" si="0"/>
        <v>823.66546165993577</v>
      </c>
      <c r="S43" s="59">
        <f ca="1">AVERAGE(OFFSET($R$3,0,0,'Données projet'!$E$9+1,1))-AVERAGE(OFFSET($H$3,0,0,'Données projet'!$E$9+1,1))</f>
        <v>273.89826011924487</v>
      </c>
      <c r="T43" s="59">
        <f t="shared" si="34"/>
        <v>332.17519939974227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56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6.4466278086110025</v>
      </c>
      <c r="AB43" s="21">
        <f>EXP(-LN(2)/2)*AB42+(1-EXP(-LN(2)/2))/(LN(2)/2)*V43*Y43*VLOOKUP('Données projet'!$B$9,Paramètres!$A$1:$I$89,3,0)*0.475*44/12</f>
        <v>0.3428927919408401</v>
      </c>
      <c r="AC43" s="22">
        <f t="shared" si="3"/>
        <v>6.7895206005518425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108.5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291.60000000000002</v>
      </c>
      <c r="AG43" s="12">
        <f>VLOOKUP(A43,'Données projet'!$A$61:$I$81,9,0)</f>
        <v>10.000000000000004</v>
      </c>
      <c r="AH43" s="12">
        <f t="array" ref="AH43">INDEX(AG:AG,MIN(IF(ISNUMBER(AG43:AG239),ROW(AG43:AG239),"")))</f>
        <v>10.000000000000004</v>
      </c>
      <c r="AI43" s="13">
        <f>IF('Données projet'!$A$62&gt;35,AI42+AH43-AQ42,IF(A43&lt;'Données projet'!$A$62,$AF$205^A43,IF(A43='Données projet'!$A$62,'Données projet'!$B$62,AI42+AH43-AQ42)))</f>
        <v>291.59999999999991</v>
      </c>
      <c r="AJ43" s="13">
        <f>AI43*VLOOKUP('Données projet'!$B$10,Paramètres!$A$1:$I$89,3,0)*VLOOKUP('Données projet'!$B$10,Paramètres!$A$1:$I$89,5,0)</f>
        <v>136.46879999999996</v>
      </c>
      <c r="AK43" s="13">
        <f t="shared" si="35"/>
        <v>35.486858352195874</v>
      </c>
      <c r="AL43" s="20">
        <f t="shared" si="4"/>
        <v>299.48943829674107</v>
      </c>
      <c r="AM43" s="59">
        <f t="shared" si="5"/>
        <v>733.98943829674113</v>
      </c>
      <c r="AN43" s="59">
        <f ca="1">AVERAGE(OFFSET($AM$3,0,0,'Données projet'!$E$10+1,1))-AVERAGE(OFFSET($H$3,0,0,'Données projet'!$E$10+1,1))</f>
        <v>293.42903587188346</v>
      </c>
      <c r="AO43" s="59">
        <f t="shared" si="36"/>
        <v>267.80827667062124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83.4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2.5714081142645449</v>
      </c>
      <c r="AV43" s="21">
        <f>EXP(-LN(2)/25)*AV42+(1-EXP(-LN(2)/25))/(LN(2)/25)*Calculateur!AQ43*Calculateur!AS43*VLOOKUP('Données projet'!$B$10,Paramètres!$A$1:$I$89,3,0)*0.475*44/12</f>
        <v>5.9533287294897184</v>
      </c>
      <c r="AW43" s="21">
        <f>EXP(-LN(2)/2)*AW42+(1-EXP(-LN(2)/2))/(LN(2)/2)*AQ43*AT43*VLOOKUP('Données projet'!$B$10,Paramètres!$A$1:$I$89,3,0)*0.475*44/12</f>
        <v>0.30725551500924975</v>
      </c>
      <c r="AX43" s="21">
        <f t="shared" si="6"/>
        <v>8.8319923587635127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108.5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158</v>
      </c>
      <c r="BB43" s="12">
        <f>VLOOKUP(A43,'Données projet'!$A$87:$I$107,9,0)</f>
        <v>8.1999999999999993</v>
      </c>
      <c r="BC43" s="12">
        <f t="array" ref="BC43">INDEX(BB:BB,MIN(IF(ISNUMBER(BB43:BB239),ROW(BB43:BB239),"")))</f>
        <v>8.1999999999999993</v>
      </c>
      <c r="BD43" s="12">
        <f>IF('Données projet'!$A$88&gt;35,BD42+BC43-BL42,IF(A43&lt;'Données projet'!$A$88,$BA$205^A43,IF(A43='Données projet'!$A$88,'Données projet'!$B$88,BD42+BC43-BL42)))</f>
        <v>157.99999999999994</v>
      </c>
      <c r="BE43" s="13">
        <f>BD43*VLOOKUP('Données projet'!$B$11,Paramètres!$A$1:$I$89,3,0)*VLOOKUP('Données projet'!$B$11,Paramètres!$A$1:$I$89,5,0)</f>
        <v>142.95839999999993</v>
      </c>
      <c r="BF43" s="13">
        <f t="shared" si="37"/>
        <v>36.973906370811264</v>
      </c>
      <c r="BG43" s="20">
        <f t="shared" si="7"/>
        <v>313.38210026249618</v>
      </c>
      <c r="BH43" s="59">
        <f t="shared" si="8"/>
        <v>747.88210026249612</v>
      </c>
      <c r="BI43" s="59">
        <f ca="1">AVERAGE(OFFSET($BH$3,0,0,'Données projet'!$E$11+1,1))-AVERAGE(OFFSET($H$3,0,0,'Données projet'!$E$11+1,1))</f>
        <v>324.41828402031939</v>
      </c>
      <c r="BJ43" s="59">
        <f t="shared" si="38"/>
        <v>233.01060088065992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42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2.3538609712999925</v>
      </c>
      <c r="BR43" s="21">
        <f>EXP(-LN(2)/2)*BR42+(1-EXP(-LN(2)/2))/(LN(2)/2)*BL43*BO43*VLOOKUP('Données projet'!$B$11,Paramètres!$A$1:$I$89,3,0)*0.475*44/12</f>
        <v>0.19341712045088835</v>
      </c>
      <c r="BS43" s="22">
        <f t="shared" si="9"/>
        <v>2.547278091750881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108.5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314</v>
      </c>
      <c r="BW43" s="12">
        <f>VLOOKUP(A43,'Données projet'!$A$113:$I$133,9,0)</f>
        <v>13.8</v>
      </c>
      <c r="BX43" s="12">
        <f t="array" ref="BX43">INDEX(BW:BW,MIN(IF(ISNUMBER(BW43:BW239),ROW(BW43:BW239),"")))</f>
        <v>13.8</v>
      </c>
      <c r="BY43" s="12">
        <f>IF('Données projet'!$A$114&gt;35,BY42+BX43-CG42,IF(A43&lt;'Données projet'!$A$114,$BV$205^A43,IF(A43='Données projet'!$A$114,'Données projet'!$B$114,BY42+BX43-CG42)))</f>
        <v>314.00000000000011</v>
      </c>
      <c r="BZ43" s="13">
        <f>BY43*VLOOKUP('Données projet'!$B$12,Paramètres!$A$1:$I$89,3,0)*VLOOKUP('Données projet'!$B$12,Paramètres!$A$1:$I$89,5,0)</f>
        <v>171.44400000000007</v>
      </c>
      <c r="CA43" s="13">
        <f t="shared" si="39"/>
        <v>43.413272173627242</v>
      </c>
      <c r="CB43" s="20">
        <f t="shared" si="10"/>
        <v>374.20974903573421</v>
      </c>
      <c r="CC43" s="59">
        <f t="shared" si="11"/>
        <v>808.70974903573415</v>
      </c>
      <c r="CD43" s="59">
        <f ca="1">AVERAGE(OFFSET($CC$3,0,0,'Données projet'!$E$12+1,1))-AVERAGE(OFFSET($H$3,0,0,'Données projet'!$E$12+1,1))</f>
        <v>279.00060755204919</v>
      </c>
      <c r="CE43" s="59">
        <f t="shared" si="40"/>
        <v>333.91128554211014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80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5.9892571645377384</v>
      </c>
      <c r="CL43" s="21">
        <f>EXP(-LN(2)/25)*CL42+(1-EXP(-LN(2)/25))/(LN(2)/25)*Calculateur!CG43*Calculateur!CI43*VLOOKUP('Données projet'!$B$12,Paramètres!$A$1:$I$89,3,0)*0.475*44/12</f>
        <v>21.091736818656706</v>
      </c>
      <c r="CM43" s="21">
        <f>EXP(-LN(2)/2)*CM42+(1-EXP(-LN(2)/2))/(LN(2)/2)*CG43*CJ43*VLOOKUP('Données projet'!$B$12,Paramètres!$A$1:$I$89,3,0)*0.475*44/12</f>
        <v>0.67355902304223858</v>
      </c>
      <c r="CN43" s="22">
        <f t="shared" si="12"/>
        <v>27.754553006236684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108.5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383</v>
      </c>
      <c r="CR43" s="12">
        <f>VLOOKUP(A43,'Données projet'!$A$139:$I$159,9,0)</f>
        <v>18.8</v>
      </c>
      <c r="CS43" s="12">
        <f t="array" ref="CS43">INDEX(CR:CR,MIN(IF(ISNUMBER(CR43:CR239),ROW(CR43:CR239),"")))</f>
        <v>18.8</v>
      </c>
      <c r="CT43" s="12">
        <f>IF('Données projet'!$A$140&gt;35,CT42+CS43-DB42,IF(A43&lt;'Données projet'!$A$140,$CQ$205^A43,IF(A43='Données projet'!$A$140,'Données projet'!$B$140,CT42+CS43-DB42)))</f>
        <v>383.00000000000023</v>
      </c>
      <c r="CU43" s="17">
        <f>CT43*VLOOKUP('Données projet'!$B$13,Paramètres!$A$1:$I$89,3,0)*VLOOKUP('Données projet'!$B$13,Paramètres!$A$1:$I$89,5,0)</f>
        <v>229.03400000000016</v>
      </c>
      <c r="CV43" s="13">
        <f t="shared" si="41"/>
        <v>56.073758609460775</v>
      </c>
      <c r="CW43" s="20">
        <f t="shared" si="13"/>
        <v>496.56267957814447</v>
      </c>
      <c r="CX43" s="59">
        <f t="shared" si="14"/>
        <v>931.06267957814453</v>
      </c>
      <c r="CY43" s="59">
        <f ca="1">AVERAGE(OFFSET($CX$3,0,0,'Données projet'!$E$13+1,1))-AVERAGE(OFFSET($H$3,0,0,'Données projet'!$E$13+1,1))</f>
        <v>380.01315081072897</v>
      </c>
      <c r="CZ43" s="59">
        <f t="shared" si="42"/>
        <v>404.90871625409181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98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2.8698523913410003</v>
      </c>
      <c r="DG43" s="21">
        <f>EXP(-LN(2)/25)*DG42+(1-EXP(-LN(2)/25))/(LN(2)/25)*Calculateur!DB43*Calculateur!DD43*VLOOKUP('Données projet'!$B$13,Paramètres!$A$1:$I$89,3,0)*0.475*44/12</f>
        <v>16.172482189354394</v>
      </c>
      <c r="DH43" s="21">
        <f>EXP(-LN(2)/2)*DH42+(1-EXP(-LN(2)/2))/(LN(2)/2)*DB43*DE43*VLOOKUP('Données projet'!$B$13,Paramètres!$A$1:$I$89,3,0)*0.475*44/12</f>
        <v>0.94697919113028173</v>
      </c>
      <c r="DI43" s="22">
        <f t="shared" si="15"/>
        <v>19.989313771825678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108.5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-5.6843418860808015E-14</v>
      </c>
      <c r="DP43" s="17">
        <f>DO43*VLOOKUP('Données projet'!$B$14,Paramètres!$A$1:$I$89,3,0)*VLOOKUP('Données projet'!$B$14,Paramètres!$A$1:$I$89,5,0)</f>
        <v>-5.1431925385259088E-14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320.81451813551064</v>
      </c>
      <c r="DU43" s="59">
        <f t="shared" si="44"/>
        <v>522.80818268773976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1.5057612447322417</v>
      </c>
      <c r="EB43" s="21">
        <f>EXP(-LN(2)/25)*EB42+(1-EXP(-LN(2)/25))/(LN(2)/25)*Calculateur!DW43*Calculateur!DY43*VLOOKUP('Données projet'!$B$14,Paramètres!$A$1:$I$89,3,0)*0.475*44/12</f>
        <v>7.9013996152101953</v>
      </c>
      <c r="EC43" s="21">
        <f>EXP(-LN(2)/2)*EC42+(1-EXP(-LN(2)/2))/(LN(2)/2)*DW43*DZ43*VLOOKUP('Données projet'!$B$14,Paramètres!$A$1:$I$89,3,0)*0.475*44/12</f>
        <v>0.1871526095511383</v>
      </c>
      <c r="ED43" s="22">
        <f t="shared" si="18"/>
        <v>9.5943134694935743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108.5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275</v>
      </c>
      <c r="EH43" s="12">
        <f>VLOOKUP(A43,'Données projet'!$A$191:$I$211,9,0)</f>
        <v>12.833333333333334</v>
      </c>
      <c r="EI43" s="12">
        <f t="array" ref="EI43">INDEX(EH:EH,MIN(IF(ISNUMBER(EH43:EH239),ROW(EH43:EH239),"")))</f>
        <v>12.833333333333334</v>
      </c>
      <c r="EJ43" s="12">
        <f>IF('Données projet'!$A$192&gt;35,EJ42+EI43-ER42,IF(A43&lt;'Données projet'!$A$192,$EG$205^A43,IF(A43='Données projet'!$A$192,'Données projet'!$B$192,EJ42+EI43-ER42)))</f>
        <v>275.00000000000006</v>
      </c>
      <c r="EK43" s="17">
        <f>EJ43*VLOOKUP('Données projet'!$B$15,Paramètres!$A$1:$I$89,3,0)*VLOOKUP('Données projet'!$B$15,Paramètres!$A$1:$I$89,5,0)</f>
        <v>164.45000000000005</v>
      </c>
      <c r="EL43" s="13">
        <f t="shared" si="45"/>
        <v>41.844617207687371</v>
      </c>
      <c r="EM43" s="20">
        <f t="shared" si="19"/>
        <v>359.29645830338887</v>
      </c>
      <c r="EN43" s="59">
        <f t="shared" si="20"/>
        <v>793.79645830338882</v>
      </c>
      <c r="EO43" s="59">
        <f ca="1">AVERAGE(OFFSET($EN$3,0,0,'Données projet'!$E$15+1,1))-AVERAGE(OFFSET($H$3,0,0,'Données projet'!$E$15+1,1))</f>
        <v>228.3393311631487</v>
      </c>
      <c r="EP43" s="59">
        <f t="shared" si="46"/>
        <v>266.26050497804033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41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5.0961399700861012</v>
      </c>
      <c r="EW43" s="21">
        <f>EXP(-LN(2)/25)*EW42+(1-EXP(-LN(2)/25))/(LN(2)/25)*Calculateur!ER43*Calculateur!ET43*VLOOKUP('Données projet'!$B$15,Paramètres!$A$1:$I$89,3,0)*0.475*44/12</f>
        <v>9.3450612544892238</v>
      </c>
      <c r="EX43" s="21">
        <f>EXP(-LN(2)/2)*EX42+(1-EXP(-LN(2)/2))/(LN(2)/2)*ER43*EU43*VLOOKUP('Données projet'!$B$15,Paramètres!$A$1:$I$89,3,0)*0.475*44/12</f>
        <v>0.17017788668981731</v>
      </c>
      <c r="EY43" s="22">
        <f t="shared" si="21"/>
        <v>14.611379111265142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108.5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239</v>
      </c>
      <c r="FC43" s="12">
        <f>VLOOKUP(A43,'Données projet'!$A$217:$I$237,9,0)</f>
        <v>13.6</v>
      </c>
      <c r="FD43" s="12">
        <f t="array" ref="FD43">INDEX(FC:FC,MIN(IF(ISNUMBER(FC43:FC239),ROW(FC43:FC239),"")))</f>
        <v>13.6</v>
      </c>
      <c r="FE43" s="12">
        <f>IF('Données projet'!$A$218&gt;35,FE42+FD43-FM42,IF(A43&lt;'Données projet'!$A$218,$FB$205^A43,IF(A43='Données projet'!$A$218,'Données projet'!$B$218,FE42+FD43-FM42)))</f>
        <v>238.99999999999994</v>
      </c>
      <c r="FF43" s="17">
        <f>FE43*VLOOKUP('Données projet'!$B$16,Paramètres!$A$1:$I$89,3,0)*VLOOKUP('Données projet'!$B$16,Paramètres!$A$1:$I$89,5,0)</f>
        <v>136.70799999999997</v>
      </c>
      <c r="FG43" s="13">
        <f t="shared" si="47"/>
        <v>35.541813298291899</v>
      </c>
      <c r="FH43" s="20">
        <f t="shared" si="22"/>
        <v>300.00175816119173</v>
      </c>
      <c r="FI43" s="59">
        <f t="shared" si="23"/>
        <v>734.50175816119167</v>
      </c>
      <c r="FJ43" s="59">
        <f ca="1">AVERAGE(OFFSET($FI$3,0,0,'Données projet'!$E$16+1,1))-AVERAGE(OFFSET($H$3,0,0,'Données projet'!$E$16+1,1))</f>
        <v>242.10913976205194</v>
      </c>
      <c r="FK43" s="59">
        <f t="shared" si="48"/>
        <v>198.24795425321133</v>
      </c>
      <c r="FL43" s="15">
        <f>IF(ISNA(VLOOKUP(A43,'Données projet'!$A$217:$I$237,3,0)),0,VLOOKUP(A43,'Données projet'!$A$217:$I$237,3,0))</f>
        <v>3</v>
      </c>
      <c r="FM43" s="15">
        <f>IF(ISNA(VLOOKUP(A43,'Données projet'!$A$217:$I$237,4,0)),0,VLOOKUP(A43,'Données projet'!$A$217:$I$237,4,0))</f>
        <v>70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8.2132110900866291</v>
      </c>
      <c r="FS43" s="21">
        <f>EXP(-LN(2)/2)*FS42+(1-EXP(-LN(2)/2))/(LN(2)/2)*FM43*FP43*VLOOKUP('Données projet'!$B$16,Paramètres!$A$1:$I$89,3,0)*0.475*44/12</f>
        <v>0.41320882979238627</v>
      </c>
      <c r="FT43" s="22">
        <f t="shared" si="24"/>
        <v>8.6264199198790159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108.5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108.5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20.051459999999992</v>
      </c>
      <c r="D44" s="11">
        <f t="shared" si="32"/>
        <v>6.5182088364351829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112.80455891960197</v>
      </c>
      <c r="H44" s="67">
        <f t="shared" si="1"/>
        <v>444.10883989012456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108.5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7.7</v>
      </c>
      <c r="N44" s="13">
        <f>IF('Données projet'!$A$36&gt;35,N43+M44-V43,IF(A44&lt;'Données projet'!$A$36,$K$205^A44,IF(A44='Données projet'!$A$36,'Données projet'!$B$36,N43+M44-V43)))</f>
        <v>171.69999999999985</v>
      </c>
      <c r="O44" s="13">
        <f>N44*VLOOKUP('Données projet'!$B$9,Paramètres!$A$1:$I$89,3,0)*VLOOKUP('Données projet'!$B$9,Paramètres!$A$1:$I$89,5,0)</f>
        <v>139.28303999999989</v>
      </c>
      <c r="P44" s="13">
        <f t="shared" si="33"/>
        <v>36.132710979898413</v>
      </c>
      <c r="Q44" s="20">
        <f t="shared" si="53"/>
        <v>305.51576628998953</v>
      </c>
      <c r="R44" s="59">
        <f t="shared" si="0"/>
        <v>740.01576628998953</v>
      </c>
      <c r="S44" s="59">
        <f ca="1">AVERAGE(OFFSET($R$3,0,0,'Données projet'!$E$9+1,1))-AVERAGE(OFFSET($H$3,0,0,'Données projet'!$E$9+1,1))</f>
        <v>273.89826011924487</v>
      </c>
      <c r="T44" s="59">
        <f t="shared" si="34"/>
        <v>332.17519939974227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6.2703444321711119</v>
      </c>
      <c r="AB44" s="21">
        <f>EXP(-LN(2)/2)*AB43+(1-EXP(-LN(2)/2))/(LN(2)/2)*V44*Y44*VLOOKUP('Données projet'!$B$9,Paramètres!$A$1:$I$89,3,0)*0.475*44/12</f>
        <v>0.242461818401356</v>
      </c>
      <c r="AC44" s="22">
        <f t="shared" si="3"/>
        <v>6.512806250572468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108.5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11.499999999999996</v>
      </c>
      <c r="AI44" s="13">
        <f>IF('Données projet'!$A$62&gt;35,AI43+AH44-AQ43,IF(A44&lt;'Données projet'!$A$62,$AF$205^A44,IF(A44='Données projet'!$A$62,'Données projet'!$B$62,AI43+AH44-AQ43)))</f>
        <v>219.6999999999999</v>
      </c>
      <c r="AJ44" s="13">
        <f>AI44*VLOOKUP('Données projet'!$B$10,Paramètres!$A$1:$I$89,3,0)*VLOOKUP('Données projet'!$B$10,Paramètres!$A$1:$I$89,5,0)</f>
        <v>102.81959999999995</v>
      </c>
      <c r="AK44" s="13">
        <f t="shared" si="35"/>
        <v>27.632637448562328</v>
      </c>
      <c r="AL44" s="20">
        <f t="shared" si="4"/>
        <v>227.20431355624598</v>
      </c>
      <c r="AM44" s="59">
        <f t="shared" si="5"/>
        <v>661.70431355624601</v>
      </c>
      <c r="AN44" s="59">
        <f ca="1">AVERAGE(OFFSET($AM$3,0,0,'Données projet'!$E$10+1,1))-AVERAGE(OFFSET($H$3,0,0,'Données projet'!$E$10+1,1))</f>
        <v>293.42903587188346</v>
      </c>
      <c r="AO44" s="59">
        <f t="shared" si="36"/>
        <v>267.80827667062124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2.5209843695478997</v>
      </c>
      <c r="AV44" s="21">
        <f>EXP(-LN(2)/25)*AV43+(1-EXP(-LN(2)/25))/(LN(2)/25)*Calculateur!AQ44*Calculateur!AS44*VLOOKUP('Données projet'!$B$10,Paramètres!$A$1:$I$89,3,0)*0.475*44/12</f>
        <v>5.7905346423098703</v>
      </c>
      <c r="AW44" s="21">
        <f>EXP(-LN(2)/2)*AW43+(1-EXP(-LN(2)/2))/(LN(2)/2)*AQ44*AT44*VLOOKUP('Données projet'!$B$10,Paramètres!$A$1:$I$89,3,0)*0.475*44/12</f>
        <v>0.21726245822000553</v>
      </c>
      <c r="AX44" s="21">
        <f t="shared" si="6"/>
        <v>8.5287814700777762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108.5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8.3000000000000007</v>
      </c>
      <c r="BD44" s="12">
        <f>IF('Données projet'!$A$88&gt;35,BD43+BC44-BL43,IF(A44&lt;'Données projet'!$A$88,$BA$205^A44,IF(A44='Données projet'!$A$88,'Données projet'!$B$88,BD43+BC44-BL43)))</f>
        <v>124.29999999999995</v>
      </c>
      <c r="BE44" s="13">
        <f>BD44*VLOOKUP('Données projet'!$B$11,Paramètres!$A$1:$I$89,3,0)*VLOOKUP('Données projet'!$B$11,Paramètres!$A$1:$I$89,5,0)</f>
        <v>112.46663999999996</v>
      </c>
      <c r="BF44" s="13">
        <f t="shared" si="37"/>
        <v>29.911391992758421</v>
      </c>
      <c r="BG44" s="20">
        <f t="shared" si="7"/>
        <v>247.97507238738748</v>
      </c>
      <c r="BH44" s="59">
        <f t="shared" si="8"/>
        <v>682.47507238738751</v>
      </c>
      <c r="BI44" s="59">
        <f ca="1">AVERAGE(OFFSET($BH$3,0,0,'Données projet'!$E$11+1,1))-AVERAGE(OFFSET($H$3,0,0,'Données projet'!$E$11+1,1))</f>
        <v>324.41828402031939</v>
      </c>
      <c r="BJ44" s="59">
        <f t="shared" si="38"/>
        <v>233.01060088065992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2.2894945192556255</v>
      </c>
      <c r="BR44" s="21">
        <f>EXP(-LN(2)/2)*BR43+(1-EXP(-LN(2)/2))/(LN(2)/2)*BL44*BO44*VLOOKUP('Données projet'!$B$11,Paramètres!$A$1:$I$89,3,0)*0.475*44/12</f>
        <v>0.13676655746839841</v>
      </c>
      <c r="BS44" s="22">
        <f t="shared" si="9"/>
        <v>2.4262610767240238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108.5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11.5</v>
      </c>
      <c r="BY44" s="12">
        <f>IF('Données projet'!$A$114&gt;35,BY43+BX44-CG43,IF(A44&lt;'Données projet'!$A$114,$BV$205^A44,IF(A44='Données projet'!$A$114,'Données projet'!$B$114,BY43+BX44-CG43)))</f>
        <v>245.50000000000011</v>
      </c>
      <c r="BZ44" s="13">
        <f>BY44*VLOOKUP('Données projet'!$B$12,Paramètres!$A$1:$I$89,3,0)*VLOOKUP('Données projet'!$B$12,Paramètres!$A$1:$I$89,5,0)</f>
        <v>134.04300000000006</v>
      </c>
      <c r="CA44" s="13">
        <f t="shared" si="39"/>
        <v>34.928906226695894</v>
      </c>
      <c r="CB44" s="20">
        <f t="shared" si="10"/>
        <v>294.2927366781621</v>
      </c>
      <c r="CC44" s="59">
        <f t="shared" si="11"/>
        <v>728.7927366781621</v>
      </c>
      <c r="CD44" s="59">
        <f ca="1">AVERAGE(OFFSET($CC$3,0,0,'Données projet'!$E$12+1,1))-AVERAGE(OFFSET($H$3,0,0,'Données projet'!$E$12+1,1))</f>
        <v>279.00060755204919</v>
      </c>
      <c r="CE44" s="59">
        <f t="shared" si="40"/>
        <v>333.91128554211014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5.8718114846273117</v>
      </c>
      <c r="CL44" s="21">
        <f>EXP(-LN(2)/25)*CL43+(1-EXP(-LN(2)/25))/(LN(2)/25)*Calculateur!CG44*Calculateur!CI44*VLOOKUP('Données projet'!$B$12,Paramètres!$A$1:$I$89,3,0)*0.475*44/12</f>
        <v>20.514982166184303</v>
      </c>
      <c r="CM44" s="21">
        <f>EXP(-LN(2)/2)*CM43+(1-EXP(-LN(2)/2))/(LN(2)/2)*CG44*CJ44*VLOOKUP('Données projet'!$B$12,Paramètres!$A$1:$I$89,3,0)*0.475*44/12</f>
        <v>0.47627815272255297</v>
      </c>
      <c r="CN44" s="22">
        <f t="shared" si="12"/>
        <v>26.863071803534169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108.5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17.100000000000001</v>
      </c>
      <c r="CT44" s="12">
        <f>IF('Données projet'!$A$140&gt;35,CT43+CS44-DB43,IF(A44&lt;'Données projet'!$A$140,$CQ$205^A44,IF(A44='Données projet'!$A$140,'Données projet'!$B$140,CT43+CS44-DB43)))</f>
        <v>302.10000000000025</v>
      </c>
      <c r="CU44" s="17">
        <f>CT44*VLOOKUP('Données projet'!$B$13,Paramètres!$A$1:$I$89,3,0)*VLOOKUP('Données projet'!$B$13,Paramètres!$A$1:$I$89,5,0)</f>
        <v>180.65580000000017</v>
      </c>
      <c r="CV44" s="13">
        <f t="shared" si="41"/>
        <v>45.468058688378271</v>
      </c>
      <c r="CW44" s="20">
        <f t="shared" si="13"/>
        <v>393.83238721559246</v>
      </c>
      <c r="CX44" s="59">
        <f t="shared" si="14"/>
        <v>828.33238721559246</v>
      </c>
      <c r="CY44" s="59">
        <f ca="1">AVERAGE(OFFSET($CX$3,0,0,'Données projet'!$E$13+1,1))-AVERAGE(OFFSET($H$3,0,0,'Données projet'!$E$13+1,1))</f>
        <v>380.01315081072897</v>
      </c>
      <c r="CZ44" s="59">
        <f t="shared" si="42"/>
        <v>404.90871625409181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2.8135763363839206</v>
      </c>
      <c r="DG44" s="21">
        <f>EXP(-LN(2)/25)*DG43+(1-EXP(-LN(2)/25))/(LN(2)/25)*Calculateur!DB44*Calculateur!DD44*VLOOKUP('Données projet'!$B$13,Paramètres!$A$1:$I$89,3,0)*0.475*44/12</f>
        <v>15.730244813412622</v>
      </c>
      <c r="DH44" s="21">
        <f>EXP(-LN(2)/2)*DH43+(1-EXP(-LN(2)/2))/(LN(2)/2)*DB44*DE44*VLOOKUP('Données projet'!$B$13,Paramètres!$A$1:$I$89,3,0)*0.475*44/12</f>
        <v>0.66961540769077388</v>
      </c>
      <c r="DI44" s="22">
        <f t="shared" si="15"/>
        <v>19.213436557487316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108.5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-5.6843418860808015E-14</v>
      </c>
      <c r="DP44" s="17">
        <f>DO44*VLOOKUP('Données projet'!$B$14,Paramètres!$A$1:$I$89,3,0)*VLOOKUP('Données projet'!$B$14,Paramètres!$A$1:$I$89,5,0)</f>
        <v>-5.1431925385259088E-14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320.81451813551064</v>
      </c>
      <c r="DU44" s="59">
        <f t="shared" si="44"/>
        <v>522.80818268773976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1.4762341851467149</v>
      </c>
      <c r="EB44" s="21">
        <f>EXP(-LN(2)/25)*EB43+(1-EXP(-LN(2)/25))/(LN(2)/25)*Calculateur!DW44*Calculateur!DY44*VLOOKUP('Données projet'!$B$14,Paramètres!$A$1:$I$89,3,0)*0.475*44/12</f>
        <v>7.6853354272157253</v>
      </c>
      <c r="EC44" s="21">
        <f>EXP(-LN(2)/2)*EC43+(1-EXP(-LN(2)/2))/(LN(2)/2)*DW44*DZ44*VLOOKUP('Données projet'!$B$14,Paramètres!$A$1:$I$89,3,0)*0.475*44/12</f>
        <v>0.13233687933036811</v>
      </c>
      <c r="ED44" s="22">
        <f t="shared" si="18"/>
        <v>9.2939064916928089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108.5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9.8333333333333339</v>
      </c>
      <c r="EJ44" s="12">
        <f>IF('Données projet'!$A$192&gt;35,EJ43+EI44-ER43,IF(A44&lt;'Données projet'!$A$192,$EG$205^A44,IF(A44='Données projet'!$A$192,'Données projet'!$B$192,EJ43+EI44-ER43)))</f>
        <v>243.83333333333337</v>
      </c>
      <c r="EK44" s="17">
        <f>EJ44*VLOOKUP('Données projet'!$B$15,Paramètres!$A$1:$I$89,3,0)*VLOOKUP('Données projet'!$B$15,Paramètres!$A$1:$I$89,5,0)</f>
        <v>145.81233333333336</v>
      </c>
      <c r="EL44" s="13">
        <f t="shared" si="45"/>
        <v>37.625360763194948</v>
      </c>
      <c r="EM44" s="20">
        <f t="shared" si="19"/>
        <v>319.4873172181201</v>
      </c>
      <c r="EN44" s="59">
        <f t="shared" si="20"/>
        <v>753.9873172181201</v>
      </c>
      <c r="EO44" s="59">
        <f ca="1">AVERAGE(OFFSET($EN$3,0,0,'Données projet'!$E$15+1,1))-AVERAGE(OFFSET($H$3,0,0,'Données projet'!$E$15+1,1))</f>
        <v>228.3393311631487</v>
      </c>
      <c r="EP44" s="59">
        <f t="shared" si="46"/>
        <v>266.26050497804033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4.9962077736111716</v>
      </c>
      <c r="EW44" s="21">
        <f>EXP(-LN(2)/25)*EW43+(1-EXP(-LN(2)/25))/(LN(2)/25)*Calculateur!ER44*Calculateur!ET44*VLOOKUP('Données projet'!$B$15,Paramètres!$A$1:$I$89,3,0)*0.475*44/12</f>
        <v>9.0895200630498039</v>
      </c>
      <c r="EX44" s="21">
        <f>EXP(-LN(2)/2)*EX43+(1-EXP(-LN(2)/2))/(LN(2)/2)*ER44*EU44*VLOOKUP('Données projet'!$B$15,Paramètres!$A$1:$I$89,3,0)*0.475*44/12</f>
        <v>0.12033393768636574</v>
      </c>
      <c r="EY44" s="22">
        <f t="shared" si="21"/>
        <v>14.206061774347342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108.5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14.3</v>
      </c>
      <c r="FE44" s="12">
        <f>IF('Données projet'!$A$218&gt;35,FE43+FD44-FM43,IF(A44&lt;'Données projet'!$A$218,$FB$205^A44,IF(A44='Données projet'!$A$218,'Données projet'!$B$218,FE43+FD44-FM43)))</f>
        <v>183.29999999999995</v>
      </c>
      <c r="FF44" s="17">
        <f>FE44*VLOOKUP('Données projet'!$B$16,Paramètres!$A$1:$I$89,3,0)*VLOOKUP('Données projet'!$B$16,Paramètres!$A$1:$I$89,5,0)</f>
        <v>104.84759999999999</v>
      </c>
      <c r="FG44" s="13">
        <f t="shared" si="47"/>
        <v>28.113670466115643</v>
      </c>
      <c r="FH44" s="20">
        <f t="shared" si="22"/>
        <v>231.57421272848467</v>
      </c>
      <c r="FI44" s="59">
        <f t="shared" si="23"/>
        <v>666.07421272848467</v>
      </c>
      <c r="FJ44" s="59">
        <f ca="1">AVERAGE(OFFSET($FI$3,0,0,'Données projet'!$E$16+1,1))-AVERAGE(OFFSET($H$3,0,0,'Données projet'!$E$16+1,1))</f>
        <v>242.10913976205194</v>
      </c>
      <c r="FK44" s="59">
        <f t="shared" si="48"/>
        <v>198.24795425321133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7.9886204009142103</v>
      </c>
      <c r="FS44" s="21">
        <f>EXP(-LN(2)/2)*FS43+(1-EXP(-LN(2)/2))/(LN(2)/2)*FM44*FP44*VLOOKUP('Données projet'!$B$16,Paramètres!$A$1:$I$89,3,0)*0.475*44/12</f>
        <v>0.29218276559235423</v>
      </c>
      <c r="FT44" s="22">
        <f t="shared" si="24"/>
        <v>8.2808031665065638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108.5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108.5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20.54051999999999</v>
      </c>
      <c r="D45" s="11">
        <f t="shared" si="32"/>
        <v>6.6584865663140151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115.47648401838579</v>
      </c>
      <c r="H45" s="67">
        <f t="shared" si="1"/>
        <v>445.20493643633017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108.5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7.7</v>
      </c>
      <c r="N45" s="13">
        <f>IF('Données projet'!$A$36&gt;35,N44+M45-V44,IF(A45&lt;'Données projet'!$A$36,$K$205^A45,IF(A45='Données projet'!$A$36,'Données projet'!$B$36,N44+M45-V44)))</f>
        <v>179.39999999999984</v>
      </c>
      <c r="O45" s="13">
        <f>N45*VLOOKUP('Données projet'!$B$9,Paramètres!$A$1:$I$89,3,0)*VLOOKUP('Données projet'!$B$9,Paramètres!$A$1:$I$89,5,0)</f>
        <v>145.52927999999986</v>
      </c>
      <c r="P45" s="13">
        <f t="shared" si="33"/>
        <v>37.560816225769642</v>
      </c>
      <c r="Q45" s="20">
        <f t="shared" si="53"/>
        <v>318.88191759321518</v>
      </c>
      <c r="R45" s="59">
        <f t="shared" si="0"/>
        <v>753.38191759321512</v>
      </c>
      <c r="S45" s="59">
        <f ca="1">AVERAGE(OFFSET($R$3,0,0,'Données projet'!$E$9+1,1))-AVERAGE(OFFSET($H$3,0,0,'Données projet'!$E$9+1,1))</f>
        <v>273.89826011924487</v>
      </c>
      <c r="T45" s="59">
        <f t="shared" si="34"/>
        <v>332.17519939974227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6.0988815339303102</v>
      </c>
      <c r="AB45" s="21">
        <f>EXP(-LN(2)/2)*AB44+(1-EXP(-LN(2)/2))/(LN(2)/2)*V45*Y45*VLOOKUP('Données projet'!$B$9,Paramètres!$A$1:$I$89,3,0)*0.475*44/12</f>
        <v>0.17144639597042008</v>
      </c>
      <c r="AC45" s="22">
        <f t="shared" si="3"/>
        <v>6.2703279299007306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108.5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11.499999999999996</v>
      </c>
      <c r="AI45" s="13">
        <f>IF('Données projet'!$A$62&gt;35,AI44+AH45-AQ44,IF(A45&lt;'Données projet'!$A$62,$AF$205^A45,IF(A45='Données projet'!$A$62,'Données projet'!$B$62,AI44+AH45-AQ44)))</f>
        <v>231.1999999999999</v>
      </c>
      <c r="AJ45" s="13">
        <f>AI45*VLOOKUP('Données projet'!$B$10,Paramètres!$A$1:$I$89,3,0)*VLOOKUP('Données projet'!$B$10,Paramètres!$A$1:$I$89,5,0)</f>
        <v>108.20159999999994</v>
      </c>
      <c r="AK45" s="13">
        <f t="shared" si="35"/>
        <v>28.906861857161235</v>
      </c>
      <c r="AL45" s="20">
        <f t="shared" si="4"/>
        <v>238.79723773455569</v>
      </c>
      <c r="AM45" s="59">
        <f t="shared" si="5"/>
        <v>673.29723773455567</v>
      </c>
      <c r="AN45" s="59">
        <f ca="1">AVERAGE(OFFSET($AM$3,0,0,'Données projet'!$E$10+1,1))-AVERAGE(OFFSET($H$3,0,0,'Données projet'!$E$10+1,1))</f>
        <v>293.42903587188346</v>
      </c>
      <c r="AO45" s="59">
        <f t="shared" si="36"/>
        <v>267.80827667062124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2.4715494037097008</v>
      </c>
      <c r="AV45" s="21">
        <f>EXP(-LN(2)/25)*AV44+(1-EXP(-LN(2)/25))/(LN(2)/25)*Calculateur!AQ45*Calculateur!AS45*VLOOKUP('Données projet'!$B$10,Paramètres!$A$1:$I$89,3,0)*0.475*44/12</f>
        <v>5.6321921680049245</v>
      </c>
      <c r="AW45" s="21">
        <f>EXP(-LN(2)/2)*AW44+(1-EXP(-LN(2)/2))/(LN(2)/2)*AQ45*AT45*VLOOKUP('Données projet'!$B$10,Paramètres!$A$1:$I$89,3,0)*0.475*44/12</f>
        <v>0.15362775750462487</v>
      </c>
      <c r="AX45" s="21">
        <f t="shared" si="6"/>
        <v>8.2573693292192498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108.5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8.3000000000000007</v>
      </c>
      <c r="BD45" s="12">
        <f>IF('Données projet'!$A$88&gt;35,BD44+BC45-BL44,IF(A45&lt;'Données projet'!$A$88,$BA$205^A45,IF(A45='Données projet'!$A$88,'Données projet'!$B$88,BD44+BC45-BL44)))</f>
        <v>132.59999999999997</v>
      </c>
      <c r="BE45" s="13">
        <f>BD45*VLOOKUP('Données projet'!$B$11,Paramètres!$A$1:$I$89,3,0)*VLOOKUP('Données projet'!$B$11,Paramètres!$A$1:$I$89,5,0)</f>
        <v>119.97647999999997</v>
      </c>
      <c r="BF45" s="13">
        <f t="shared" si="37"/>
        <v>31.669513577784763</v>
      </c>
      <c r="BG45" s="20">
        <f t="shared" si="7"/>
        <v>264.11677214797504</v>
      </c>
      <c r="BH45" s="59">
        <f t="shared" si="8"/>
        <v>698.6167721479751</v>
      </c>
      <c r="BI45" s="59">
        <f ca="1">AVERAGE(OFFSET($BH$3,0,0,'Données projet'!$E$11+1,1))-AVERAGE(OFFSET($H$3,0,0,'Données projet'!$E$11+1,1))</f>
        <v>324.41828402031939</v>
      </c>
      <c r="BJ45" s="59">
        <f t="shared" si="38"/>
        <v>233.01060088065992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2.2268881712272965</v>
      </c>
      <c r="BR45" s="21">
        <f>EXP(-LN(2)/2)*BR44+(1-EXP(-LN(2)/2))/(LN(2)/2)*BL45*BO45*VLOOKUP('Données projet'!$B$11,Paramètres!$A$1:$I$89,3,0)*0.475*44/12</f>
        <v>9.6708560225444176E-2</v>
      </c>
      <c r="BS45" s="22">
        <f t="shared" si="9"/>
        <v>2.3235967314527408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108.5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11.5</v>
      </c>
      <c r="BY45" s="12">
        <f>IF('Données projet'!$A$114&gt;35,BY44+BX45-CG44,IF(A45&lt;'Données projet'!$A$114,$BV$205^A45,IF(A45='Données projet'!$A$114,'Données projet'!$B$114,BY44+BX45-CG44)))</f>
        <v>257.00000000000011</v>
      </c>
      <c r="BZ45" s="13">
        <f>BY45*VLOOKUP('Données projet'!$B$12,Paramètres!$A$1:$I$89,3,0)*VLOOKUP('Données projet'!$B$12,Paramètres!$A$1:$I$89,5,0)</f>
        <v>140.32200000000006</v>
      </c>
      <c r="CA45" s="13">
        <f t="shared" si="39"/>
        <v>36.370761307502896</v>
      </c>
      <c r="CB45" s="20">
        <f t="shared" si="10"/>
        <v>307.73989261056767</v>
      </c>
      <c r="CC45" s="59">
        <f t="shared" si="11"/>
        <v>742.23989261056772</v>
      </c>
      <c r="CD45" s="59">
        <f ca="1">AVERAGE(OFFSET($CC$3,0,0,'Données projet'!$E$12+1,1))-AVERAGE(OFFSET($H$3,0,0,'Données projet'!$E$12+1,1))</f>
        <v>279.00060755204919</v>
      </c>
      <c r="CE45" s="59">
        <f t="shared" si="40"/>
        <v>333.91128554211014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5.7566688428651371</v>
      </c>
      <c r="CL45" s="21">
        <f>EXP(-LN(2)/25)*CL44+(1-EXP(-LN(2)/25))/(LN(2)/25)*Calculateur!CG45*Calculateur!CI45*VLOOKUP('Données projet'!$B$12,Paramètres!$A$1:$I$89,3,0)*0.475*44/12</f>
        <v>19.953998900013968</v>
      </c>
      <c r="CM45" s="21">
        <f>EXP(-LN(2)/2)*CM44+(1-EXP(-LN(2)/2))/(LN(2)/2)*CG45*CJ45*VLOOKUP('Données projet'!$B$12,Paramètres!$A$1:$I$89,3,0)*0.475*44/12</f>
        <v>0.33677951152111935</v>
      </c>
      <c r="CN45" s="22">
        <f t="shared" si="12"/>
        <v>26.047447254400222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108.5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17.100000000000001</v>
      </c>
      <c r="CT45" s="12">
        <f>IF('Données projet'!$A$140&gt;35,CT44+CS45-DB44,IF(A45&lt;'Données projet'!$A$140,$CQ$205^A45,IF(A45='Données projet'!$A$140,'Données projet'!$B$140,CT44+CS45-DB44)))</f>
        <v>319.20000000000027</v>
      </c>
      <c r="CU45" s="17">
        <f>CT45*VLOOKUP('Données projet'!$B$13,Paramètres!$A$1:$I$89,3,0)*VLOOKUP('Données projet'!$B$13,Paramètres!$A$1:$I$89,5,0)</f>
        <v>190.88160000000019</v>
      </c>
      <c r="CV45" s="13">
        <f t="shared" si="41"/>
        <v>47.73480954989347</v>
      </c>
      <c r="CW45" s="20">
        <f t="shared" si="13"/>
        <v>415.59024663273141</v>
      </c>
      <c r="CX45" s="59">
        <f t="shared" si="14"/>
        <v>850.09024663273135</v>
      </c>
      <c r="CY45" s="59">
        <f ca="1">AVERAGE(OFFSET($CX$3,0,0,'Données projet'!$E$13+1,1))-AVERAGE(OFFSET($H$3,0,0,'Données projet'!$E$13+1,1))</f>
        <v>380.01315081072897</v>
      </c>
      <c r="CZ45" s="59">
        <f t="shared" si="42"/>
        <v>404.90871625409181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2.7584038205395451</v>
      </c>
      <c r="DG45" s="21">
        <f>EXP(-LN(2)/25)*DG44+(1-EXP(-LN(2)/25))/(LN(2)/25)*Calculateur!DB45*Calculateur!DD45*VLOOKUP('Données projet'!$B$13,Paramètres!$A$1:$I$89,3,0)*0.475*44/12</f>
        <v>15.30010044177223</v>
      </c>
      <c r="DH45" s="21">
        <f>EXP(-LN(2)/2)*DH44+(1-EXP(-LN(2)/2))/(LN(2)/2)*DB45*DE45*VLOOKUP('Données projet'!$B$13,Paramètres!$A$1:$I$89,3,0)*0.475*44/12</f>
        <v>0.47348959556514086</v>
      </c>
      <c r="DI45" s="22">
        <f t="shared" si="15"/>
        <v>18.531993857876916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108.5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-5.6843418860808015E-14</v>
      </c>
      <c r="DP45" s="17">
        <f>DO45*VLOOKUP('Données projet'!$B$14,Paramètres!$A$1:$I$89,3,0)*VLOOKUP('Données projet'!$B$14,Paramètres!$A$1:$I$89,5,0)</f>
        <v>-5.1431925385259088E-14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320.81451813551064</v>
      </c>
      <c r="DU45" s="59">
        <f t="shared" si="44"/>
        <v>522.80818268773976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1.4472861331899323</v>
      </c>
      <c r="EB45" s="21">
        <f>EXP(-LN(2)/25)*EB44+(1-EXP(-LN(2)/25))/(LN(2)/25)*Calculateur!DW45*Calculateur!DY45*VLOOKUP('Données projet'!$B$14,Paramètres!$A$1:$I$89,3,0)*0.475*44/12</f>
        <v>7.4751795258042861</v>
      </c>
      <c r="EC45" s="21">
        <f>EXP(-LN(2)/2)*EC44+(1-EXP(-LN(2)/2))/(LN(2)/2)*DW45*DZ45*VLOOKUP('Données projet'!$B$14,Paramètres!$A$1:$I$89,3,0)*0.475*44/12</f>
        <v>9.357630477556915E-2</v>
      </c>
      <c r="ED45" s="22">
        <f t="shared" si="18"/>
        <v>9.0160419637697871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108.5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9.8333333333333339</v>
      </c>
      <c r="EJ45" s="12">
        <f>IF('Données projet'!$A$192&gt;35,EJ44+EI45-ER44,IF(A45&lt;'Données projet'!$A$192,$EG$205^A45,IF(A45='Données projet'!$A$192,'Données projet'!$B$192,EJ44+EI45-ER44)))</f>
        <v>253.66666666666671</v>
      </c>
      <c r="EK45" s="17">
        <f>EJ45*VLOOKUP('Données projet'!$B$15,Paramètres!$A$1:$I$89,3,0)*VLOOKUP('Données projet'!$B$15,Paramètres!$A$1:$I$89,5,0)</f>
        <v>151.6926666666667</v>
      </c>
      <c r="EL45" s="13">
        <f t="shared" si="45"/>
        <v>38.96299861908853</v>
      </c>
      <c r="EM45" s="20">
        <f t="shared" si="19"/>
        <v>332.05861703935699</v>
      </c>
      <c r="EN45" s="59">
        <f t="shared" si="20"/>
        <v>766.55861703935693</v>
      </c>
      <c r="EO45" s="59">
        <f ca="1">AVERAGE(OFFSET($EN$3,0,0,'Données projet'!$E$15+1,1))-AVERAGE(OFFSET($H$3,0,0,'Données projet'!$E$15+1,1))</f>
        <v>228.3393311631487</v>
      </c>
      <c r="EP45" s="59">
        <f t="shared" si="46"/>
        <v>266.26050497804033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4.8982351865564944</v>
      </c>
      <c r="EW45" s="21">
        <f>EXP(-LN(2)/25)*EW44+(1-EXP(-LN(2)/25))/(LN(2)/25)*Calculateur!ER45*Calculateur!ET45*VLOOKUP('Données projet'!$B$15,Paramètres!$A$1:$I$89,3,0)*0.475*44/12</f>
        <v>8.8409666589286218</v>
      </c>
      <c r="EX45" s="21">
        <f>EXP(-LN(2)/2)*EX44+(1-EXP(-LN(2)/2))/(LN(2)/2)*ER45*EU45*VLOOKUP('Données projet'!$B$15,Paramètres!$A$1:$I$89,3,0)*0.475*44/12</f>
        <v>8.5088943344908671E-2</v>
      </c>
      <c r="EY45" s="22">
        <f t="shared" si="21"/>
        <v>13.824290788830025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108.5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14.3</v>
      </c>
      <c r="FE45" s="12">
        <f>IF('Données projet'!$A$218&gt;35,FE44+FD45-FM44,IF(A45&lt;'Données projet'!$A$218,$FB$205^A45,IF(A45='Données projet'!$A$218,'Données projet'!$B$218,FE44+FD45-FM44)))</f>
        <v>197.59999999999997</v>
      </c>
      <c r="FF45" s="17">
        <f>FE45*VLOOKUP('Données projet'!$B$16,Paramètres!$A$1:$I$89,3,0)*VLOOKUP('Données projet'!$B$16,Paramètres!$A$1:$I$89,5,0)</f>
        <v>113.02719999999999</v>
      </c>
      <c r="FG45" s="13">
        <f t="shared" si="47"/>
        <v>30.043085677471723</v>
      </c>
      <c r="FH45" s="20">
        <f t="shared" si="22"/>
        <v>249.18074755492987</v>
      </c>
      <c r="FI45" s="59">
        <f t="shared" si="23"/>
        <v>683.68074755492989</v>
      </c>
      <c r="FJ45" s="59">
        <f ca="1">AVERAGE(OFFSET($FI$3,0,0,'Données projet'!$E$16+1,1))-AVERAGE(OFFSET($H$3,0,0,'Données projet'!$E$16+1,1))</f>
        <v>242.10913976205194</v>
      </c>
      <c r="FK45" s="59">
        <f t="shared" si="48"/>
        <v>198.24795425321133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7.7701711559479225</v>
      </c>
      <c r="FS45" s="21">
        <f>EXP(-LN(2)/2)*FS44+(1-EXP(-LN(2)/2))/(LN(2)/2)*FM45*FP45*VLOOKUP('Données projet'!$B$16,Paramètres!$A$1:$I$89,3,0)*0.475*44/12</f>
        <v>0.20660441489619313</v>
      </c>
      <c r="FT45" s="22">
        <f t="shared" si="24"/>
        <v>7.9767755708441159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108.5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108.5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21.029579999999989</v>
      </c>
      <c r="D46" s="11">
        <f t="shared" si="32"/>
        <v>6.7983760259394828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118.14676067153253</v>
      </c>
      <c r="H46" s="67">
        <f t="shared" si="1"/>
        <v>446.30035674517791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108.5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7.7</v>
      </c>
      <c r="N46" s="13">
        <f>IF('Données projet'!$A$36&gt;35,N45+M46-V45,IF(A46&lt;'Données projet'!$A$36,$K$205^A46,IF(A46='Données projet'!$A$36,'Données projet'!$B$36,N45+M46-V45)))</f>
        <v>187.09999999999982</v>
      </c>
      <c r="O46" s="13">
        <f>N46*VLOOKUP('Données projet'!$B$9,Paramètres!$A$1:$I$89,3,0)*VLOOKUP('Données projet'!$B$9,Paramètres!$A$1:$I$89,5,0)</f>
        <v>151.77551999999989</v>
      </c>
      <c r="P46" s="13">
        <f t="shared" si="33"/>
        <v>38.98180216162384</v>
      </c>
      <c r="Q46" s="20">
        <f t="shared" si="53"/>
        <v>332.23566943149461</v>
      </c>
      <c r="R46" s="59">
        <f t="shared" si="0"/>
        <v>766.73566943149467</v>
      </c>
      <c r="S46" s="59">
        <f ca="1">AVERAGE(OFFSET($R$3,0,0,'Données projet'!$E$9+1,1))-AVERAGE(OFFSET($H$3,0,0,'Données projet'!$E$9+1,1))</f>
        <v>273.89826011924487</v>
      </c>
      <c r="T46" s="59">
        <f t="shared" si="34"/>
        <v>332.17519939974227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5.932107297658745</v>
      </c>
      <c r="AB46" s="21">
        <f>EXP(-LN(2)/2)*AB45+(1-EXP(-LN(2)/2))/(LN(2)/2)*V46*Y46*VLOOKUP('Données projet'!$B$9,Paramètres!$A$1:$I$89,3,0)*0.475*44/12</f>
        <v>0.12123090920067803</v>
      </c>
      <c r="AC46" s="22">
        <f t="shared" si="3"/>
        <v>6.053338206859423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108.5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11.499999999999996</v>
      </c>
      <c r="AI46" s="13">
        <f>IF('Données projet'!$A$62&gt;35,AI45+AH46-AQ45,IF(A46&lt;'Données projet'!$A$62,$AF$205^A46,IF(A46='Données projet'!$A$62,'Données projet'!$B$62,AI45+AH46-AQ45)))</f>
        <v>242.6999999999999</v>
      </c>
      <c r="AJ46" s="13">
        <f>AI46*VLOOKUP('Données projet'!$B$10,Paramètres!$A$1:$I$89,3,0)*VLOOKUP('Données projet'!$B$10,Paramètres!$A$1:$I$89,5,0)</f>
        <v>113.58359999999995</v>
      </c>
      <c r="AK46" s="13">
        <f t="shared" si="35"/>
        <v>30.17372688298952</v>
      </c>
      <c r="AL46" s="20">
        <f t="shared" si="4"/>
        <v>250.37734432120666</v>
      </c>
      <c r="AM46" s="59">
        <f t="shared" si="5"/>
        <v>684.87734432120669</v>
      </c>
      <c r="AN46" s="59">
        <f ca="1">AVERAGE(OFFSET($AM$3,0,0,'Données projet'!$E$10+1,1))-AVERAGE(OFFSET($H$3,0,0,'Données projet'!$E$10+1,1))</f>
        <v>293.42903587188346</v>
      </c>
      <c r="AO46" s="59">
        <f t="shared" si="36"/>
        <v>267.80827667062124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2.4230838273992368</v>
      </c>
      <c r="AV46" s="21">
        <f>EXP(-LN(2)/25)*AV45+(1-EXP(-LN(2)/25))/(LN(2)/25)*Calculateur!AQ46*Calculateur!AS46*VLOOKUP('Données projet'!$B$10,Paramètres!$A$1:$I$89,3,0)*0.475*44/12</f>
        <v>5.4781795769867161</v>
      </c>
      <c r="AW46" s="21">
        <f>EXP(-LN(2)/2)*AW45+(1-EXP(-LN(2)/2))/(LN(2)/2)*AQ46*AT46*VLOOKUP('Données projet'!$B$10,Paramètres!$A$1:$I$89,3,0)*0.475*44/12</f>
        <v>0.10863122911000277</v>
      </c>
      <c r="AX46" s="21">
        <f t="shared" si="6"/>
        <v>8.0098946334959553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108.5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8.3000000000000007</v>
      </c>
      <c r="BD46" s="12">
        <f>IF('Données projet'!$A$88&gt;35,BD45+BC46-BL45,IF(A46&lt;'Données projet'!$A$88,$BA$205^A46,IF(A46='Données projet'!$A$88,'Données projet'!$B$88,BD45+BC46-BL45)))</f>
        <v>140.89999999999998</v>
      </c>
      <c r="BE46" s="13">
        <f>BD46*VLOOKUP('Données projet'!$B$11,Paramètres!$A$1:$I$89,3,0)*VLOOKUP('Données projet'!$B$11,Paramètres!$A$1:$I$89,5,0)</f>
        <v>127.48631999999998</v>
      </c>
      <c r="BF46" s="13">
        <f t="shared" si="37"/>
        <v>33.414863287066048</v>
      </c>
      <c r="BG46" s="20">
        <f t="shared" si="7"/>
        <v>280.23622755830667</v>
      </c>
      <c r="BH46" s="59">
        <f t="shared" si="8"/>
        <v>714.73622755830661</v>
      </c>
      <c r="BI46" s="59">
        <f ca="1">AVERAGE(OFFSET($BH$3,0,0,'Données projet'!$E$11+1,1))-AVERAGE(OFFSET($H$3,0,0,'Données projet'!$E$11+1,1))</f>
        <v>324.41828402031939</v>
      </c>
      <c r="BJ46" s="59">
        <f t="shared" si="38"/>
        <v>233.01060088065992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2.1659937970781269</v>
      </c>
      <c r="BR46" s="21">
        <f>EXP(-LN(2)/2)*BR45+(1-EXP(-LN(2)/2))/(LN(2)/2)*BL46*BO46*VLOOKUP('Données projet'!$B$11,Paramètres!$A$1:$I$89,3,0)*0.475*44/12</f>
        <v>6.8383278734199207E-2</v>
      </c>
      <c r="BS46" s="22">
        <f t="shared" si="9"/>
        <v>2.234377075812326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108.5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11.5</v>
      </c>
      <c r="BY46" s="12">
        <f>IF('Données projet'!$A$114&gt;35,BY45+BX46-CG45,IF(A46&lt;'Données projet'!$A$114,$BV$205^A46,IF(A46='Données projet'!$A$114,'Données projet'!$B$114,BY45+BX46-CG45)))</f>
        <v>268.50000000000011</v>
      </c>
      <c r="BZ46" s="13">
        <f>BY46*VLOOKUP('Données projet'!$B$12,Paramètres!$A$1:$I$89,3,0)*VLOOKUP('Données projet'!$B$12,Paramètres!$A$1:$I$89,5,0)</f>
        <v>146.60100000000006</v>
      </c>
      <c r="CA46" s="13">
        <f t="shared" si="39"/>
        <v>37.805123282858517</v>
      </c>
      <c r="CB46" s="20">
        <f t="shared" si="10"/>
        <v>321.1739980509787</v>
      </c>
      <c r="CC46" s="59">
        <f t="shared" si="11"/>
        <v>755.67399805097875</v>
      </c>
      <c r="CD46" s="59">
        <f ca="1">AVERAGE(OFFSET($CC$3,0,0,'Données projet'!$E$12+1,1))-AVERAGE(OFFSET($H$3,0,0,'Données projet'!$E$12+1,1))</f>
        <v>279.00060755204919</v>
      </c>
      <c r="CE46" s="59">
        <f t="shared" si="40"/>
        <v>333.91128554211014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5.6437840780778412</v>
      </c>
      <c r="CL46" s="21">
        <f>EXP(-LN(2)/25)*CL45+(1-EXP(-LN(2)/25))/(LN(2)/25)*Calculateur!CG46*Calculateur!CI46*VLOOKUP('Données projet'!$B$12,Paramètres!$A$1:$I$89,3,0)*0.475*44/12</f>
        <v>19.408355750757888</v>
      </c>
      <c r="CM46" s="21">
        <f>EXP(-LN(2)/2)*CM45+(1-EXP(-LN(2)/2))/(LN(2)/2)*CG46*CJ46*VLOOKUP('Données projet'!$B$12,Paramètres!$A$1:$I$89,3,0)*0.475*44/12</f>
        <v>0.23813907636127651</v>
      </c>
      <c r="CN46" s="22">
        <f t="shared" si="12"/>
        <v>25.290278905197003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108.5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17.100000000000001</v>
      </c>
      <c r="CT46" s="12">
        <f>IF('Données projet'!$A$140&gt;35,CT45+CS46-DB45,IF(A46&lt;'Données projet'!$A$140,$CQ$205^A46,IF(A46='Données projet'!$A$140,'Données projet'!$B$140,CT45+CS46-DB45)))</f>
        <v>336.3000000000003</v>
      </c>
      <c r="CU46" s="17">
        <f>CT46*VLOOKUP('Données projet'!$B$13,Paramètres!$A$1:$I$89,3,0)*VLOOKUP('Données projet'!$B$13,Paramètres!$A$1:$I$89,5,0)</f>
        <v>201.10740000000021</v>
      </c>
      <c r="CV46" s="13">
        <f t="shared" si="41"/>
        <v>49.987462461070656</v>
      </c>
      <c r="CW46" s="20">
        <f t="shared" si="13"/>
        <v>437.32355211969843</v>
      </c>
      <c r="CX46" s="59">
        <f t="shared" si="14"/>
        <v>871.82355211969843</v>
      </c>
      <c r="CY46" s="59">
        <f ca="1">AVERAGE(OFFSET($CX$3,0,0,'Données projet'!$E$13+1,1))-AVERAGE(OFFSET($H$3,0,0,'Données projet'!$E$13+1,1))</f>
        <v>380.01315081072897</v>
      </c>
      <c r="CZ46" s="59">
        <f t="shared" si="42"/>
        <v>404.90871625409181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2.7043132040789661</v>
      </c>
      <c r="DG46" s="21">
        <f>EXP(-LN(2)/25)*DG45+(1-EXP(-LN(2)/25))/(LN(2)/25)*Calculateur!DB46*Calculateur!DD46*VLOOKUP('Données projet'!$B$13,Paramètres!$A$1:$I$89,3,0)*0.475*44/12</f>
        <v>14.881718390594655</v>
      </c>
      <c r="DH46" s="21">
        <f>EXP(-LN(2)/2)*DH45+(1-EXP(-LN(2)/2))/(LN(2)/2)*DB46*DE46*VLOOKUP('Données projet'!$B$13,Paramètres!$A$1:$I$89,3,0)*0.475*44/12</f>
        <v>0.33480770384538694</v>
      </c>
      <c r="DI46" s="22">
        <f t="shared" si="15"/>
        <v>17.920839298519006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108.5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-5.6843418860808015E-14</v>
      </c>
      <c r="DP46" s="17">
        <f>DO46*VLOOKUP('Données projet'!$B$14,Paramètres!$A$1:$I$89,3,0)*VLOOKUP('Données projet'!$B$14,Paramètres!$A$1:$I$89,5,0)</f>
        <v>-5.1431925385259088E-14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320.81451813551064</v>
      </c>
      <c r="DU46" s="59">
        <f t="shared" si="44"/>
        <v>522.80818268773976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1.4189057348754539</v>
      </c>
      <c r="EB46" s="21">
        <f>EXP(-LN(2)/25)*EB45+(1-EXP(-LN(2)/25))/(LN(2)/25)*Calculateur!DW46*Calculateur!DY46*VLOOKUP('Données projet'!$B$14,Paramètres!$A$1:$I$89,3,0)*0.475*44/12</f>
        <v>7.2707703485685613</v>
      </c>
      <c r="EC46" s="21">
        <f>EXP(-LN(2)/2)*EC45+(1-EXP(-LN(2)/2))/(LN(2)/2)*DW46*DZ46*VLOOKUP('Données projet'!$B$14,Paramètres!$A$1:$I$89,3,0)*0.475*44/12</f>
        <v>6.6168439665184056E-2</v>
      </c>
      <c r="ED46" s="22">
        <f t="shared" si="18"/>
        <v>8.7558445231091984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108.5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9.8333333333333339</v>
      </c>
      <c r="EJ46" s="12">
        <f>IF('Données projet'!$A$192&gt;35,EJ45+EI46-ER45,IF(A46&lt;'Données projet'!$A$192,$EG$205^A46,IF(A46='Données projet'!$A$192,'Données projet'!$B$192,EJ45+EI46-ER45)))</f>
        <v>263.50000000000006</v>
      </c>
      <c r="EK46" s="17">
        <f>EJ46*VLOOKUP('Données projet'!$B$15,Paramètres!$A$1:$I$89,3,0)*VLOOKUP('Données projet'!$B$15,Paramètres!$A$1:$I$89,5,0)</f>
        <v>157.57300000000006</v>
      </c>
      <c r="EL46" s="13">
        <f t="shared" si="45"/>
        <v>40.294612761030372</v>
      </c>
      <c r="EM46" s="20">
        <f t="shared" si="19"/>
        <v>344.61942555879472</v>
      </c>
      <c r="EN46" s="59">
        <f t="shared" si="20"/>
        <v>779.11942555879477</v>
      </c>
      <c r="EO46" s="59">
        <f ca="1">AVERAGE(OFFSET($EN$3,0,0,'Données projet'!$E$15+1,1))-AVERAGE(OFFSET($H$3,0,0,'Données projet'!$E$15+1,1))</f>
        <v>228.3393311631487</v>
      </c>
      <c r="EP46" s="59">
        <f t="shared" si="46"/>
        <v>266.26050497804033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4.8021837821765816</v>
      </c>
      <c r="EW46" s="21">
        <f>EXP(-LN(2)/25)*EW45+(1-EXP(-LN(2)/25))/(LN(2)/25)*Calculateur!ER46*Calculateur!ET46*VLOOKUP('Données projet'!$B$15,Paramètres!$A$1:$I$89,3,0)*0.475*44/12</f>
        <v>8.5992099607139885</v>
      </c>
      <c r="EX46" s="21">
        <f>EXP(-LN(2)/2)*EX45+(1-EXP(-LN(2)/2))/(LN(2)/2)*ER46*EU46*VLOOKUP('Données projet'!$B$15,Paramètres!$A$1:$I$89,3,0)*0.475*44/12</f>
        <v>6.0166968843182879E-2</v>
      </c>
      <c r="EY46" s="22">
        <f t="shared" si="21"/>
        <v>13.461560711733751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108.5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14.3</v>
      </c>
      <c r="FE46" s="12">
        <f>IF('Données projet'!$A$218&gt;35,FE45+FD46-FM45,IF(A46&lt;'Données projet'!$A$218,$FB$205^A46,IF(A46='Données projet'!$A$218,'Données projet'!$B$218,FE45+FD46-FM45)))</f>
        <v>211.89999999999998</v>
      </c>
      <c r="FF46" s="17">
        <f>FE46*VLOOKUP('Données projet'!$B$16,Paramètres!$A$1:$I$89,3,0)*VLOOKUP('Données projet'!$B$16,Paramètres!$A$1:$I$89,5,0)</f>
        <v>121.20679999999999</v>
      </c>
      <c r="FG46" s="13">
        <f t="shared" si="47"/>
        <v>31.956301447837745</v>
      </c>
      <c r="FH46" s="20">
        <f t="shared" si="22"/>
        <v>266.75906835498398</v>
      </c>
      <c r="FI46" s="59">
        <f t="shared" si="23"/>
        <v>701.25906835498404</v>
      </c>
      <c r="FJ46" s="59">
        <f ca="1">AVERAGE(OFFSET($FI$3,0,0,'Données projet'!$E$16+1,1))-AVERAGE(OFFSET($H$3,0,0,'Données projet'!$E$16+1,1))</f>
        <v>242.10913976205194</v>
      </c>
      <c r="FK46" s="59">
        <f t="shared" si="48"/>
        <v>198.24795425321133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7.5576954170729849</v>
      </c>
      <c r="FS46" s="21">
        <f>EXP(-LN(2)/2)*FS45+(1-EXP(-LN(2)/2))/(LN(2)/2)*FM46*FP46*VLOOKUP('Données projet'!$B$16,Paramètres!$A$1:$I$89,3,0)*0.475*44/12</f>
        <v>0.14609138279617712</v>
      </c>
      <c r="FT46" s="22">
        <f t="shared" si="24"/>
        <v>7.703786799869162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108.5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108.5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21.518639999999987</v>
      </c>
      <c r="D47" s="11">
        <f t="shared" si="32"/>
        <v>6.9378872840938097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120.81543162720527</v>
      </c>
      <c r="H47" s="67">
        <f t="shared" si="1"/>
        <v>447.39511835312999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108.5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7.7</v>
      </c>
      <c r="N47" s="13">
        <f>IF('Données projet'!$A$36&gt;35,N46+M47-V46,IF(A47&lt;'Données projet'!$A$36,$K$205^A47,IF(A47='Données projet'!$A$36,'Données projet'!$B$36,N46+M47-V46)))</f>
        <v>194.79999999999981</v>
      </c>
      <c r="O47" s="13">
        <f>N47*VLOOKUP('Données projet'!$B$9,Paramètres!$A$1:$I$89,3,0)*VLOOKUP('Données projet'!$B$9,Paramètres!$A$1:$I$89,5,0)</f>
        <v>158.02175999999986</v>
      </c>
      <c r="P47" s="13">
        <f t="shared" si="33"/>
        <v>40.395995288758058</v>
      </c>
      <c r="Q47" s="20">
        <f t="shared" si="53"/>
        <v>345.57759046125335</v>
      </c>
      <c r="R47" s="59">
        <f t="shared" si="0"/>
        <v>780.07759046125329</v>
      </c>
      <c r="S47" s="59">
        <f ca="1">AVERAGE(OFFSET($R$3,0,0,'Données projet'!$E$9+1,1))-AVERAGE(OFFSET($H$3,0,0,'Données projet'!$E$9+1,1))</f>
        <v>273.89826011924487</v>
      </c>
      <c r="T47" s="59">
        <f t="shared" si="34"/>
        <v>332.17519939974227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5.7698935116483021</v>
      </c>
      <c r="AB47" s="21">
        <f>EXP(-LN(2)/2)*AB46+(1-EXP(-LN(2)/2))/(LN(2)/2)*V47*Y47*VLOOKUP('Données projet'!$B$9,Paramètres!$A$1:$I$89,3,0)*0.475*44/12</f>
        <v>8.5723197985210053E-2</v>
      </c>
      <c r="AC47" s="22">
        <f t="shared" si="3"/>
        <v>5.8556167096335123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108.5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11.499999999999996</v>
      </c>
      <c r="AI47" s="13">
        <f>IF('Données projet'!$A$62&gt;35,AI46+AH47-AQ46,IF(A47&lt;'Données projet'!$A$62,$AF$205^A47,IF(A47='Données projet'!$A$62,'Données projet'!$B$62,AI46+AH47-AQ46)))</f>
        <v>254.1999999999999</v>
      </c>
      <c r="AJ47" s="13">
        <f>AI47*VLOOKUP('Données projet'!$B$10,Paramètres!$A$1:$I$89,3,0)*VLOOKUP('Données projet'!$B$10,Paramètres!$A$1:$I$89,5,0)</f>
        <v>118.96559999999995</v>
      </c>
      <c r="AK47" s="13">
        <f t="shared" si="35"/>
        <v>31.433621056182272</v>
      </c>
      <c r="AL47" s="20">
        <f t="shared" si="4"/>
        <v>261.945310006184</v>
      </c>
      <c r="AM47" s="59">
        <f t="shared" si="5"/>
        <v>696.44531000618395</v>
      </c>
      <c r="AN47" s="59">
        <f ca="1">AVERAGE(OFFSET($AM$3,0,0,'Données projet'!$E$10+1,1))-AVERAGE(OFFSET($H$3,0,0,'Données projet'!$E$10+1,1))</f>
        <v>293.42903587188346</v>
      </c>
      <c r="AO47" s="59">
        <f t="shared" si="36"/>
        <v>267.80827667062124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2.3755686314791387</v>
      </c>
      <c r="AV47" s="21">
        <f>EXP(-LN(2)/25)*AV46+(1-EXP(-LN(2)/25))/(LN(2)/25)*Calculateur!AQ47*Calculateur!AS47*VLOOKUP('Données projet'!$B$10,Paramètres!$A$1:$I$89,3,0)*0.475*44/12</f>
        <v>5.3283784683690714</v>
      </c>
      <c r="AW47" s="21">
        <f>EXP(-LN(2)/2)*AW46+(1-EXP(-LN(2)/2))/(LN(2)/2)*AQ47*AT47*VLOOKUP('Données projet'!$B$10,Paramètres!$A$1:$I$89,3,0)*0.475*44/12</f>
        <v>7.6813878752312437E-2</v>
      </c>
      <c r="AX47" s="21">
        <f t="shared" si="6"/>
        <v>7.7807609786005223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108.5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8.3000000000000007</v>
      </c>
      <c r="BD47" s="12">
        <f>IF('Données projet'!$A$88&gt;35,BD46+BC47-BL46,IF(A47&lt;'Données projet'!$A$88,$BA$205^A47,IF(A47='Données projet'!$A$88,'Données projet'!$B$88,BD46+BC47-BL46)))</f>
        <v>149.19999999999999</v>
      </c>
      <c r="BE47" s="13">
        <f>BD47*VLOOKUP('Données projet'!$B$11,Paramètres!$A$1:$I$89,3,0)*VLOOKUP('Données projet'!$B$11,Paramètres!$A$1:$I$89,5,0)</f>
        <v>134.99615999999997</v>
      </c>
      <c r="BF47" s="13">
        <f t="shared" si="37"/>
        <v>35.148279172043118</v>
      </c>
      <c r="BG47" s="20">
        <f t="shared" si="7"/>
        <v>296.33489822464168</v>
      </c>
      <c r="BH47" s="59">
        <f t="shared" si="8"/>
        <v>730.83489822464162</v>
      </c>
      <c r="BI47" s="59">
        <f ca="1">AVERAGE(OFFSET($BH$3,0,0,'Données projet'!$E$11+1,1))-AVERAGE(OFFSET($H$3,0,0,'Données projet'!$E$11+1,1))</f>
        <v>324.41828402031939</v>
      </c>
      <c r="BJ47" s="59">
        <f t="shared" si="38"/>
        <v>233.01060088065992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2.106764582792362</v>
      </c>
      <c r="BR47" s="21">
        <f>EXP(-LN(2)/2)*BR46+(1-EXP(-LN(2)/2))/(LN(2)/2)*BL47*BO47*VLOOKUP('Données projet'!$B$11,Paramètres!$A$1:$I$89,3,0)*0.475*44/12</f>
        <v>4.8354280112722088E-2</v>
      </c>
      <c r="BS47" s="22">
        <f t="shared" si="9"/>
        <v>2.1551188629050841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108.5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11.5</v>
      </c>
      <c r="BY47" s="12">
        <f>IF('Données projet'!$A$114&gt;35,BY46+BX47-CG46,IF(A47&lt;'Données projet'!$A$114,$BV$205^A47,IF(A47='Données projet'!$A$114,'Données projet'!$B$114,BY46+BX47-CG46)))</f>
        <v>280.00000000000011</v>
      </c>
      <c r="BZ47" s="13">
        <f>BY47*VLOOKUP('Données projet'!$B$12,Paramètres!$A$1:$I$89,3,0)*VLOOKUP('Données projet'!$B$12,Paramètres!$A$1:$I$89,5,0)</f>
        <v>152.88000000000005</v>
      </c>
      <c r="CA47" s="13">
        <f t="shared" si="39"/>
        <v>39.232349774697852</v>
      </c>
      <c r="CB47" s="20">
        <f t="shared" si="10"/>
        <v>334.59567585759885</v>
      </c>
      <c r="CC47" s="59">
        <f t="shared" si="11"/>
        <v>769.09567585759885</v>
      </c>
      <c r="CD47" s="59">
        <f ca="1">AVERAGE(OFFSET($CC$3,0,0,'Données projet'!$E$12+1,1))-AVERAGE(OFFSET($H$3,0,0,'Données projet'!$E$12+1,1))</f>
        <v>279.00060755204919</v>
      </c>
      <c r="CE47" s="59">
        <f t="shared" si="40"/>
        <v>333.91128554211014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5.533112914675117</v>
      </c>
      <c r="CL47" s="21">
        <f>EXP(-LN(2)/25)*CL46+(1-EXP(-LN(2)/25))/(LN(2)/25)*Calculateur!CG47*Calculateur!CI47*VLOOKUP('Données projet'!$B$12,Paramètres!$A$1:$I$89,3,0)*0.475*44/12</f>
        <v>18.877633242112342</v>
      </c>
      <c r="CM47" s="21">
        <f>EXP(-LN(2)/2)*CM46+(1-EXP(-LN(2)/2))/(LN(2)/2)*CG47*CJ47*VLOOKUP('Données projet'!$B$12,Paramètres!$A$1:$I$89,3,0)*0.475*44/12</f>
        <v>0.1683897557605597</v>
      </c>
      <c r="CN47" s="22">
        <f t="shared" si="12"/>
        <v>24.579135912548022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108.5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17.100000000000001</v>
      </c>
      <c r="CT47" s="12">
        <f>IF('Données projet'!$A$140&gt;35,CT46+CS47-DB46,IF(A47&lt;'Données projet'!$A$140,$CQ$205^A47,IF(A47='Données projet'!$A$140,'Données projet'!$B$140,CT46+CS47-DB46)))</f>
        <v>353.40000000000032</v>
      </c>
      <c r="CU47" s="17">
        <f>CT47*VLOOKUP('Données projet'!$B$13,Paramètres!$A$1:$I$89,3,0)*VLOOKUP('Données projet'!$B$13,Paramètres!$A$1:$I$89,5,0)</f>
        <v>211.33320000000023</v>
      </c>
      <c r="CV47" s="13">
        <f t="shared" si="41"/>
        <v>52.226816049120458</v>
      </c>
      <c r="CW47" s="20">
        <f t="shared" si="13"/>
        <v>459.03369461888519</v>
      </c>
      <c r="CX47" s="59">
        <f t="shared" si="14"/>
        <v>893.53369461888519</v>
      </c>
      <c r="CY47" s="59">
        <f ca="1">AVERAGE(OFFSET($CX$3,0,0,'Données projet'!$E$13+1,1))-AVERAGE(OFFSET($H$3,0,0,'Données projet'!$E$13+1,1))</f>
        <v>380.01315081072897</v>
      </c>
      <c r="CZ47" s="59">
        <f t="shared" si="42"/>
        <v>404.90871625409181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2.6512832716151609</v>
      </c>
      <c r="DG47" s="21">
        <f>EXP(-LN(2)/25)*DG46+(1-EXP(-LN(2)/25))/(LN(2)/25)*Calculateur!DB47*Calculateur!DD47*VLOOKUP('Données projet'!$B$13,Paramètres!$A$1:$I$89,3,0)*0.475*44/12</f>
        <v>14.474777018608286</v>
      </c>
      <c r="DH47" s="21">
        <f>EXP(-LN(2)/2)*DH46+(1-EXP(-LN(2)/2))/(LN(2)/2)*DB47*DE47*VLOOKUP('Données projet'!$B$13,Paramètres!$A$1:$I$89,3,0)*0.475*44/12</f>
        <v>0.23674479778257043</v>
      </c>
      <c r="DI47" s="22">
        <f t="shared" si="15"/>
        <v>17.362805088006017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108.5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-5.6843418860808015E-14</v>
      </c>
      <c r="DP47" s="17">
        <f>DO47*VLOOKUP('Données projet'!$B$14,Paramètres!$A$1:$I$89,3,0)*VLOOKUP('Données projet'!$B$14,Paramètres!$A$1:$I$89,5,0)</f>
        <v>-5.1431925385259088E-14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320.81451813551064</v>
      </c>
      <c r="DU47" s="59">
        <f t="shared" si="44"/>
        <v>522.80818268773976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1.3910818588615887</v>
      </c>
      <c r="EB47" s="21">
        <f>EXP(-LN(2)/25)*EB46+(1-EXP(-LN(2)/25))/(LN(2)/25)*Calculateur!DW47*Calculateur!DY47*VLOOKUP('Données projet'!$B$14,Paramètres!$A$1:$I$89,3,0)*0.475*44/12</f>
        <v>7.0719507510337589</v>
      </c>
      <c r="EC47" s="21">
        <f>EXP(-LN(2)/2)*EC46+(1-EXP(-LN(2)/2))/(LN(2)/2)*DW47*DZ47*VLOOKUP('Données projet'!$B$14,Paramètres!$A$1:$I$89,3,0)*0.475*44/12</f>
        <v>4.6788152387784575E-2</v>
      </c>
      <c r="ED47" s="22">
        <f t="shared" si="18"/>
        <v>8.5098207622831321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108.5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9.8333333333333339</v>
      </c>
      <c r="EJ47" s="12">
        <f>IF('Données projet'!$A$192&gt;35,EJ46+EI47-ER46,IF(A47&lt;'Données projet'!$A$192,$EG$205^A47,IF(A47='Données projet'!$A$192,'Données projet'!$B$192,EJ46+EI47-ER46)))</f>
        <v>273.33333333333337</v>
      </c>
      <c r="EK47" s="17">
        <f>EJ47*VLOOKUP('Données projet'!$B$15,Paramètres!$A$1:$I$89,3,0)*VLOOKUP('Données projet'!$B$15,Paramètres!$A$1:$I$89,5,0)</f>
        <v>163.45333333333338</v>
      </c>
      <c r="EL47" s="13">
        <f t="shared" si="45"/>
        <v>41.620453722976563</v>
      </c>
      <c r="EM47" s="20">
        <f t="shared" si="19"/>
        <v>357.17017912307307</v>
      </c>
      <c r="EN47" s="59">
        <f t="shared" si="20"/>
        <v>791.67017912307301</v>
      </c>
      <c r="EO47" s="59">
        <f ca="1">AVERAGE(OFFSET($EN$3,0,0,'Données projet'!$E$15+1,1))-AVERAGE(OFFSET($H$3,0,0,'Données projet'!$E$15+1,1))</f>
        <v>228.3393311631487</v>
      </c>
      <c r="EP47" s="59">
        <f t="shared" si="46"/>
        <v>266.26050497804033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4.708015887250987</v>
      </c>
      <c r="EW47" s="21">
        <f>EXP(-LN(2)/25)*EW46+(1-EXP(-LN(2)/25))/(LN(2)/25)*Calculateur!ER47*Calculateur!ET47*VLOOKUP('Données projet'!$B$15,Paramètres!$A$1:$I$89,3,0)*0.475*44/12</f>
        <v>8.3640641121254671</v>
      </c>
      <c r="EX47" s="21">
        <f>EXP(-LN(2)/2)*EX46+(1-EXP(-LN(2)/2))/(LN(2)/2)*ER47*EU47*VLOOKUP('Données projet'!$B$15,Paramètres!$A$1:$I$89,3,0)*0.475*44/12</f>
        <v>4.2544471672454343E-2</v>
      </c>
      <c r="EY47" s="22">
        <f t="shared" si="21"/>
        <v>13.114624471048909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108.5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14.3</v>
      </c>
      <c r="FE47" s="12">
        <f>IF('Données projet'!$A$218&gt;35,FE46+FD47-FM46,IF(A47&lt;'Données projet'!$A$218,$FB$205^A47,IF(A47='Données projet'!$A$218,'Données projet'!$B$218,FE46+FD47-FM46)))</f>
        <v>226.2</v>
      </c>
      <c r="FF47" s="17">
        <f>FE47*VLOOKUP('Données projet'!$B$16,Paramètres!$A$1:$I$89,3,0)*VLOOKUP('Données projet'!$B$16,Paramètres!$A$1:$I$89,5,0)</f>
        <v>129.38639999999998</v>
      </c>
      <c r="FG47" s="13">
        <f t="shared" si="47"/>
        <v>33.854535370613924</v>
      </c>
      <c r="FH47" s="20">
        <f t="shared" si="22"/>
        <v>284.31129577048586</v>
      </c>
      <c r="FI47" s="59">
        <f t="shared" si="23"/>
        <v>718.81129577048591</v>
      </c>
      <c r="FJ47" s="59">
        <f ca="1">AVERAGE(OFFSET($FI$3,0,0,'Données projet'!$E$16+1,1))-AVERAGE(OFFSET($H$3,0,0,'Données projet'!$E$16+1,1))</f>
        <v>242.10913976205194</v>
      </c>
      <c r="FK47" s="59">
        <f t="shared" si="48"/>
        <v>198.24795425321133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7.3510298384511952</v>
      </c>
      <c r="FS47" s="21">
        <f>EXP(-LN(2)/2)*FS46+(1-EXP(-LN(2)/2))/(LN(2)/2)*FM47*FP47*VLOOKUP('Données projet'!$B$16,Paramètres!$A$1:$I$89,3,0)*0.475*44/12</f>
        <v>0.10330220744809657</v>
      </c>
      <c r="FT47" s="22">
        <f t="shared" si="24"/>
        <v>7.4543320458992914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108.5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108.5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22.007699999999986</v>
      </c>
      <c r="D48" s="11">
        <f t="shared" si="32"/>
        <v>7.0770299257655793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123.4825375795661</v>
      </c>
      <c r="H48" s="67">
        <f t="shared" si="1"/>
        <v>448.48923795404164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108.5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7.7</v>
      </c>
      <c r="N48" s="13">
        <f>IF('Données projet'!$A$36&gt;35,N47+M48-V47,IF(A48&lt;'Données projet'!$A$36,$K$205^A48,IF(A48='Données projet'!$A$36,'Données projet'!$B$36,N47+M48-V47)))</f>
        <v>202.4999999999998</v>
      </c>
      <c r="O48" s="13">
        <f>N48*VLOOKUP('Données projet'!$B$9,Paramètres!$A$1:$I$89,3,0)*VLOOKUP('Données projet'!$B$9,Paramètres!$A$1:$I$89,5,0)</f>
        <v>164.26799999999986</v>
      </c>
      <c r="P48" s="13">
        <f t="shared" si="33"/>
        <v>41.803694835525619</v>
      </c>
      <c r="Q48" s="20">
        <f t="shared" si="53"/>
        <v>358.90820183854021</v>
      </c>
      <c r="R48" s="59">
        <f t="shared" si="0"/>
        <v>793.40820183854021</v>
      </c>
      <c r="S48" s="59">
        <f ca="1">AVERAGE(OFFSET($R$3,0,0,'Données projet'!$E$9+1,1))-AVERAGE(OFFSET($H$3,0,0,'Données projet'!$E$9+1,1))</f>
        <v>273.89826011924487</v>
      </c>
      <c r="T48" s="59">
        <f t="shared" si="34"/>
        <v>332.17519939974227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5.612115470146767</v>
      </c>
      <c r="AB48" s="21">
        <f>EXP(-LN(2)/2)*AB47+(1-EXP(-LN(2)/2))/(LN(2)/2)*V48*Y48*VLOOKUP('Données projet'!$B$9,Paramètres!$A$1:$I$89,3,0)*0.475*44/12</f>
        <v>6.0615454600339021E-2</v>
      </c>
      <c r="AC48" s="22">
        <f t="shared" si="3"/>
        <v>5.6727309247471061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108.5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11.499999999999996</v>
      </c>
      <c r="AI48" s="13">
        <f>IF('Données projet'!$A$62&gt;35,AI47+AH48-AQ47,IF(A48&lt;'Données projet'!$A$62,$AF$205^A48,IF(A48='Données projet'!$A$62,'Données projet'!$B$62,AI47+AH48-AQ47)))</f>
        <v>265.69999999999987</v>
      </c>
      <c r="AJ48" s="13">
        <f>AI48*VLOOKUP('Données projet'!$B$10,Paramètres!$A$1:$I$89,3,0)*VLOOKUP('Données projet'!$B$10,Paramètres!$A$1:$I$89,5,0)</f>
        <v>124.34759999999994</v>
      </c>
      <c r="AK48" s="13">
        <f t="shared" si="35"/>
        <v>32.68689576547478</v>
      </c>
      <c r="AL48" s="20">
        <f t="shared" si="4"/>
        <v>273.50174679153514</v>
      </c>
      <c r="AM48" s="59">
        <f t="shared" si="5"/>
        <v>708.0017467915352</v>
      </c>
      <c r="AN48" s="59">
        <f ca="1">AVERAGE(OFFSET($AM$3,0,0,'Données projet'!$E$10+1,1))-AVERAGE(OFFSET($H$3,0,0,'Données projet'!$E$10+1,1))</f>
        <v>293.42903587188346</v>
      </c>
      <c r="AO48" s="59">
        <f t="shared" si="36"/>
        <v>267.80827667062124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2.3289851795696257</v>
      </c>
      <c r="AV48" s="21">
        <f>EXP(-LN(2)/25)*AV47+(1-EXP(-LN(2)/25))/(LN(2)/25)*Calculateur!AQ48*Calculateur!AS48*VLOOKUP('Données projet'!$B$10,Paramètres!$A$1:$I$89,3,0)*0.475*44/12</f>
        <v>5.1826736789442736</v>
      </c>
      <c r="AW48" s="21">
        <f>EXP(-LN(2)/2)*AW47+(1-EXP(-LN(2)/2))/(LN(2)/2)*AQ48*AT48*VLOOKUP('Données projet'!$B$10,Paramètres!$A$1:$I$89,3,0)*0.475*44/12</f>
        <v>5.4315614555001383E-2</v>
      </c>
      <c r="AX48" s="21">
        <f t="shared" si="6"/>
        <v>7.5659744730689003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108.5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8.3000000000000007</v>
      </c>
      <c r="BD48" s="12">
        <f>IF('Données projet'!$A$88&gt;35,BD47+BC48-BL47,IF(A48&lt;'Données projet'!$A$88,$BA$205^A48,IF(A48='Données projet'!$A$88,'Données projet'!$B$88,BD47+BC48-BL47)))</f>
        <v>157.5</v>
      </c>
      <c r="BE48" s="13">
        <f>BD48*VLOOKUP('Données projet'!$B$11,Paramètres!$A$1:$I$89,3,0)*VLOOKUP('Données projet'!$B$11,Paramètres!$A$1:$I$89,5,0)</f>
        <v>142.506</v>
      </c>
      <c r="BF48" s="13">
        <f t="shared" si="37"/>
        <v>36.870500776307537</v>
      </c>
      <c r="BG48" s="20">
        <f t="shared" si="7"/>
        <v>312.41407218540223</v>
      </c>
      <c r="BH48" s="59">
        <f t="shared" si="8"/>
        <v>746.91407218540223</v>
      </c>
      <c r="BI48" s="59">
        <f ca="1">AVERAGE(OFFSET($BH$3,0,0,'Données projet'!$E$11+1,1))-AVERAGE(OFFSET($H$3,0,0,'Données projet'!$E$11+1,1))</f>
        <v>324.41828402031939</v>
      </c>
      <c r="BJ48" s="59">
        <f t="shared" si="38"/>
        <v>233.01060088065992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2.0491549944859706</v>
      </c>
      <c r="BR48" s="21">
        <f>EXP(-LN(2)/2)*BR47+(1-EXP(-LN(2)/2))/(LN(2)/2)*BL48*BO48*VLOOKUP('Données projet'!$B$11,Paramètres!$A$1:$I$89,3,0)*0.475*44/12</f>
        <v>3.4191639367099604E-2</v>
      </c>
      <c r="BS48" s="22">
        <f t="shared" si="9"/>
        <v>2.0833466338530702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108.5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11.5</v>
      </c>
      <c r="BY48" s="12">
        <f>IF('Données projet'!$A$114&gt;35,BY47+BX48-CG47,IF(A48&lt;'Données projet'!$A$114,$BV$205^A48,IF(A48='Données projet'!$A$114,'Données projet'!$B$114,BY47+BX48-CG47)))</f>
        <v>291.50000000000011</v>
      </c>
      <c r="BZ48" s="13">
        <f>BY48*VLOOKUP('Données projet'!$B$12,Paramètres!$A$1:$I$89,3,0)*VLOOKUP('Données projet'!$B$12,Paramètres!$A$1:$I$89,5,0)</f>
        <v>159.15900000000008</v>
      </c>
      <c r="CA48" s="13">
        <f t="shared" si="39"/>
        <v>40.65276736661405</v>
      </c>
      <c r="CB48" s="20">
        <f t="shared" si="10"/>
        <v>348.00549483018625</v>
      </c>
      <c r="CC48" s="59">
        <f t="shared" si="11"/>
        <v>782.50549483018631</v>
      </c>
      <c r="CD48" s="59">
        <f ca="1">AVERAGE(OFFSET($CC$3,0,0,'Données projet'!$E$12+1,1))-AVERAGE(OFFSET($H$3,0,0,'Données projet'!$E$12+1,1))</f>
        <v>279.00060755204919</v>
      </c>
      <c r="CE48" s="59">
        <f t="shared" si="40"/>
        <v>333.91128554211014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5.4246119452839761</v>
      </c>
      <c r="CL48" s="21">
        <f>EXP(-LN(2)/25)*CL47+(1-EXP(-LN(2)/25))/(LN(2)/25)*Calculateur!CG48*Calculateur!CI48*VLOOKUP('Données projet'!$B$12,Paramètres!$A$1:$I$89,3,0)*0.475*44/12</f>
        <v>18.361423368375192</v>
      </c>
      <c r="CM48" s="21">
        <f>EXP(-LN(2)/2)*CM47+(1-EXP(-LN(2)/2))/(LN(2)/2)*CG48*CJ48*VLOOKUP('Données projet'!$B$12,Paramètres!$A$1:$I$89,3,0)*0.475*44/12</f>
        <v>0.11906953818063827</v>
      </c>
      <c r="CN48" s="22">
        <f t="shared" si="12"/>
        <v>23.905104851839809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108.5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17.100000000000001</v>
      </c>
      <c r="CT48" s="12">
        <f>IF('Données projet'!$A$140&gt;35,CT47+CS48-DB47,IF(A48&lt;'Données projet'!$A$140,$CQ$205^A48,IF(A48='Données projet'!$A$140,'Données projet'!$B$140,CT47+CS48-DB47)))</f>
        <v>370.50000000000034</v>
      </c>
      <c r="CU48" s="17">
        <f>CT48*VLOOKUP('Données projet'!$B$13,Paramètres!$A$1:$I$89,3,0)*VLOOKUP('Données projet'!$B$13,Paramètres!$A$1:$I$89,5,0)</f>
        <v>221.55900000000022</v>
      </c>
      <c r="CV48" s="13">
        <f t="shared" si="41"/>
        <v>54.453587288087114</v>
      </c>
      <c r="CW48" s="20">
        <f t="shared" si="13"/>
        <v>480.72192286008544</v>
      </c>
      <c r="CX48" s="59">
        <f t="shared" si="14"/>
        <v>915.22192286008544</v>
      </c>
      <c r="CY48" s="59">
        <f ca="1">AVERAGE(OFFSET($CX$3,0,0,'Données projet'!$E$13+1,1))-AVERAGE(OFFSET($H$3,0,0,'Données projet'!$E$13+1,1))</f>
        <v>380.01315081072897</v>
      </c>
      <c r="CZ48" s="59">
        <f t="shared" si="42"/>
        <v>404.90871625409181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2.5992932237819057</v>
      </c>
      <c r="DG48" s="21">
        <f>EXP(-LN(2)/25)*DG47+(1-EXP(-LN(2)/25))/(LN(2)/25)*Calculateur!DB48*Calculateur!DD48*VLOOKUP('Données projet'!$B$13,Paramètres!$A$1:$I$89,3,0)*0.475*44/12</f>
        <v>14.078963479839002</v>
      </c>
      <c r="DH48" s="21">
        <f>EXP(-LN(2)/2)*DH47+(1-EXP(-LN(2)/2))/(LN(2)/2)*DB48*DE48*VLOOKUP('Données projet'!$B$13,Paramètres!$A$1:$I$89,3,0)*0.475*44/12</f>
        <v>0.16740385192269347</v>
      </c>
      <c r="DI48" s="22">
        <f t="shared" si="15"/>
        <v>16.845660555543599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108.5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-5.6843418860808015E-14</v>
      </c>
      <c r="DP48" s="17">
        <f>DO48*VLOOKUP('Données projet'!$B$14,Paramètres!$A$1:$I$89,3,0)*VLOOKUP('Données projet'!$B$14,Paramètres!$A$1:$I$89,5,0)</f>
        <v>-5.1431925385259088E-14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320.81451813551064</v>
      </c>
      <c r="DU48" s="59">
        <f t="shared" si="44"/>
        <v>522.80818268773976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1.3638035920854668</v>
      </c>
      <c r="EB48" s="21">
        <f>EXP(-LN(2)/25)*EB47+(1-EXP(-LN(2)/25))/(LN(2)/25)*Calculateur!DW48*Calculateur!DY48*VLOOKUP('Données projet'!$B$14,Paramètres!$A$1:$I$89,3,0)*0.475*44/12</f>
        <v>6.878567885849014</v>
      </c>
      <c r="EC48" s="21">
        <f>EXP(-LN(2)/2)*EC47+(1-EXP(-LN(2)/2))/(LN(2)/2)*DW48*DZ48*VLOOKUP('Données projet'!$B$14,Paramètres!$A$1:$I$89,3,0)*0.475*44/12</f>
        <v>3.3084219832592028E-2</v>
      </c>
      <c r="ED48" s="22">
        <f t="shared" si="18"/>
        <v>8.2754556977670717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108.5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9.8333333333333339</v>
      </c>
      <c r="EJ48" s="12">
        <f>IF('Données projet'!$A$192&gt;35,EJ47+EI48-ER47,IF(A48&lt;'Données projet'!$A$192,$EG$205^A48,IF(A48='Données projet'!$A$192,'Données projet'!$B$192,EJ47+EI48-ER47)))</f>
        <v>283.16666666666669</v>
      </c>
      <c r="EK48" s="17">
        <f>EJ48*VLOOKUP('Données projet'!$B$15,Paramètres!$A$1:$I$89,3,0)*VLOOKUP('Données projet'!$B$15,Paramètres!$A$1:$I$89,5,0)</f>
        <v>169.33366666666672</v>
      </c>
      <c r="EL48" s="13">
        <f t="shared" si="45"/>
        <v>42.940752990888512</v>
      </c>
      <c r="EM48" s="20">
        <f t="shared" si="19"/>
        <v>369.7112809035753</v>
      </c>
      <c r="EN48" s="59">
        <f t="shared" si="20"/>
        <v>804.21128090357524</v>
      </c>
      <c r="EO48" s="59">
        <f ca="1">AVERAGE(OFFSET($EN$3,0,0,'Données projet'!$E$15+1,1))-AVERAGE(OFFSET($H$3,0,0,'Données projet'!$E$15+1,1))</f>
        <v>228.3393311631487</v>
      </c>
      <c r="EP48" s="59">
        <f t="shared" si="46"/>
        <v>266.26050497804033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4.6156945673081387</v>
      </c>
      <c r="EW48" s="21">
        <f>EXP(-LN(2)/25)*EW47+(1-EXP(-LN(2)/25))/(LN(2)/25)*Calculateur!ER48*Calculateur!ET48*VLOOKUP('Données projet'!$B$15,Paramètres!$A$1:$I$89,3,0)*0.475*44/12</f>
        <v>8.1353483391323813</v>
      </c>
      <c r="EX48" s="21">
        <f>EXP(-LN(2)/2)*EX47+(1-EXP(-LN(2)/2))/(LN(2)/2)*ER48*EU48*VLOOKUP('Données projet'!$B$15,Paramètres!$A$1:$I$89,3,0)*0.475*44/12</f>
        <v>3.0083484421591443E-2</v>
      </c>
      <c r="EY48" s="22">
        <f t="shared" si="21"/>
        <v>12.781126390862113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108.5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14.3</v>
      </c>
      <c r="FE48" s="12">
        <f>IF('Données projet'!$A$218&gt;35,FE47+FD48-FM47,IF(A48&lt;'Données projet'!$A$218,$FB$205^A48,IF(A48='Données projet'!$A$218,'Données projet'!$B$218,FE47+FD48-FM47)))</f>
        <v>240.5</v>
      </c>
      <c r="FF48" s="17">
        <f>FE48*VLOOKUP('Données projet'!$B$16,Paramètres!$A$1:$I$89,3,0)*VLOOKUP('Données projet'!$B$16,Paramètres!$A$1:$I$89,5,0)</f>
        <v>137.566</v>
      </c>
      <c r="FG48" s="13">
        <f t="shared" si="47"/>
        <v>35.738842388209719</v>
      </c>
      <c r="FH48" s="20">
        <f t="shared" si="22"/>
        <v>301.83926715946524</v>
      </c>
      <c r="FI48" s="59">
        <f t="shared" si="23"/>
        <v>736.33926715946518</v>
      </c>
      <c r="FJ48" s="59">
        <f ca="1">AVERAGE(OFFSET($FI$3,0,0,'Données projet'!$E$16+1,1))-AVERAGE(OFFSET($H$3,0,0,'Données projet'!$E$16+1,1))</f>
        <v>242.10913976205194</v>
      </c>
      <c r="FK48" s="59">
        <f t="shared" si="48"/>
        <v>198.24795425321133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7.1500155409448887</v>
      </c>
      <c r="FS48" s="21">
        <f>EXP(-LN(2)/2)*FS47+(1-EXP(-LN(2)/2))/(LN(2)/2)*FM48*FP48*VLOOKUP('Données projet'!$B$16,Paramètres!$A$1:$I$89,3,0)*0.475*44/12</f>
        <v>7.3045691398088558E-2</v>
      </c>
      <c r="FT48" s="22">
        <f t="shared" si="24"/>
        <v>7.2230612323429773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108.5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108.5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22.496759999999984</v>
      </c>
      <c r="D49" s="11">
        <f t="shared" si="32"/>
        <v>7.2158130856217966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126.14811731088548</v>
      </c>
      <c r="H49" s="67">
        <f t="shared" si="1"/>
        <v>449.5827314574579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108.5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7.7</v>
      </c>
      <c r="N49" s="13">
        <f>IF('Données projet'!$A$36&gt;35,N48+M49-V48,IF(A49&lt;'Données projet'!$A$36,$K$205^A49,IF(A49='Données projet'!$A$36,'Données projet'!$B$36,N48+M49-V48)))</f>
        <v>210.19999999999979</v>
      </c>
      <c r="O49" s="13">
        <f>N49*VLOOKUP('Données projet'!$B$9,Paramètres!$A$1:$I$89,3,0)*VLOOKUP('Données projet'!$B$9,Paramètres!$A$1:$I$89,5,0)</f>
        <v>170.51423999999983</v>
      </c>
      <c r="P49" s="13">
        <f t="shared" si="33"/>
        <v>43.20517598524669</v>
      </c>
      <c r="Q49" s="20">
        <f t="shared" si="53"/>
        <v>372.22798284097098</v>
      </c>
      <c r="R49" s="59">
        <f t="shared" si="0"/>
        <v>806.72798284097098</v>
      </c>
      <c r="S49" s="59">
        <f ca="1">AVERAGE(OFFSET($R$3,0,0,'Données projet'!$E$9+1,1))-AVERAGE(OFFSET($H$3,0,0,'Données projet'!$E$9+1,1))</f>
        <v>273.89826011924487</v>
      </c>
      <c r="T49" s="59">
        <f t="shared" si="34"/>
        <v>332.17519939974227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5.4586518774872781</v>
      </c>
      <c r="AB49" s="21">
        <f>EXP(-LN(2)/2)*AB48+(1-EXP(-LN(2)/2))/(LN(2)/2)*V49*Y49*VLOOKUP('Données projet'!$B$9,Paramètres!$A$1:$I$89,3,0)*0.475*44/12</f>
        <v>4.2861598992605034E-2</v>
      </c>
      <c r="AC49" s="22">
        <f t="shared" si="3"/>
        <v>5.5015134764798832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108.5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11.499999999999996</v>
      </c>
      <c r="AI49" s="13">
        <f>IF('Données projet'!$A$62&gt;35,AI48+AH49-AQ48,IF(A49&lt;'Données projet'!$A$62,$AF$205^A49,IF(A49='Données projet'!$A$62,'Données projet'!$B$62,AI48+AH49-AQ48)))</f>
        <v>277.19999999999987</v>
      </c>
      <c r="AJ49" s="13">
        <f>AI49*VLOOKUP('Données projet'!$B$10,Paramètres!$A$1:$I$89,3,0)*VLOOKUP('Données projet'!$B$10,Paramètres!$A$1:$I$89,5,0)</f>
        <v>129.72959999999992</v>
      </c>
      <c r="AK49" s="13">
        <f t="shared" si="35"/>
        <v>33.933870261867483</v>
      </c>
      <c r="AL49" s="20">
        <f t="shared" si="4"/>
        <v>285.04721070608576</v>
      </c>
      <c r="AM49" s="59">
        <f t="shared" si="5"/>
        <v>719.54721070608571</v>
      </c>
      <c r="AN49" s="59">
        <f ca="1">AVERAGE(OFFSET($AM$3,0,0,'Données projet'!$E$10+1,1))-AVERAGE(OFFSET($H$3,0,0,'Données projet'!$E$10+1,1))</f>
        <v>293.42903587188346</v>
      </c>
      <c r="AO49" s="59">
        <f t="shared" si="36"/>
        <v>267.80827667062124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2.2833152007389583</v>
      </c>
      <c r="AV49" s="21">
        <f>EXP(-LN(2)/25)*AV48+(1-EXP(-LN(2)/25))/(LN(2)/25)*Calculateur!AQ49*Calculateur!AS49*VLOOKUP('Données projet'!$B$10,Paramètres!$A$1:$I$89,3,0)*0.475*44/12</f>
        <v>5.040953194648579</v>
      </c>
      <c r="AW49" s="21">
        <f>EXP(-LN(2)/2)*AW48+(1-EXP(-LN(2)/2))/(LN(2)/2)*AQ49*AT49*VLOOKUP('Données projet'!$B$10,Paramètres!$A$1:$I$89,3,0)*0.475*44/12</f>
        <v>3.8406939376156218E-2</v>
      </c>
      <c r="AX49" s="21">
        <f t="shared" si="6"/>
        <v>7.3626753347636944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108.5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8.3000000000000007</v>
      </c>
      <c r="BD49" s="12">
        <f>IF('Données projet'!$A$88&gt;35,BD48+BC49-BL48,IF(A49&lt;'Données projet'!$A$88,$BA$205^A49,IF(A49='Données projet'!$A$88,'Données projet'!$B$88,BD48+BC49-BL48)))</f>
        <v>165.8</v>
      </c>
      <c r="BE49" s="13">
        <f>BD49*VLOOKUP('Données projet'!$B$11,Paramètres!$A$1:$I$89,3,0)*VLOOKUP('Données projet'!$B$11,Paramètres!$A$1:$I$89,5,0)</f>
        <v>150.01584</v>
      </c>
      <c r="BF49" s="13">
        <f t="shared" si="37"/>
        <v>38.582185295570788</v>
      </c>
      <c r="BG49" s="20">
        <f t="shared" si="7"/>
        <v>328.47489405645246</v>
      </c>
      <c r="BH49" s="59">
        <f t="shared" si="8"/>
        <v>762.97489405645251</v>
      </c>
      <c r="BI49" s="59">
        <f ca="1">AVERAGE(OFFSET($BH$3,0,0,'Données projet'!$E$11+1,1))-AVERAGE(OFFSET($H$3,0,0,'Données projet'!$E$11+1,1))</f>
        <v>324.41828402031939</v>
      </c>
      <c r="BJ49" s="59">
        <f t="shared" si="38"/>
        <v>233.01060088065992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1.993120743401374</v>
      </c>
      <c r="BR49" s="21">
        <f>EXP(-LN(2)/2)*BR48+(1-EXP(-LN(2)/2))/(LN(2)/2)*BL49*BO49*VLOOKUP('Données projet'!$B$11,Paramètres!$A$1:$I$89,3,0)*0.475*44/12</f>
        <v>2.4177140056361044E-2</v>
      </c>
      <c r="BS49" s="22">
        <f t="shared" si="9"/>
        <v>2.0172978834577351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108.5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11.5</v>
      </c>
      <c r="BY49" s="12">
        <f>IF('Données projet'!$A$114&gt;35,BY48+BX49-CG48,IF(A49&lt;'Données projet'!$A$114,$BV$205^A49,IF(A49='Données projet'!$A$114,'Données projet'!$B$114,BY48+BX49-CG48)))</f>
        <v>303.00000000000011</v>
      </c>
      <c r="BZ49" s="13">
        <f>BY49*VLOOKUP('Données projet'!$B$12,Paramètres!$A$1:$I$89,3,0)*VLOOKUP('Données projet'!$B$12,Paramètres!$A$1:$I$89,5,0)</f>
        <v>165.43800000000007</v>
      </c>
      <c r="CA49" s="13">
        <f t="shared" si="39"/>
        <v>42.066675415215805</v>
      </c>
      <c r="CB49" s="20">
        <f t="shared" si="10"/>
        <v>361.40397634816759</v>
      </c>
      <c r="CC49" s="59">
        <f t="shared" si="11"/>
        <v>795.90397634816759</v>
      </c>
      <c r="CD49" s="59">
        <f ca="1">AVERAGE(OFFSET($CC$3,0,0,'Données projet'!$E$12+1,1))-AVERAGE(OFFSET($H$3,0,0,'Données projet'!$E$12+1,1))</f>
        <v>279.00060755204919</v>
      </c>
      <c r="CE49" s="59">
        <f t="shared" si="40"/>
        <v>333.91128554211014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5.3182386137235387</v>
      </c>
      <c r="CL49" s="21">
        <f>EXP(-LN(2)/25)*CL48+(1-EXP(-LN(2)/25))/(LN(2)/25)*Calculateur!CG49*Calculateur!CI49*VLOOKUP('Données projet'!$B$12,Paramètres!$A$1:$I$89,3,0)*0.475*44/12</f>
        <v>17.859329280781683</v>
      </c>
      <c r="CM49" s="21">
        <f>EXP(-LN(2)/2)*CM48+(1-EXP(-LN(2)/2))/(LN(2)/2)*CG49*CJ49*VLOOKUP('Données projet'!$B$12,Paramètres!$A$1:$I$89,3,0)*0.475*44/12</f>
        <v>8.4194877880279864E-2</v>
      </c>
      <c r="CN49" s="22">
        <f t="shared" si="12"/>
        <v>23.261762772385502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108.5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17.100000000000001</v>
      </c>
      <c r="CT49" s="12">
        <f>IF('Données projet'!$A$140&gt;35,CT48+CS49-DB48,IF(A49&lt;'Données projet'!$A$140,$CQ$205^A49,IF(A49='Données projet'!$A$140,'Données projet'!$B$140,CT48+CS49-DB48)))</f>
        <v>387.60000000000036</v>
      </c>
      <c r="CU49" s="17">
        <f>CT49*VLOOKUP('Données projet'!$B$13,Paramètres!$A$1:$I$89,3,0)*VLOOKUP('Données projet'!$B$13,Paramètres!$A$1:$I$89,5,0)</f>
        <v>231.78480000000022</v>
      </c>
      <c r="CV49" s="13">
        <f t="shared" si="41"/>
        <v>56.668423229243544</v>
      </c>
      <c r="CW49" s="20">
        <f t="shared" si="13"/>
        <v>502.3893637909328</v>
      </c>
      <c r="CX49" s="59">
        <f t="shared" si="14"/>
        <v>936.88936379093275</v>
      </c>
      <c r="CY49" s="59">
        <f ca="1">AVERAGE(OFFSET($CX$3,0,0,'Données projet'!$E$13+1,1))-AVERAGE(OFFSET($H$3,0,0,'Données projet'!$E$13+1,1))</f>
        <v>380.01315081072897</v>
      </c>
      <c r="CZ49" s="59">
        <f t="shared" si="42"/>
        <v>404.90871625409181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2.5483226690758625</v>
      </c>
      <c r="DG49" s="21">
        <f>EXP(-LN(2)/25)*DG48+(1-EXP(-LN(2)/25))/(LN(2)/25)*Calculateur!DB49*Calculateur!DD49*VLOOKUP('Données projet'!$B$13,Paramètres!$A$1:$I$89,3,0)*0.475*44/12</f>
        <v>13.693973483102294</v>
      </c>
      <c r="DH49" s="21">
        <f>EXP(-LN(2)/2)*DH48+(1-EXP(-LN(2)/2))/(LN(2)/2)*DB49*DE49*VLOOKUP('Données projet'!$B$13,Paramètres!$A$1:$I$89,3,0)*0.475*44/12</f>
        <v>0.11837239889128522</v>
      </c>
      <c r="DI49" s="22">
        <f t="shared" si="15"/>
        <v>16.360668551069441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108.5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-5.6843418860808015E-14</v>
      </c>
      <c r="DP49" s="17">
        <f>DO49*VLOOKUP('Données projet'!$B$14,Paramètres!$A$1:$I$89,3,0)*VLOOKUP('Données projet'!$B$14,Paramètres!$A$1:$I$89,5,0)</f>
        <v>-5.1431925385259088E-14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320.81451813551064</v>
      </c>
      <c r="DU49" s="59">
        <f t="shared" si="44"/>
        <v>522.80818268773976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1.3370602354827248</v>
      </c>
      <c r="EB49" s="21">
        <f>EXP(-LN(2)/25)*EB48+(1-EXP(-LN(2)/25))/(LN(2)/25)*Calculateur!DW49*Calculateur!DY49*VLOOKUP('Données projet'!$B$14,Paramètres!$A$1:$I$89,3,0)*0.475*44/12</f>
        <v>6.6904730852823091</v>
      </c>
      <c r="EC49" s="21">
        <f>EXP(-LN(2)/2)*EC48+(1-EXP(-LN(2)/2))/(LN(2)/2)*DW49*DZ49*VLOOKUP('Données projet'!$B$14,Paramètres!$A$1:$I$89,3,0)*0.475*44/12</f>
        <v>2.3394076193892287E-2</v>
      </c>
      <c r="ED49" s="22">
        <f t="shared" si="18"/>
        <v>8.0509273969589259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108.5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>
        <f>VLOOKUP(A49,'Données projet'!$A$191:$I$211,2,0)</f>
        <v>293</v>
      </c>
      <c r="EH49" s="12">
        <f>VLOOKUP(A49,'Données projet'!$A$191:$I$211,9,0)</f>
        <v>9.8333333333333339</v>
      </c>
      <c r="EI49" s="12">
        <f t="array" ref="EI49">INDEX(EH:EH,MIN(IF(ISNUMBER(EH49:EH245),ROW(EH49:EH245),"")))</f>
        <v>9.8333333333333339</v>
      </c>
      <c r="EJ49" s="12">
        <f>IF('Données projet'!$A$192&gt;35,EJ48+EI49-ER48,IF(A49&lt;'Données projet'!$A$192,$EG$205^A49,IF(A49='Données projet'!$A$192,'Données projet'!$B$192,EJ48+EI49-ER48)))</f>
        <v>293</v>
      </c>
      <c r="EK49" s="17">
        <f>EJ49*VLOOKUP('Données projet'!$B$15,Paramètres!$A$1:$I$89,3,0)*VLOOKUP('Données projet'!$B$15,Paramètres!$A$1:$I$89,5,0)</f>
        <v>175.214</v>
      </c>
      <c r="EL49" s="13">
        <f t="shared" si="45"/>
        <v>44.255725061661991</v>
      </c>
      <c r="EM49" s="20">
        <f t="shared" si="19"/>
        <v>382.24310448239459</v>
      </c>
      <c r="EN49" s="59">
        <f t="shared" si="20"/>
        <v>816.74310448239453</v>
      </c>
      <c r="EO49" s="59">
        <f ca="1">AVERAGE(OFFSET($EN$3,0,0,'Données projet'!$E$15+1,1))-AVERAGE(OFFSET($H$3,0,0,'Données projet'!$E$15+1,1))</f>
        <v>228.3393311631487</v>
      </c>
      <c r="EP49" s="59">
        <f t="shared" si="46"/>
        <v>266.26050497804033</v>
      </c>
      <c r="EQ49" s="15">
        <f>IF(ISNA(VLOOKUP(A49,'Données projet'!$A$191:$I$211,3,0)),0,VLOOKUP(A49,'Données projet'!$A$191:$I$211,3,0))</f>
        <v>7</v>
      </c>
      <c r="ER49" s="15">
        <f>IF(ISNA(VLOOKUP(A49,'Données projet'!$A$191:$I$211,4,0)),0,VLOOKUP(A49,'Données projet'!$A$191:$I$211,4,0))</f>
        <v>29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4.5251836121389246</v>
      </c>
      <c r="EW49" s="21">
        <f>EXP(-LN(2)/25)*EW48+(1-EXP(-LN(2)/25))/(LN(2)/25)*Calculateur!ER49*Calculateur!ET49*VLOOKUP('Données projet'!$B$15,Paramètres!$A$1:$I$89,3,0)*0.475*44/12</f>
        <v>7.9128868109794306</v>
      </c>
      <c r="EX49" s="21">
        <f>EXP(-LN(2)/2)*EX48+(1-EXP(-LN(2)/2))/(LN(2)/2)*ER49*EU49*VLOOKUP('Données projet'!$B$15,Paramètres!$A$1:$I$89,3,0)*0.475*44/12</f>
        <v>2.1272235836227175E-2</v>
      </c>
      <c r="EY49" s="22">
        <f t="shared" si="21"/>
        <v>12.459342658954581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108.5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14.3</v>
      </c>
      <c r="FE49" s="12">
        <f>IF('Données projet'!$A$218&gt;35,FE48+FD49-FM48,IF(A49&lt;'Données projet'!$A$218,$FB$205^A49,IF(A49='Données projet'!$A$218,'Données projet'!$B$218,FE48+FD49-FM48)))</f>
        <v>254.8</v>
      </c>
      <c r="FF49" s="17">
        <f>FE49*VLOOKUP('Données projet'!$B$16,Paramètres!$A$1:$I$89,3,0)*VLOOKUP('Données projet'!$B$16,Paramètres!$A$1:$I$89,5,0)</f>
        <v>145.74560000000002</v>
      </c>
      <c r="FG49" s="13">
        <f t="shared" si="47"/>
        <v>37.610144903029855</v>
      </c>
      <c r="FH49" s="20">
        <f t="shared" si="22"/>
        <v>319.34458903944369</v>
      </c>
      <c r="FI49" s="59">
        <f t="shared" si="23"/>
        <v>753.84458903944369</v>
      </c>
      <c r="FJ49" s="59">
        <f ca="1">AVERAGE(OFFSET($FI$3,0,0,'Données projet'!$E$16+1,1))-AVERAGE(OFFSET($H$3,0,0,'Données projet'!$E$16+1,1))</f>
        <v>242.10913976205194</v>
      </c>
      <c r="FK49" s="59">
        <f t="shared" si="48"/>
        <v>198.24795425321133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6.954497989974775</v>
      </c>
      <c r="FS49" s="21">
        <f>EXP(-LN(2)/2)*FS48+(1-EXP(-LN(2)/2))/(LN(2)/2)*FM49*FP49*VLOOKUP('Données projet'!$B$16,Paramètres!$A$1:$I$89,3,0)*0.475*44/12</f>
        <v>5.1651103724048283E-2</v>
      </c>
      <c r="FT49" s="22">
        <f t="shared" si="24"/>
        <v>7.0061490936988235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108.5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108.5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22.985819999999983</v>
      </c>
      <c r="D50" s="11">
        <f t="shared" si="32"/>
        <v>7.3542454784872993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128.81220782094604</v>
      </c>
      <c r="H50" s="67">
        <f t="shared" si="1"/>
        <v>450.67561404169868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108.5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7.7</v>
      </c>
      <c r="N50" s="13">
        <f>IF('Données projet'!$A$36&gt;35,N49+M50-V49,IF(A50&lt;'Données projet'!$A$36,$K$205^A50,IF(A50='Données projet'!$A$36,'Données projet'!$B$36,N49+M50-V49)))</f>
        <v>217.89999999999978</v>
      </c>
      <c r="O50" s="13">
        <f>N50*VLOOKUP('Données projet'!$B$9,Paramètres!$A$1:$I$89,3,0)*VLOOKUP('Données projet'!$B$9,Paramètres!$A$1:$I$89,5,0)</f>
        <v>176.76047999999983</v>
      </c>
      <c r="P50" s="13">
        <f t="shared" si="33"/>
        <v>44.600692617848637</v>
      </c>
      <c r="Q50" s="20">
        <f t="shared" si="53"/>
        <v>385.53737564275275</v>
      </c>
      <c r="R50" s="59">
        <f t="shared" si="0"/>
        <v>820.03737564275275</v>
      </c>
      <c r="S50" s="59">
        <f ca="1">AVERAGE(OFFSET($R$3,0,0,'Données projet'!$E$9+1,1))-AVERAGE(OFFSET($H$3,0,0,'Données projet'!$E$9+1,1))</f>
        <v>273.89826011924487</v>
      </c>
      <c r="T50" s="59">
        <f t="shared" si="34"/>
        <v>332.17519939974227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5.3093847548393622</v>
      </c>
      <c r="AB50" s="21">
        <f>EXP(-LN(2)/2)*AB49+(1-EXP(-LN(2)/2))/(LN(2)/2)*V50*Y50*VLOOKUP('Données projet'!$B$9,Paramètres!$A$1:$I$89,3,0)*0.475*44/12</f>
        <v>3.0307727300169514E-2</v>
      </c>
      <c r="AC50" s="22">
        <f t="shared" si="3"/>
        <v>5.3396924821395322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108.5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11.499999999999996</v>
      </c>
      <c r="AI50" s="13">
        <f>IF('Données projet'!$A$62&gt;35,AI49+AH50-AQ49,IF(A50&lt;'Données projet'!$A$62,$AF$205^A50,IF(A50='Données projet'!$A$62,'Données projet'!$B$62,AI49+AH50-AQ49)))</f>
        <v>288.69999999999987</v>
      </c>
      <c r="AJ50" s="13">
        <f>AI50*VLOOKUP('Données projet'!$B$10,Paramètres!$A$1:$I$89,3,0)*VLOOKUP('Données projet'!$B$10,Paramètres!$A$1:$I$89,5,0)</f>
        <v>135.11159999999992</v>
      </c>
      <c r="AK50" s="13">
        <f t="shared" si="35"/>
        <v>35.174835808562257</v>
      </c>
      <c r="AL50" s="20">
        <f t="shared" si="4"/>
        <v>296.58220903324576</v>
      </c>
      <c r="AM50" s="59">
        <f t="shared" si="5"/>
        <v>731.08220903324582</v>
      </c>
      <c r="AN50" s="59">
        <f ca="1">AVERAGE(OFFSET($AM$3,0,0,'Données projet'!$E$10+1,1))-AVERAGE(OFFSET($H$3,0,0,'Données projet'!$E$10+1,1))</f>
        <v>293.42903587188346</v>
      </c>
      <c r="AO50" s="59">
        <f t="shared" si="36"/>
        <v>267.80827667062124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2.2385407823372234</v>
      </c>
      <c r="AV50" s="21">
        <f>EXP(-LN(2)/25)*AV49+(1-EXP(-LN(2)/25))/(LN(2)/25)*Calculateur!AQ50*Calculateur!AS50*VLOOKUP('Données projet'!$B$10,Paramètres!$A$1:$I$89,3,0)*0.475*44/12</f>
        <v>4.9031080644487064</v>
      </c>
      <c r="AW50" s="21">
        <f>EXP(-LN(2)/2)*AW49+(1-EXP(-LN(2)/2))/(LN(2)/2)*AQ50*AT50*VLOOKUP('Données projet'!$B$10,Paramètres!$A$1:$I$89,3,0)*0.475*44/12</f>
        <v>2.7157807277500692E-2</v>
      </c>
      <c r="AX50" s="21">
        <f t="shared" si="6"/>
        <v>7.168806654063431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108.5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8.3000000000000007</v>
      </c>
      <c r="BD50" s="12">
        <f>IF('Données projet'!$A$88&gt;35,BD49+BC50-BL49,IF(A50&lt;'Données projet'!$A$88,$BA$205^A50,IF(A50='Données projet'!$A$88,'Données projet'!$B$88,BD49+BC50-BL49)))</f>
        <v>174.10000000000002</v>
      </c>
      <c r="BE50" s="13">
        <f>BD50*VLOOKUP('Données projet'!$B$11,Paramètres!$A$1:$I$89,3,0)*VLOOKUP('Données projet'!$B$11,Paramètres!$A$1:$I$89,5,0)</f>
        <v>157.52568000000002</v>
      </c>
      <c r="BF50" s="13">
        <f t="shared" si="37"/>
        <v>40.283920409774808</v>
      </c>
      <c r="BG50" s="20">
        <f t="shared" si="7"/>
        <v>344.51838738035781</v>
      </c>
      <c r="BH50" s="59">
        <f t="shared" si="8"/>
        <v>779.01838738035781</v>
      </c>
      <c r="BI50" s="59">
        <f ca="1">AVERAGE(OFFSET($BH$3,0,0,'Données projet'!$E$11+1,1))-AVERAGE(OFFSET($H$3,0,0,'Données projet'!$E$11+1,1))</f>
        <v>324.41828402031939</v>
      </c>
      <c r="BJ50" s="59">
        <f t="shared" si="38"/>
        <v>233.01060088065992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1.9386187518593989</v>
      </c>
      <c r="BR50" s="21">
        <f>EXP(-LN(2)/2)*BR49+(1-EXP(-LN(2)/2))/(LN(2)/2)*BL50*BO50*VLOOKUP('Données projet'!$B$11,Paramètres!$A$1:$I$89,3,0)*0.475*44/12</f>
        <v>1.7095819683549802E-2</v>
      </c>
      <c r="BS50" s="22">
        <f t="shared" si="9"/>
        <v>1.9557145715429487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108.5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11.5</v>
      </c>
      <c r="BY50" s="12">
        <f>IF('Données projet'!$A$114&gt;35,BY49+BX50-CG49,IF(A50&lt;'Données projet'!$A$114,$BV$205^A50,IF(A50='Données projet'!$A$114,'Données projet'!$B$114,BY49+BX50-CG49)))</f>
        <v>314.50000000000011</v>
      </c>
      <c r="BZ50" s="13">
        <f>BY50*VLOOKUP('Données projet'!$B$12,Paramètres!$A$1:$I$89,3,0)*VLOOKUP('Données projet'!$B$12,Paramètres!$A$1:$I$89,5,0)</f>
        <v>171.71700000000004</v>
      </c>
      <c r="CA50" s="13">
        <f t="shared" si="39"/>
        <v>43.474349266591211</v>
      </c>
      <c r="CB50" s="20">
        <f t="shared" si="10"/>
        <v>374.79159997264645</v>
      </c>
      <c r="CC50" s="59">
        <f t="shared" si="11"/>
        <v>809.29159997264651</v>
      </c>
      <c r="CD50" s="59">
        <f ca="1">AVERAGE(OFFSET($CC$3,0,0,'Données projet'!$E$12+1,1))-AVERAGE(OFFSET($H$3,0,0,'Données projet'!$E$12+1,1))</f>
        <v>279.00060755204919</v>
      </c>
      <c r="CE50" s="59">
        <f t="shared" si="40"/>
        <v>333.91128554211014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5.2139511983136755</v>
      </c>
      <c r="CL50" s="21">
        <f>EXP(-LN(2)/25)*CL49+(1-EXP(-LN(2)/25))/(LN(2)/25)*Calculateur!CG50*Calculateur!CI50*VLOOKUP('Données projet'!$B$12,Paramètres!$A$1:$I$89,3,0)*0.475*44/12</f>
        <v>17.370964982417398</v>
      </c>
      <c r="CM50" s="21">
        <f>EXP(-LN(2)/2)*CM49+(1-EXP(-LN(2)/2))/(LN(2)/2)*CG50*CJ50*VLOOKUP('Données projet'!$B$12,Paramètres!$A$1:$I$89,3,0)*0.475*44/12</f>
        <v>5.9534769090319149E-2</v>
      </c>
      <c r="CN50" s="22">
        <f t="shared" si="12"/>
        <v>22.644450949821394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108.5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17.100000000000001</v>
      </c>
      <c r="CT50" s="12">
        <f>IF('Données projet'!$A$140&gt;35,CT49+CS50-DB49,IF(A50&lt;'Données projet'!$A$140,$CQ$205^A50,IF(A50='Données projet'!$A$140,'Données projet'!$B$140,CT49+CS50-DB49)))</f>
        <v>404.70000000000039</v>
      </c>
      <c r="CU50" s="17">
        <f>CT50*VLOOKUP('Données projet'!$B$13,Paramètres!$A$1:$I$89,3,0)*VLOOKUP('Données projet'!$B$13,Paramètres!$A$1:$I$89,5,0)</f>
        <v>242.01060000000024</v>
      </c>
      <c r="CV50" s="13">
        <f t="shared" si="41"/>
        <v>58.871910602973614</v>
      </c>
      <c r="CW50" s="20">
        <f t="shared" si="13"/>
        <v>524.03703930017934</v>
      </c>
      <c r="CX50" s="59">
        <f t="shared" si="14"/>
        <v>958.53703930017934</v>
      </c>
      <c r="CY50" s="59">
        <f ca="1">AVERAGE(OFFSET($CX$3,0,0,'Données projet'!$E$13+1,1))-AVERAGE(OFFSET($H$3,0,0,'Données projet'!$E$13+1,1))</f>
        <v>380.01315081072897</v>
      </c>
      <c r="CZ50" s="59">
        <f t="shared" si="42"/>
        <v>404.90871625409181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2.4983516158586361</v>
      </c>
      <c r="DG50" s="21">
        <f>EXP(-LN(2)/25)*DG49+(1-EXP(-LN(2)/25))/(LN(2)/25)*Calculateur!DB50*Calculateur!DD50*VLOOKUP('Données projet'!$B$13,Paramètres!$A$1:$I$89,3,0)*0.475*44/12</f>
        <v>13.319511058072095</v>
      </c>
      <c r="DH50" s="21">
        <f>EXP(-LN(2)/2)*DH49+(1-EXP(-LN(2)/2))/(LN(2)/2)*DB50*DE50*VLOOKUP('Données projet'!$B$13,Paramètres!$A$1:$I$89,3,0)*0.475*44/12</f>
        <v>8.3701925961346735E-2</v>
      </c>
      <c r="DI50" s="22">
        <f t="shared" si="15"/>
        <v>15.901564599892078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108.5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-5.6843418860808015E-14</v>
      </c>
      <c r="DP50" s="17">
        <f>DO50*VLOOKUP('Données projet'!$B$14,Paramètres!$A$1:$I$89,3,0)*VLOOKUP('Données projet'!$B$14,Paramètres!$A$1:$I$89,5,0)</f>
        <v>-5.1431925385259088E-14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320.81451813551064</v>
      </c>
      <c r="DU50" s="59">
        <f t="shared" si="44"/>
        <v>522.80818268773976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1.3108412997911256</v>
      </c>
      <c r="EB50" s="21">
        <f>EXP(-LN(2)/25)*EB49+(1-EXP(-LN(2)/25))/(LN(2)/25)*Calculateur!DW50*Calculateur!DY50*VLOOKUP('Données projet'!$B$14,Paramètres!$A$1:$I$89,3,0)*0.475*44/12</f>
        <v>6.5075217469285764</v>
      </c>
      <c r="EC50" s="21">
        <f>EXP(-LN(2)/2)*EC49+(1-EXP(-LN(2)/2))/(LN(2)/2)*DW50*DZ50*VLOOKUP('Données projet'!$B$14,Paramètres!$A$1:$I$89,3,0)*0.475*44/12</f>
        <v>1.6542109916296014E-2</v>
      </c>
      <c r="ED50" s="22">
        <f t="shared" si="18"/>
        <v>7.8349051566359975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108.5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5.875</v>
      </c>
      <c r="EJ50" s="12">
        <f>IF('Données projet'!$A$192&gt;35,EJ49+EI50-ER49,IF(A50&lt;'Données projet'!$A$192,$EG$205^A50,IF(A50='Données projet'!$A$192,'Données projet'!$B$192,EJ49+EI50-ER49)))</f>
        <v>269.875</v>
      </c>
      <c r="EK50" s="17">
        <f>EJ50*VLOOKUP('Données projet'!$B$15,Paramètres!$A$1:$I$89,3,0)*VLOOKUP('Données projet'!$B$15,Paramètres!$A$1:$I$89,5,0)</f>
        <v>161.38525000000001</v>
      </c>
      <c r="EL50" s="13">
        <f t="shared" si="45"/>
        <v>41.154805478559268</v>
      </c>
      <c r="EM50" s="20">
        <f t="shared" si="19"/>
        <v>352.75726329182407</v>
      </c>
      <c r="EN50" s="59">
        <f t="shared" si="20"/>
        <v>787.25726329182407</v>
      </c>
      <c r="EO50" s="59">
        <f ca="1">AVERAGE(OFFSET($EN$3,0,0,'Données projet'!$E$15+1,1))-AVERAGE(OFFSET($H$3,0,0,'Données projet'!$E$15+1,1))</f>
        <v>228.3393311631487</v>
      </c>
      <c r="EP50" s="59">
        <f t="shared" si="46"/>
        <v>266.26050497804033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4.4364475215943475</v>
      </c>
      <c r="EW50" s="21">
        <f>EXP(-LN(2)/25)*EW49+(1-EXP(-LN(2)/25))/(LN(2)/25)*Calculateur!ER50*Calculateur!ET50*VLOOKUP('Données projet'!$B$15,Paramètres!$A$1:$I$89,3,0)*0.475*44/12</f>
        <v>7.6965085050125657</v>
      </c>
      <c r="EX50" s="21">
        <f>EXP(-LN(2)/2)*EX49+(1-EXP(-LN(2)/2))/(LN(2)/2)*ER50*EU50*VLOOKUP('Données projet'!$B$15,Paramètres!$A$1:$I$89,3,0)*0.475*44/12</f>
        <v>1.5041742210795725E-2</v>
      </c>
      <c r="EY50" s="22">
        <f t="shared" si="21"/>
        <v>12.147997768817708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108.5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14.3</v>
      </c>
      <c r="FE50" s="12">
        <f>IF('Données projet'!$A$218&gt;35,FE49+FD50-FM49,IF(A50&lt;'Données projet'!$A$218,$FB$205^A50,IF(A50='Données projet'!$A$218,'Données projet'!$B$218,FE49+FD50-FM49)))</f>
        <v>269.10000000000002</v>
      </c>
      <c r="FF50" s="17">
        <f>FE50*VLOOKUP('Données projet'!$B$16,Paramètres!$A$1:$I$89,3,0)*VLOOKUP('Données projet'!$B$16,Paramètres!$A$1:$I$89,5,0)</f>
        <v>153.92520000000002</v>
      </c>
      <c r="FG50" s="13">
        <f t="shared" si="47"/>
        <v>39.469255934857685</v>
      </c>
      <c r="FH50" s="20">
        <f t="shared" si="22"/>
        <v>336.82867741987718</v>
      </c>
      <c r="FI50" s="59">
        <f t="shared" si="23"/>
        <v>771.32867741987718</v>
      </c>
      <c r="FJ50" s="59">
        <f ca="1">AVERAGE(OFFSET($FI$3,0,0,'Données projet'!$E$16+1,1))-AVERAGE(OFFSET($H$3,0,0,'Données projet'!$E$16+1,1))</f>
        <v>242.10913976205194</v>
      </c>
      <c r="FK50" s="59">
        <f t="shared" si="48"/>
        <v>198.24795425321133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6.7643268767177602</v>
      </c>
      <c r="FS50" s="21">
        <f>EXP(-LN(2)/2)*FS49+(1-EXP(-LN(2)/2))/(LN(2)/2)*FM50*FP50*VLOOKUP('Données projet'!$B$16,Paramètres!$A$1:$I$89,3,0)*0.475*44/12</f>
        <v>3.6522845699044279E-2</v>
      </c>
      <c r="FT50" s="22">
        <f t="shared" si="24"/>
        <v>6.8008497224168041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108.5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108.5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23.474879999999981</v>
      </c>
      <c r="D51" s="11">
        <f t="shared" si="32"/>
        <v>7.4923354271569034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131.47484444512222</v>
      </c>
      <c r="H51" s="67">
        <f t="shared" si="1"/>
        <v>451.76790020229822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108.5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7.7</v>
      </c>
      <c r="N51" s="13">
        <f>IF('Données projet'!$A$36&gt;35,N50+M51-V50,IF(A51&lt;'Données projet'!$A$36,$K$205^A51,IF(A51='Données projet'!$A$36,'Données projet'!$B$36,N50+M51-V50)))</f>
        <v>225.59999999999977</v>
      </c>
      <c r="O51" s="13">
        <f>N51*VLOOKUP('Données projet'!$B$9,Paramètres!$A$1:$I$89,3,0)*VLOOKUP('Données projet'!$B$9,Paramètres!$A$1:$I$89,5,0)</f>
        <v>183.00671999999983</v>
      </c>
      <c r="P51" s="13">
        <f t="shared" si="33"/>
        <v>45.990479653087661</v>
      </c>
      <c r="Q51" s="20">
        <f t="shared" si="53"/>
        <v>398.83678939579403</v>
      </c>
      <c r="R51" s="59">
        <f t="shared" si="0"/>
        <v>833.33678939579409</v>
      </c>
      <c r="S51" s="59">
        <f ca="1">AVERAGE(OFFSET($R$3,0,0,'Données projet'!$E$9+1,1))-AVERAGE(OFFSET($H$3,0,0,'Données projet'!$E$9+1,1))</f>
        <v>273.89826011924487</v>
      </c>
      <c r="T51" s="59">
        <f t="shared" si="34"/>
        <v>332.17519939974227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5.1641993495098708</v>
      </c>
      <c r="AB51" s="21">
        <f>EXP(-LN(2)/2)*AB50+(1-EXP(-LN(2)/2))/(LN(2)/2)*V51*Y51*VLOOKUP('Données projet'!$B$9,Paramètres!$A$1:$I$89,3,0)*0.475*44/12</f>
        <v>2.143079949630252E-2</v>
      </c>
      <c r="AC51" s="22">
        <f t="shared" si="3"/>
        <v>5.1856301490061734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108.5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11.499999999999996</v>
      </c>
      <c r="AI51" s="13">
        <f>IF('Données projet'!$A$62&gt;35,AI50+AH51-AQ50,IF(A51&lt;'Données projet'!$A$62,$AF$205^A51,IF(A51='Données projet'!$A$62,'Données projet'!$B$62,AI50+AH51-AQ50)))</f>
        <v>300.19999999999987</v>
      </c>
      <c r="AJ51" s="13">
        <f>AI51*VLOOKUP('Données projet'!$B$10,Paramètres!$A$1:$I$89,3,0)*VLOOKUP('Données projet'!$B$10,Paramètres!$A$1:$I$89,5,0)</f>
        <v>140.49359999999993</v>
      </c>
      <c r="AK51" s="13">
        <f t="shared" si="35"/>
        <v>36.410059151057915</v>
      </c>
      <c r="AL51" s="20">
        <f t="shared" si="4"/>
        <v>308.10720635475906</v>
      </c>
      <c r="AM51" s="59">
        <f t="shared" si="5"/>
        <v>742.607206354759</v>
      </c>
      <c r="AN51" s="59">
        <f ca="1">AVERAGE(OFFSET($AM$3,0,0,'Données projet'!$E$10+1,1))-AVERAGE(OFFSET($H$3,0,0,'Données projet'!$E$10+1,1))</f>
        <v>293.42903587188346</v>
      </c>
      <c r="AO51" s="59">
        <f t="shared" si="36"/>
        <v>267.80827667062124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2.194644362970648</v>
      </c>
      <c r="AV51" s="21">
        <f>EXP(-LN(2)/25)*AV50+(1-EXP(-LN(2)/25))/(LN(2)/25)*Calculateur!AQ51*Calculateur!AS51*VLOOKUP('Données projet'!$B$10,Paramètres!$A$1:$I$89,3,0)*0.475*44/12</f>
        <v>4.7690323165831092</v>
      </c>
      <c r="AW51" s="21">
        <f>EXP(-LN(2)/2)*AW50+(1-EXP(-LN(2)/2))/(LN(2)/2)*AQ51*AT51*VLOOKUP('Données projet'!$B$10,Paramètres!$A$1:$I$89,3,0)*0.475*44/12</f>
        <v>1.9203469688078109E-2</v>
      </c>
      <c r="AX51" s="21">
        <f t="shared" si="6"/>
        <v>6.9828801492418346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108.5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8.3000000000000007</v>
      </c>
      <c r="BD51" s="12">
        <f>IF('Données projet'!$A$88&gt;35,BD50+BC51-BL50,IF(A51&lt;'Données projet'!$A$88,$BA$205^A51,IF(A51='Données projet'!$A$88,'Données projet'!$B$88,BD50+BC51-BL50)))</f>
        <v>182.40000000000003</v>
      </c>
      <c r="BE51" s="13">
        <f>BD51*VLOOKUP('Données projet'!$B$11,Paramètres!$A$1:$I$89,3,0)*VLOOKUP('Données projet'!$B$11,Paramètres!$A$1:$I$89,5,0)</f>
        <v>165.03552000000002</v>
      </c>
      <c r="BF51" s="13">
        <f t="shared" si="37"/>
        <v>41.976234598846517</v>
      </c>
      <c r="BG51" s="20">
        <f t="shared" si="7"/>
        <v>360.54547259299108</v>
      </c>
      <c r="BH51" s="59">
        <f t="shared" si="8"/>
        <v>795.04547259299102</v>
      </c>
      <c r="BI51" s="59">
        <f ca="1">AVERAGE(OFFSET($BH$3,0,0,'Données projet'!$E$11+1,1))-AVERAGE(OFFSET($H$3,0,0,'Données projet'!$E$11+1,1))</f>
        <v>324.41828402031939</v>
      </c>
      <c r="BJ51" s="59">
        <f t="shared" si="38"/>
        <v>233.01060088065992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1.8856071201422742</v>
      </c>
      <c r="BR51" s="21">
        <f>EXP(-LN(2)/2)*BR50+(1-EXP(-LN(2)/2))/(LN(2)/2)*BL51*BO51*VLOOKUP('Données projet'!$B$11,Paramètres!$A$1:$I$89,3,0)*0.475*44/12</f>
        <v>1.2088570028180522E-2</v>
      </c>
      <c r="BS51" s="22">
        <f t="shared" si="9"/>
        <v>1.8976956901704547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108.5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11.5</v>
      </c>
      <c r="BY51" s="12">
        <f>IF('Données projet'!$A$114&gt;35,BY50+BX51-CG50,IF(A51&lt;'Données projet'!$A$114,$BV$205^A51,IF(A51='Données projet'!$A$114,'Données projet'!$B$114,BY50+BX51-CG50)))</f>
        <v>326.00000000000011</v>
      </c>
      <c r="BZ51" s="13">
        <f>BY51*VLOOKUP('Données projet'!$B$12,Paramètres!$A$1:$I$89,3,0)*VLOOKUP('Données projet'!$B$12,Paramètres!$A$1:$I$89,5,0)</f>
        <v>177.99600000000007</v>
      </c>
      <c r="CA51" s="13">
        <f t="shared" si="39"/>
        <v>44.876042989096391</v>
      </c>
      <c r="CB51" s="20">
        <f t="shared" si="10"/>
        <v>388.1688082060096</v>
      </c>
      <c r="CC51" s="59">
        <f t="shared" si="11"/>
        <v>822.66880820600954</v>
      </c>
      <c r="CD51" s="59">
        <f ca="1">AVERAGE(OFFSET($CC$3,0,0,'Données projet'!$E$12+1,1))-AVERAGE(OFFSET($H$3,0,0,'Données projet'!$E$12+1,1))</f>
        <v>279.00060755204919</v>
      </c>
      <c r="CE51" s="59">
        <f t="shared" si="40"/>
        <v>333.91128554211014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5.1117087955109568</v>
      </c>
      <c r="CL51" s="21">
        <f>EXP(-LN(2)/25)*CL50+(1-EXP(-LN(2)/25))/(LN(2)/25)*Calculateur!CG51*Calculateur!CI51*VLOOKUP('Données projet'!$B$12,Paramètres!$A$1:$I$89,3,0)*0.475*44/12</f>
        <v>16.895955031473846</v>
      </c>
      <c r="CM51" s="21">
        <f>EXP(-LN(2)/2)*CM50+(1-EXP(-LN(2)/2))/(LN(2)/2)*CG51*CJ51*VLOOKUP('Données projet'!$B$12,Paramètres!$A$1:$I$89,3,0)*0.475*44/12</f>
        <v>4.2097438940139939E-2</v>
      </c>
      <c r="CN51" s="22">
        <f t="shared" si="12"/>
        <v>22.049761265924943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108.5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17.100000000000001</v>
      </c>
      <c r="CT51" s="12">
        <f>IF('Données projet'!$A$140&gt;35,CT50+CS51-DB50,IF(A51&lt;'Données projet'!$A$140,$CQ$205^A51,IF(A51='Données projet'!$A$140,'Données projet'!$B$140,CT50+CS51-DB50)))</f>
        <v>421.80000000000041</v>
      </c>
      <c r="CU51" s="17">
        <f>CT51*VLOOKUP('Données projet'!$B$13,Paramètres!$A$1:$I$89,3,0)*VLOOKUP('Données projet'!$B$13,Paramètres!$A$1:$I$89,5,0)</f>
        <v>252.23640000000026</v>
      </c>
      <c r="CV51" s="13">
        <f t="shared" si="41"/>
        <v>61.064583752052897</v>
      </c>
      <c r="CW51" s="20">
        <f t="shared" si="13"/>
        <v>545.66588003482593</v>
      </c>
      <c r="CX51" s="59">
        <f t="shared" si="14"/>
        <v>980.16588003482593</v>
      </c>
      <c r="CY51" s="59">
        <f ca="1">AVERAGE(OFFSET($CX$3,0,0,'Données projet'!$E$13+1,1))-AVERAGE(OFFSET($H$3,0,0,'Données projet'!$E$13+1,1))</f>
        <v>380.01315081072897</v>
      </c>
      <c r="CZ51" s="59">
        <f t="shared" si="42"/>
        <v>404.90871625409181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2.4493604645156668</v>
      </c>
      <c r="DG51" s="21">
        <f>EXP(-LN(2)/25)*DG50+(1-EXP(-LN(2)/25))/(LN(2)/25)*Calculateur!DB51*Calculateur!DD51*VLOOKUP('Données projet'!$B$13,Paramètres!$A$1:$I$89,3,0)*0.475*44/12</f>
        <v>12.955288327746469</v>
      </c>
      <c r="DH51" s="21">
        <f>EXP(-LN(2)/2)*DH50+(1-EXP(-LN(2)/2))/(LN(2)/2)*DB51*DE51*VLOOKUP('Données projet'!$B$13,Paramètres!$A$1:$I$89,3,0)*0.475*44/12</f>
        <v>5.9186199445642608E-2</v>
      </c>
      <c r="DI51" s="22">
        <f t="shared" si="15"/>
        <v>15.463834991707779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108.5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-5.6843418860808015E-14</v>
      </c>
      <c r="DP51" s="17">
        <f>DO51*VLOOKUP('Données projet'!$B$14,Paramètres!$A$1:$I$89,3,0)*VLOOKUP('Données projet'!$B$14,Paramètres!$A$1:$I$89,5,0)</f>
        <v>-5.1431925385259088E-14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320.81451813551064</v>
      </c>
      <c r="DU51" s="59">
        <f t="shared" si="44"/>
        <v>522.80818268773976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1.2851365014364671</v>
      </c>
      <c r="EB51" s="21">
        <f>EXP(-LN(2)/25)*EB50+(1-EXP(-LN(2)/25))/(LN(2)/25)*Calculateur!DW51*Calculateur!DY51*VLOOKUP('Données projet'!$B$14,Paramètres!$A$1:$I$89,3,0)*0.475*44/12</f>
        <v>6.3295732225431189</v>
      </c>
      <c r="EC51" s="21">
        <f>EXP(-LN(2)/2)*EC50+(1-EXP(-LN(2)/2))/(LN(2)/2)*DW51*DZ51*VLOOKUP('Données projet'!$B$14,Paramètres!$A$1:$I$89,3,0)*0.475*44/12</f>
        <v>1.1697038096946144E-2</v>
      </c>
      <c r="ED51" s="22">
        <f t="shared" si="18"/>
        <v>7.6264067620765319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108.5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5.875</v>
      </c>
      <c r="EJ51" s="12">
        <f>IF('Données projet'!$A$192&gt;35,EJ50+EI51-ER50,IF(A51&lt;'Données projet'!$A$192,$EG$205^A51,IF(A51='Données projet'!$A$192,'Données projet'!$B$192,EJ50+EI51-ER50)))</f>
        <v>275.75</v>
      </c>
      <c r="EK51" s="17">
        <f>EJ51*VLOOKUP('Données projet'!$B$15,Paramètres!$A$1:$I$89,3,0)*VLOOKUP('Données projet'!$B$15,Paramètres!$A$1:$I$89,5,0)</f>
        <v>164.89850000000001</v>
      </c>
      <c r="EL51" s="13">
        <f t="shared" si="45"/>
        <v>41.94543913753872</v>
      </c>
      <c r="EM51" s="20">
        <f t="shared" si="19"/>
        <v>360.25319399788003</v>
      </c>
      <c r="EN51" s="59">
        <f t="shared" si="20"/>
        <v>794.75319399788009</v>
      </c>
      <c r="EO51" s="59">
        <f ca="1">AVERAGE(OFFSET($EN$3,0,0,'Données projet'!$E$15+1,1))-AVERAGE(OFFSET($H$3,0,0,'Données projet'!$E$15+1,1))</f>
        <v>228.3393311631487</v>
      </c>
      <c r="EP51" s="59">
        <f t="shared" si="46"/>
        <v>266.26050497804033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4.3494514916616787</v>
      </c>
      <c r="EW51" s="21">
        <f>EXP(-LN(2)/25)*EW50+(1-EXP(-LN(2)/25))/(LN(2)/25)*Calculateur!ER51*Calculateur!ET51*VLOOKUP('Données projet'!$B$15,Paramètres!$A$1:$I$89,3,0)*0.475*44/12</f>
        <v>7.4860470752012054</v>
      </c>
      <c r="EX51" s="21">
        <f>EXP(-LN(2)/2)*EX50+(1-EXP(-LN(2)/2))/(LN(2)/2)*ER51*EU51*VLOOKUP('Données projet'!$B$15,Paramètres!$A$1:$I$89,3,0)*0.475*44/12</f>
        <v>1.0636117918113589E-2</v>
      </c>
      <c r="EY51" s="22">
        <f t="shared" si="21"/>
        <v>11.846134684780999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108.5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14.3</v>
      </c>
      <c r="FE51" s="12">
        <f>IF('Données projet'!$A$218&gt;35,FE50+FD51-FM50,IF(A51&lt;'Données projet'!$A$218,$FB$205^A51,IF(A51='Données projet'!$A$218,'Données projet'!$B$218,FE50+FD51-FM50)))</f>
        <v>283.40000000000003</v>
      </c>
      <c r="FF51" s="17">
        <f>FE51*VLOOKUP('Données projet'!$B$16,Paramètres!$A$1:$I$89,3,0)*VLOOKUP('Données projet'!$B$16,Paramètres!$A$1:$I$89,5,0)</f>
        <v>162.10480000000001</v>
      </c>
      <c r="FG51" s="13">
        <f t="shared" si="47"/>
        <v>41.316897215359241</v>
      </c>
      <c r="FH51" s="20">
        <f t="shared" si="22"/>
        <v>354.29278931675071</v>
      </c>
      <c r="FI51" s="59">
        <f t="shared" si="23"/>
        <v>788.79278931675071</v>
      </c>
      <c r="FJ51" s="59">
        <f ca="1">AVERAGE(OFFSET($FI$3,0,0,'Données projet'!$E$16+1,1))-AVERAGE(OFFSET($H$3,0,0,'Données projet'!$E$16+1,1))</f>
        <v>242.10913976205194</v>
      </c>
      <c r="FK51" s="59">
        <f t="shared" si="48"/>
        <v>198.24795425321133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6.579356002553423</v>
      </c>
      <c r="FS51" s="21">
        <f>EXP(-LN(2)/2)*FS50+(1-EXP(-LN(2)/2))/(LN(2)/2)*FM51*FP51*VLOOKUP('Données projet'!$B$16,Paramètres!$A$1:$I$89,3,0)*0.475*44/12</f>
        <v>2.5825551862024142E-2</v>
      </c>
      <c r="FT51" s="22">
        <f t="shared" si="24"/>
        <v>6.6051815544154469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108.5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108.5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23.96393999999998</v>
      </c>
      <c r="D52" s="11">
        <f t="shared" si="32"/>
        <v>7.6300908878245268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134.13606096234264</v>
      </c>
      <c r="H52" s="67">
        <f t="shared" si="1"/>
        <v>452.85960379629432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108.5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7.7</v>
      </c>
      <c r="N52" s="13">
        <f>IF('Données projet'!$A$36&gt;35,N51+M52-V51,IF(A52&lt;'Données projet'!$A$36,$K$205^A52,IF(A52='Données projet'!$A$36,'Données projet'!$B$36,N51+M52-V51)))</f>
        <v>233.29999999999976</v>
      </c>
      <c r="O52" s="13">
        <f>N52*VLOOKUP('Données projet'!$B$9,Paramètres!$A$1:$I$89,3,0)*VLOOKUP('Données projet'!$B$9,Paramètres!$A$1:$I$89,5,0)</f>
        <v>189.2529599999998</v>
      </c>
      <c r="P52" s="13">
        <f t="shared" si="33"/>
        <v>47.374755064875977</v>
      </c>
      <c r="Q52" s="20">
        <f t="shared" si="53"/>
        <v>412.12660373799196</v>
      </c>
      <c r="R52" s="59">
        <f t="shared" si="0"/>
        <v>846.6266037379919</v>
      </c>
      <c r="S52" s="59">
        <f ca="1">AVERAGE(OFFSET($R$3,0,0,'Données projet'!$E$9+1,1))-AVERAGE(OFFSET($H$3,0,0,'Données projet'!$E$9+1,1))</f>
        <v>273.89826011924487</v>
      </c>
      <c r="T52" s="59">
        <f t="shared" si="34"/>
        <v>332.17519939974227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5.0229840467240825</v>
      </c>
      <c r="AB52" s="21">
        <f>EXP(-LN(2)/2)*AB51+(1-EXP(-LN(2)/2))/(LN(2)/2)*V52*Y52*VLOOKUP('Données projet'!$B$9,Paramètres!$A$1:$I$89,3,0)*0.475*44/12</f>
        <v>1.515386365008476E-2</v>
      </c>
      <c r="AC52" s="22">
        <f t="shared" si="3"/>
        <v>5.038137910374167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108.5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11.499999999999996</v>
      </c>
      <c r="AI52" s="13">
        <f>IF('Données projet'!$A$62&gt;35,AI51+AH52-AQ51,IF(A52&lt;'Données projet'!$A$62,$AF$205^A52,IF(A52='Données projet'!$A$62,'Données projet'!$B$62,AI51+AH52-AQ51)))</f>
        <v>311.69999999999987</v>
      </c>
      <c r="AJ52" s="13">
        <f>AI52*VLOOKUP('Données projet'!$B$10,Paramètres!$A$1:$I$89,3,0)*VLOOKUP('Données projet'!$B$10,Paramètres!$A$1:$I$89,5,0)</f>
        <v>145.87559999999993</v>
      </c>
      <c r="AK52" s="13">
        <f t="shared" si="35"/>
        <v>37.639785440563628</v>
      </c>
      <c r="AL52" s="20">
        <f t="shared" si="4"/>
        <v>319.62262964231485</v>
      </c>
      <c r="AM52" s="59">
        <f t="shared" si="5"/>
        <v>754.12262964231491</v>
      </c>
      <c r="AN52" s="59">
        <f ca="1">AVERAGE(OFFSET($AM$3,0,0,'Données projet'!$E$10+1,1))-AVERAGE(OFFSET($H$3,0,0,'Données projet'!$E$10+1,1))</f>
        <v>293.42903587188346</v>
      </c>
      <c r="AO52" s="59">
        <f t="shared" si="36"/>
        <v>267.80827667062124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2.1516087256136793</v>
      </c>
      <c r="AV52" s="21">
        <f>EXP(-LN(2)/25)*AV51+(1-EXP(-LN(2)/25))/(LN(2)/25)*Calculateur!AQ52*Calculateur!AS52*VLOOKUP('Données projet'!$B$10,Paramètres!$A$1:$I$89,3,0)*0.475*44/12</f>
        <v>4.638622877093634</v>
      </c>
      <c r="AW52" s="21">
        <f>EXP(-LN(2)/2)*AW51+(1-EXP(-LN(2)/2))/(LN(2)/2)*AQ52*AT52*VLOOKUP('Données projet'!$B$10,Paramètres!$A$1:$I$89,3,0)*0.475*44/12</f>
        <v>1.3578903638750346E-2</v>
      </c>
      <c r="AX52" s="21">
        <f t="shared" si="6"/>
        <v>6.8038105063460641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108.5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8.3000000000000007</v>
      </c>
      <c r="BD52" s="12">
        <f>IF('Données projet'!$A$88&gt;35,BD51+BC52-BL51,IF(A52&lt;'Données projet'!$A$88,$BA$205^A52,IF(A52='Données projet'!$A$88,'Données projet'!$B$88,BD51+BC52-BL51)))</f>
        <v>190.70000000000005</v>
      </c>
      <c r="BE52" s="13">
        <f>BD52*VLOOKUP('Données projet'!$B$11,Paramètres!$A$1:$I$89,3,0)*VLOOKUP('Données projet'!$B$11,Paramètres!$A$1:$I$89,5,0)</f>
        <v>172.54536000000004</v>
      </c>
      <c r="BF52" s="13">
        <f t="shared" si="37"/>
        <v>43.65960552772448</v>
      </c>
      <c r="BG52" s="20">
        <f t="shared" si="7"/>
        <v>376.55698162745358</v>
      </c>
      <c r="BH52" s="59">
        <f t="shared" si="8"/>
        <v>811.05698162745352</v>
      </c>
      <c r="BI52" s="59">
        <f ca="1">AVERAGE(OFFSET($BH$3,0,0,'Données projet'!$E$11+1,1))-AVERAGE(OFFSET($H$3,0,0,'Données projet'!$E$11+1,1))</f>
        <v>324.41828402031939</v>
      </c>
      <c r="BJ52" s="59">
        <f t="shared" si="38"/>
        <v>233.01060088065992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1.8340450942822148</v>
      </c>
      <c r="BR52" s="21">
        <f>EXP(-LN(2)/2)*BR51+(1-EXP(-LN(2)/2))/(LN(2)/2)*BL52*BO52*VLOOKUP('Données projet'!$B$11,Paramètres!$A$1:$I$89,3,0)*0.475*44/12</f>
        <v>8.5479098417749009E-3</v>
      </c>
      <c r="BS52" s="22">
        <f t="shared" si="9"/>
        <v>1.8425930041239897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108.5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11.5</v>
      </c>
      <c r="BY52" s="12">
        <f>IF('Données projet'!$A$114&gt;35,BY51+BX52-CG51,IF(A52&lt;'Données projet'!$A$114,$BV$205^A52,IF(A52='Données projet'!$A$114,'Données projet'!$B$114,BY51+BX52-CG51)))</f>
        <v>337.50000000000011</v>
      </c>
      <c r="BZ52" s="13">
        <f>BY52*VLOOKUP('Données projet'!$B$12,Paramètres!$A$1:$I$89,3,0)*VLOOKUP('Données projet'!$B$12,Paramètres!$A$1:$I$89,5,0)</f>
        <v>184.27500000000003</v>
      </c>
      <c r="CA52" s="13">
        <f t="shared" si="39"/>
        <v>46.27199170970021</v>
      </c>
      <c r="CB52" s="20">
        <f t="shared" si="10"/>
        <v>401.53601056106123</v>
      </c>
      <c r="CC52" s="59">
        <f t="shared" si="11"/>
        <v>836.03601056106118</v>
      </c>
      <c r="CD52" s="59">
        <f ca="1">AVERAGE(OFFSET($CC$3,0,0,'Données projet'!$E$12+1,1))-AVERAGE(OFFSET($H$3,0,0,'Données projet'!$E$12+1,1))</f>
        <v>279.00060755204919</v>
      </c>
      <c r="CE52" s="59">
        <f t="shared" si="40"/>
        <v>333.91128554211014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5.0114713038654912</v>
      </c>
      <c r="CL52" s="21">
        <f>EXP(-LN(2)/25)*CL51+(1-EXP(-LN(2)/25))/(LN(2)/25)*Calculateur!CG52*Calculateur!CI52*VLOOKUP('Données projet'!$B$12,Paramètres!$A$1:$I$89,3,0)*0.475*44/12</f>
        <v>16.433934252618535</v>
      </c>
      <c r="CM52" s="21">
        <f>EXP(-LN(2)/2)*CM51+(1-EXP(-LN(2)/2))/(LN(2)/2)*CG52*CJ52*VLOOKUP('Données projet'!$B$12,Paramètres!$A$1:$I$89,3,0)*0.475*44/12</f>
        <v>2.9767384545159578E-2</v>
      </c>
      <c r="CN52" s="22">
        <f t="shared" si="12"/>
        <v>21.475172941029186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108.5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17.100000000000001</v>
      </c>
      <c r="CT52" s="12">
        <f>IF('Données projet'!$A$140&gt;35,CT51+CS52-DB51,IF(A52&lt;'Données projet'!$A$140,$CQ$205^A52,IF(A52='Données projet'!$A$140,'Données projet'!$B$140,CT51+CS52-DB51)))</f>
        <v>438.90000000000043</v>
      </c>
      <c r="CU52" s="17">
        <f>CT52*VLOOKUP('Données projet'!$B$13,Paramètres!$A$1:$I$89,3,0)*VLOOKUP('Données projet'!$B$13,Paramètres!$A$1:$I$89,5,0)</f>
        <v>262.46220000000028</v>
      </c>
      <c r="CV52" s="13">
        <f t="shared" si="41"/>
        <v>63.246931242227284</v>
      </c>
      <c r="CW52" s="20">
        <f t="shared" si="13"/>
        <v>567.2767369135463</v>
      </c>
      <c r="CX52" s="59">
        <f t="shared" si="14"/>
        <v>1001.7767369135463</v>
      </c>
      <c r="CY52" s="59">
        <f ca="1">AVERAGE(OFFSET($CX$3,0,0,'Données projet'!$E$13+1,1))-AVERAGE(OFFSET($H$3,0,0,'Données projet'!$E$13+1,1))</f>
        <v>380.01315081072897</v>
      </c>
      <c r="CZ52" s="59">
        <f t="shared" si="42"/>
        <v>404.90871625409181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2.4013299997688815</v>
      </c>
      <c r="DG52" s="21">
        <f>EXP(-LN(2)/25)*DG51+(1-EXP(-LN(2)/25))/(LN(2)/25)*Calculateur!DB52*Calculateur!DD52*VLOOKUP('Données projet'!$B$13,Paramètres!$A$1:$I$89,3,0)*0.475*44/12</f>
        <v>12.601025287135238</v>
      </c>
      <c r="DH52" s="21">
        <f>EXP(-LN(2)/2)*DH51+(1-EXP(-LN(2)/2))/(LN(2)/2)*DB52*DE52*VLOOKUP('Données projet'!$B$13,Paramètres!$A$1:$I$89,3,0)*0.475*44/12</f>
        <v>4.1850962980673367E-2</v>
      </c>
      <c r="DI52" s="22">
        <f t="shared" si="15"/>
        <v>15.044206249884793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108.5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-5.6843418860808015E-14</v>
      </c>
      <c r="DP52" s="17">
        <f>DO52*VLOOKUP('Données projet'!$B$14,Paramètres!$A$1:$I$89,3,0)*VLOOKUP('Données projet'!$B$14,Paramètres!$A$1:$I$89,5,0)</f>
        <v>-5.1431925385259088E-14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320.81451813551064</v>
      </c>
      <c r="DU52" s="59">
        <f t="shared" si="44"/>
        <v>522.80818268773976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1.2599357584991644</v>
      </c>
      <c r="EB52" s="21">
        <f>EXP(-LN(2)/25)*EB51+(1-EXP(-LN(2)/25))/(LN(2)/25)*Calculateur!DW52*Calculateur!DY52*VLOOKUP('Données projet'!$B$14,Paramètres!$A$1:$I$89,3,0)*0.475*44/12</f>
        <v>6.1564907099148884</v>
      </c>
      <c r="EC52" s="21">
        <f>EXP(-LN(2)/2)*EC51+(1-EXP(-LN(2)/2))/(LN(2)/2)*DW52*DZ52*VLOOKUP('Données projet'!$B$14,Paramètres!$A$1:$I$89,3,0)*0.475*44/12</f>
        <v>8.271054958148007E-3</v>
      </c>
      <c r="ED52" s="22">
        <f t="shared" si="18"/>
        <v>7.4246975233722008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108.5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5.875</v>
      </c>
      <c r="EJ52" s="12">
        <f>IF('Données projet'!$A$192&gt;35,EJ51+EI52-ER51,IF(A52&lt;'Données projet'!$A$192,$EG$205^A52,IF(A52='Données projet'!$A$192,'Données projet'!$B$192,EJ51+EI52-ER51)))</f>
        <v>281.625</v>
      </c>
      <c r="EK52" s="17">
        <f>EJ52*VLOOKUP('Données projet'!$B$15,Paramètres!$A$1:$I$89,3,0)*VLOOKUP('Données projet'!$B$15,Paramètres!$A$1:$I$89,5,0)</f>
        <v>168.41175000000001</v>
      </c>
      <c r="EL52" s="13">
        <f t="shared" si="45"/>
        <v>42.73411432638013</v>
      </c>
      <c r="EM52" s="20">
        <f t="shared" si="19"/>
        <v>367.74571370177881</v>
      </c>
      <c r="EN52" s="59">
        <f t="shared" si="20"/>
        <v>802.24571370177887</v>
      </c>
      <c r="EO52" s="59">
        <f ca="1">AVERAGE(OFFSET($EN$3,0,0,'Données projet'!$E$15+1,1))-AVERAGE(OFFSET($H$3,0,0,'Données projet'!$E$15+1,1))</f>
        <v>228.3393311631487</v>
      </c>
      <c r="EP52" s="59">
        <f t="shared" si="46"/>
        <v>266.26050497804033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4.2641614008136504</v>
      </c>
      <c r="EW52" s="21">
        <f>EXP(-LN(2)/25)*EW51+(1-EXP(-LN(2)/25))/(LN(2)/25)*Calculateur!ER52*Calculateur!ET52*VLOOKUP('Données projet'!$B$15,Paramètres!$A$1:$I$89,3,0)*0.475*44/12</f>
        <v>7.2813407242557222</v>
      </c>
      <c r="EX52" s="21">
        <f>EXP(-LN(2)/2)*EX51+(1-EXP(-LN(2)/2))/(LN(2)/2)*ER52*EU52*VLOOKUP('Données projet'!$B$15,Paramètres!$A$1:$I$89,3,0)*0.475*44/12</f>
        <v>7.5208711053978633E-3</v>
      </c>
      <c r="EY52" s="22">
        <f t="shared" si="21"/>
        <v>11.55302299617477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108.5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14.3</v>
      </c>
      <c r="FE52" s="12">
        <f>IF('Données projet'!$A$218&gt;35,FE51+FD52-FM51,IF(A52&lt;'Données projet'!$A$218,$FB$205^A52,IF(A52='Données projet'!$A$218,'Données projet'!$B$218,FE51+FD52-FM51)))</f>
        <v>297.70000000000005</v>
      </c>
      <c r="FF52" s="17">
        <f>FE52*VLOOKUP('Données projet'!$B$16,Paramètres!$A$1:$I$89,3,0)*VLOOKUP('Données projet'!$B$16,Paramètres!$A$1:$I$89,5,0)</f>
        <v>170.28440000000003</v>
      </c>
      <c r="FG52" s="13">
        <f t="shared" si="47"/>
        <v>43.153713526633801</v>
      </c>
      <c r="FH52" s="20">
        <f t="shared" si="22"/>
        <v>371.73804772555394</v>
      </c>
      <c r="FI52" s="59">
        <f t="shared" si="23"/>
        <v>806.238047725554</v>
      </c>
      <c r="FJ52" s="59">
        <f ca="1">AVERAGE(OFFSET($FI$3,0,0,'Données projet'!$E$16+1,1))-AVERAGE(OFFSET($H$3,0,0,'Données projet'!$E$16+1,1))</f>
        <v>242.10913976205194</v>
      </c>
      <c r="FK52" s="59">
        <f t="shared" si="48"/>
        <v>198.24795425321133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6.3994431666703049</v>
      </c>
      <c r="FS52" s="21">
        <f>EXP(-LN(2)/2)*FS51+(1-EXP(-LN(2)/2))/(LN(2)/2)*FM52*FP52*VLOOKUP('Données projet'!$B$16,Paramètres!$A$1:$I$89,3,0)*0.475*44/12</f>
        <v>1.826142284952214E-2</v>
      </c>
      <c r="FT52" s="22">
        <f t="shared" si="24"/>
        <v>6.4177045895198273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108.5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108.5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24.452999999999978</v>
      </c>
      <c r="D53" s="11">
        <f t="shared" si="32"/>
        <v>7.7675194733777744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136.79588969398975</v>
      </c>
      <c r="H53" s="67">
        <f t="shared" si="1"/>
        <v>453.95073808279955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108.5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241</v>
      </c>
      <c r="L53" s="12">
        <f>VLOOKUP(A53,'Données projet'!$A$35:$I$55,9,0)</f>
        <v>7.7</v>
      </c>
      <c r="M53" s="12">
        <f t="array" ref="M53">INDEX(L:L,MIN(IF(ISNUMBER(L53:L249),ROW(L53:L249),"")))</f>
        <v>7.7</v>
      </c>
      <c r="N53" s="13">
        <f>IF('Données projet'!$A$36&gt;35,N52+M53-V52,IF(A53&lt;'Données projet'!$A$36,$K$205^A53,IF(A53='Données projet'!$A$36,'Données projet'!$B$36,N52+M53-V52)))</f>
        <v>240.99999999999974</v>
      </c>
      <c r="O53" s="13">
        <f>N53*VLOOKUP('Données projet'!$B$9,Paramètres!$A$1:$I$89,3,0)*VLOOKUP('Données projet'!$B$9,Paramètres!$A$1:$I$89,5,0)</f>
        <v>195.4991999999998</v>
      </c>
      <c r="P53" s="13">
        <f t="shared" si="33"/>
        <v>48.75372162220922</v>
      </c>
      <c r="Q53" s="20">
        <f t="shared" si="53"/>
        <v>425.4071718253474</v>
      </c>
      <c r="R53" s="59">
        <f t="shared" si="0"/>
        <v>859.9071718253474</v>
      </c>
      <c r="S53" s="59">
        <f ca="1">AVERAGE(OFFSET($R$3,0,0,'Données projet'!$E$9+1,1))-AVERAGE(OFFSET($H$3,0,0,'Données projet'!$E$9+1,1))</f>
        <v>273.89826011924487</v>
      </c>
      <c r="T53" s="59">
        <f t="shared" si="34"/>
        <v>332.17519939974227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39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4.8856302838191619</v>
      </c>
      <c r="AB53" s="21">
        <f>EXP(-LN(2)/2)*AB52+(1-EXP(-LN(2)/2))/(LN(2)/2)*V53*Y53*VLOOKUP('Données projet'!$B$9,Paramètres!$A$1:$I$89,3,0)*0.475*44/12</f>
        <v>1.0715399748151262E-2</v>
      </c>
      <c r="AC53" s="22">
        <f t="shared" si="3"/>
        <v>4.8963456835673131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108.5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323.2</v>
      </c>
      <c r="AG53" s="12">
        <f>VLOOKUP(A53,'Données projet'!$A$61:$I$81,9,0)</f>
        <v>11.499999999999996</v>
      </c>
      <c r="AH53" s="12">
        <f t="array" ref="AH53">INDEX(AG:AG,MIN(IF(ISNUMBER(AG53:AG249),ROW(AG53:AG249),"")))</f>
        <v>11.499999999999996</v>
      </c>
      <c r="AI53" s="13">
        <f>IF('Données projet'!$A$62&gt;35,AI52+AH53-AQ52,IF(A53&lt;'Données projet'!$A$62,$AF$205^A53,IF(A53='Données projet'!$A$62,'Données projet'!$B$62,AI52+AH53-AQ52)))</f>
        <v>323.19999999999987</v>
      </c>
      <c r="AJ53" s="13">
        <f>AI53*VLOOKUP('Données projet'!$B$10,Paramètres!$A$1:$I$89,3,0)*VLOOKUP('Données projet'!$B$10,Paramètres!$A$1:$I$89,5,0)</f>
        <v>151.25759999999994</v>
      </c>
      <c r="AK53" s="13">
        <f t="shared" si="35"/>
        <v>38.864240713854024</v>
      </c>
      <c r="AL53" s="20">
        <f t="shared" si="4"/>
        <v>331.12887257662896</v>
      </c>
      <c r="AM53" s="59">
        <f t="shared" si="5"/>
        <v>765.62887257662896</v>
      </c>
      <c r="AN53" s="59">
        <f ca="1">AVERAGE(OFFSET($AM$3,0,0,'Données projet'!$E$10+1,1))-AVERAGE(OFFSET($H$3,0,0,'Données projet'!$E$10+1,1))</f>
        <v>293.42903587188346</v>
      </c>
      <c r="AO53" s="59">
        <f t="shared" si="36"/>
        <v>267.80827667062124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83.4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2.1094169908561335</v>
      </c>
      <c r="AV53" s="21">
        <f>EXP(-LN(2)/25)*AV52+(1-EXP(-LN(2)/25))/(LN(2)/25)*Calculateur!AQ53*Calculateur!AS53*VLOOKUP('Données projet'!$B$10,Paramètres!$A$1:$I$89,3,0)*0.475*44/12</f>
        <v>4.5117794905849333</v>
      </c>
      <c r="AW53" s="21">
        <f>EXP(-LN(2)/2)*AW52+(1-EXP(-LN(2)/2))/(LN(2)/2)*AQ53*AT53*VLOOKUP('Données projet'!$B$10,Paramètres!$A$1:$I$89,3,0)*0.475*44/12</f>
        <v>9.6017348440390546E-3</v>
      </c>
      <c r="AX53" s="21">
        <f t="shared" si="6"/>
        <v>6.6307982162851058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108.5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199</v>
      </c>
      <c r="BB53" s="12">
        <f>VLOOKUP(A53,'Données projet'!$A$87:$I$107,9,0)</f>
        <v>8.3000000000000007</v>
      </c>
      <c r="BC53" s="12">
        <f t="array" ref="BC53">INDEX(BB:BB,MIN(IF(ISNUMBER(BB53:BB249),ROW(BB53:BB249),"")))</f>
        <v>8.3000000000000007</v>
      </c>
      <c r="BD53" s="12">
        <f>IF('Données projet'!$A$88&gt;35,BD52+BC53-BL52,IF(A53&lt;'Données projet'!$A$88,$BA$205^A53,IF(A53='Données projet'!$A$88,'Données projet'!$B$88,BD52+BC53-BL52)))</f>
        <v>199.00000000000006</v>
      </c>
      <c r="BE53" s="13">
        <f>BD53*VLOOKUP('Données projet'!$B$11,Paramètres!$A$1:$I$89,3,0)*VLOOKUP('Données projet'!$B$11,Paramètres!$A$1:$I$89,5,0)</f>
        <v>180.05520000000004</v>
      </c>
      <c r="BF53" s="13">
        <f t="shared" si="37"/>
        <v>45.334466930398399</v>
      </c>
      <c r="BG53" s="20">
        <f t="shared" si="7"/>
        <v>392.55366990377729</v>
      </c>
      <c r="BH53" s="59">
        <f t="shared" si="8"/>
        <v>827.05366990377729</v>
      </c>
      <c r="BI53" s="59">
        <f ca="1">AVERAGE(OFFSET($BH$3,0,0,'Données projet'!$E$11+1,1))-AVERAGE(OFFSET($H$3,0,0,'Données projet'!$E$11+1,1))</f>
        <v>324.41828402031939</v>
      </c>
      <c r="BJ53" s="59">
        <f t="shared" si="38"/>
        <v>233.01060088065992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42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1.7838930347308279</v>
      </c>
      <c r="BR53" s="21">
        <f>EXP(-LN(2)/2)*BR52+(1-EXP(-LN(2)/2))/(LN(2)/2)*BL53*BO53*VLOOKUP('Données projet'!$B$11,Paramètres!$A$1:$I$89,3,0)*0.475*44/12</f>
        <v>6.044285014090261E-3</v>
      </c>
      <c r="BS53" s="22">
        <f t="shared" si="9"/>
        <v>1.7899373197449182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108.5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349</v>
      </c>
      <c r="BW53" s="12">
        <f>VLOOKUP(A53,'Données projet'!$A$113:$I$133,9,0)</f>
        <v>11.5</v>
      </c>
      <c r="BX53" s="12">
        <f t="array" ref="BX53">INDEX(BW:BW,MIN(IF(ISNUMBER(BW53:BW249),ROW(BW53:BW249),"")))</f>
        <v>11.5</v>
      </c>
      <c r="BY53" s="12">
        <f>IF('Données projet'!$A$114&gt;35,BY52+BX53-CG52,IF(A53&lt;'Données projet'!$A$114,$BV$205^A53,IF(A53='Données projet'!$A$114,'Données projet'!$B$114,BY52+BX53-CG52)))</f>
        <v>349.00000000000011</v>
      </c>
      <c r="BZ53" s="13">
        <f>BY53*VLOOKUP('Données projet'!$B$12,Paramètres!$A$1:$I$89,3,0)*VLOOKUP('Données projet'!$B$12,Paramètres!$A$1:$I$89,5,0)</f>
        <v>190.55400000000006</v>
      </c>
      <c r="CA53" s="13">
        <f t="shared" si="39"/>
        <v>47.662413622948378</v>
      </c>
      <c r="CB53" s="20">
        <f t="shared" si="10"/>
        <v>414.89358705996847</v>
      </c>
      <c r="CC53" s="59">
        <f t="shared" si="11"/>
        <v>849.39358705996847</v>
      </c>
      <c r="CD53" s="59">
        <f ca="1">AVERAGE(OFFSET($CC$3,0,0,'Données projet'!$E$12+1,1))-AVERAGE(OFFSET($H$3,0,0,'Données projet'!$E$12+1,1))</f>
        <v>279.00060755204919</v>
      </c>
      <c r="CE53" s="59">
        <f t="shared" si="40"/>
        <v>333.91128554211014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65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4.9131994082923605</v>
      </c>
      <c r="CL53" s="21">
        <f>EXP(-LN(2)/25)*CL52+(1-EXP(-LN(2)/25))/(LN(2)/25)*Calculateur!CG53*Calculateur!CI53*VLOOKUP('Données projet'!$B$12,Paramètres!$A$1:$I$89,3,0)*0.475*44/12</f>
        <v>15.984547456257639</v>
      </c>
      <c r="CM53" s="21">
        <f>EXP(-LN(2)/2)*CM52+(1-EXP(-LN(2)/2))/(LN(2)/2)*CG53*CJ53*VLOOKUP('Données projet'!$B$12,Paramètres!$A$1:$I$89,3,0)*0.475*44/12</f>
        <v>2.1048719470069973E-2</v>
      </c>
      <c r="CN53" s="22">
        <f t="shared" si="12"/>
        <v>20.918795584020071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108.5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456</v>
      </c>
      <c r="CR53" s="12">
        <f>VLOOKUP(A53,'Données projet'!$A$139:$I$159,9,0)</f>
        <v>17.100000000000001</v>
      </c>
      <c r="CS53" s="12">
        <f t="array" ref="CS53">INDEX(CR:CR,MIN(IF(ISNUMBER(CR53:CR249),ROW(CR53:CR249),"")))</f>
        <v>17.100000000000001</v>
      </c>
      <c r="CT53" s="12">
        <f>IF('Données projet'!$A$140&gt;35,CT52+CS53-DB52,IF(A53&lt;'Données projet'!$A$140,$CQ$205^A53,IF(A53='Données projet'!$A$140,'Données projet'!$B$140,CT52+CS53-DB52)))</f>
        <v>456.00000000000045</v>
      </c>
      <c r="CU53" s="17">
        <f>CT53*VLOOKUP('Données projet'!$B$13,Paramètres!$A$1:$I$89,3,0)*VLOOKUP('Données projet'!$B$13,Paramètres!$A$1:$I$89,5,0)</f>
        <v>272.68800000000027</v>
      </c>
      <c r="CV53" s="13">
        <f t="shared" si="41"/>
        <v>65.419401413587593</v>
      </c>
      <c r="CW53" s="20">
        <f t="shared" si="13"/>
        <v>588.87039079533213</v>
      </c>
      <c r="CX53" s="59">
        <f t="shared" si="14"/>
        <v>1023.3703907953321</v>
      </c>
      <c r="CY53" s="59">
        <f ca="1">AVERAGE(OFFSET($CX$3,0,0,'Données projet'!$E$13+1,1))-AVERAGE(OFFSET($H$3,0,0,'Données projet'!$E$13+1,1))</f>
        <v>380.01315081072897</v>
      </c>
      <c r="CZ53" s="59">
        <f t="shared" si="42"/>
        <v>404.90871625409181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94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2.3542413831400899</v>
      </c>
      <c r="DG53" s="21">
        <f>EXP(-LN(2)/25)*DG52+(1-EXP(-LN(2)/25))/(LN(2)/25)*Calculateur!DB53*Calculateur!DD53*VLOOKUP('Données projet'!$B$13,Paramètres!$A$1:$I$89,3,0)*0.475*44/12</f>
        <v>12.256449587999406</v>
      </c>
      <c r="DH53" s="21">
        <f>EXP(-LN(2)/2)*DH52+(1-EXP(-LN(2)/2))/(LN(2)/2)*DB53*DE53*VLOOKUP('Données projet'!$B$13,Paramètres!$A$1:$I$89,3,0)*0.475*44/12</f>
        <v>2.9593099722821304E-2</v>
      </c>
      <c r="DI53" s="22">
        <f t="shared" si="15"/>
        <v>14.640284070862316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108.5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-5.6843418860808015E-14</v>
      </c>
      <c r="DP53" s="17">
        <f>DO53*VLOOKUP('Données projet'!$B$14,Paramètres!$A$1:$I$89,3,0)*VLOOKUP('Données projet'!$B$14,Paramètres!$A$1:$I$89,5,0)</f>
        <v>-5.1431925385259088E-14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320.81451813551064</v>
      </c>
      <c r="DU53" s="59">
        <f t="shared" si="44"/>
        <v>522.80818268773976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1.235229186759927</v>
      </c>
      <c r="EB53" s="21">
        <f>EXP(-LN(2)/25)*EB52+(1-EXP(-LN(2)/25))/(LN(2)/25)*Calculateur!DW53*Calculateur!DY53*VLOOKUP('Données projet'!$B$14,Paramètres!$A$1:$I$89,3,0)*0.475*44/12</f>
        <v>5.9881411476964903</v>
      </c>
      <c r="EC53" s="21">
        <f>EXP(-LN(2)/2)*EC52+(1-EXP(-LN(2)/2))/(LN(2)/2)*DW53*DZ53*VLOOKUP('Données projet'!$B$14,Paramètres!$A$1:$I$89,3,0)*0.475*44/12</f>
        <v>5.8485190484730719E-3</v>
      </c>
      <c r="ED53" s="22">
        <f t="shared" si="18"/>
        <v>7.2292188535048902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108.5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5.875</v>
      </c>
      <c r="EJ53" s="12">
        <f>IF('Données projet'!$A$192&gt;35,EJ52+EI53-ER52,IF(A53&lt;'Données projet'!$A$192,$EG$205^A53,IF(A53='Données projet'!$A$192,'Données projet'!$B$192,EJ52+EI53-ER52)))</f>
        <v>287.5</v>
      </c>
      <c r="EK53" s="17">
        <f>EJ53*VLOOKUP('Données projet'!$B$15,Paramètres!$A$1:$I$89,3,0)*VLOOKUP('Données projet'!$B$15,Paramètres!$A$1:$I$89,5,0)</f>
        <v>171.92500000000001</v>
      </c>
      <c r="EL53" s="13">
        <f t="shared" si="45"/>
        <v>43.520876607827979</v>
      </c>
      <c r="EM53" s="20">
        <f t="shared" si="19"/>
        <v>375.23490175863367</v>
      </c>
      <c r="EN53" s="59">
        <f t="shared" si="20"/>
        <v>809.73490175863367</v>
      </c>
      <c r="EO53" s="59">
        <f ca="1">AVERAGE(OFFSET($EN$3,0,0,'Données projet'!$E$15+1,1))-AVERAGE(OFFSET($H$3,0,0,'Données projet'!$E$15+1,1))</f>
        <v>228.3393311631487</v>
      </c>
      <c r="EP53" s="59">
        <f t="shared" si="46"/>
        <v>266.26050497804033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4.1805437966253338</v>
      </c>
      <c r="EW53" s="21">
        <f>EXP(-LN(2)/25)*EW52+(1-EXP(-LN(2)/25))/(LN(2)/25)*Calculateur!ER53*Calculateur!ET53*VLOOKUP('Données projet'!$B$15,Paramètres!$A$1:$I$89,3,0)*0.475*44/12</f>
        <v>7.0822320792418827</v>
      </c>
      <c r="EX53" s="21">
        <f>EXP(-LN(2)/2)*EX52+(1-EXP(-LN(2)/2))/(LN(2)/2)*ER53*EU53*VLOOKUP('Données projet'!$B$15,Paramètres!$A$1:$I$89,3,0)*0.475*44/12</f>
        <v>5.3180589590567954E-3</v>
      </c>
      <c r="EY53" s="22">
        <f t="shared" si="21"/>
        <v>11.268093934826274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108.5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312</v>
      </c>
      <c r="FC53" s="12">
        <f>VLOOKUP(A53,'Données projet'!$A$217:$I$237,9,0)</f>
        <v>14.3</v>
      </c>
      <c r="FD53" s="12">
        <f t="array" ref="FD53">INDEX(FC:FC,MIN(IF(ISNUMBER(FC53:FC249),ROW(FC53:FC249),"")))</f>
        <v>14.3</v>
      </c>
      <c r="FE53" s="12">
        <f>IF('Données projet'!$A$218&gt;35,FE52+FD53-FM52,IF(A53&lt;'Données projet'!$A$218,$FB$205^A53,IF(A53='Données projet'!$A$218,'Données projet'!$B$218,FE52+FD53-FM52)))</f>
        <v>312.00000000000006</v>
      </c>
      <c r="FF53" s="17">
        <f>FE53*VLOOKUP('Données projet'!$B$16,Paramètres!$A$1:$I$89,3,0)*VLOOKUP('Données projet'!$B$16,Paramètres!$A$1:$I$89,5,0)</f>
        <v>178.46400000000006</v>
      </c>
      <c r="FG53" s="13">
        <f t="shared" si="47"/>
        <v>44.980284206661857</v>
      </c>
      <c r="FH53" s="20">
        <f t="shared" si="22"/>
        <v>389.16546165993617</v>
      </c>
      <c r="FI53" s="59">
        <f t="shared" si="23"/>
        <v>823.66546165993623</v>
      </c>
      <c r="FJ53" s="59">
        <f ca="1">AVERAGE(OFFSET($FI$3,0,0,'Données projet'!$E$16+1,1))-AVERAGE(OFFSET($H$3,0,0,'Données projet'!$E$16+1,1))</f>
        <v>242.10913976205194</v>
      </c>
      <c r="FK53" s="59">
        <f t="shared" si="48"/>
        <v>198.24795425321133</v>
      </c>
      <c r="FL53" s="15">
        <f>IF(ISNA(VLOOKUP(A53,'Données projet'!$A$217:$I$237,3,0)),0,VLOOKUP(A53,'Données projet'!$A$217:$I$237,3,0))</f>
        <v>4</v>
      </c>
      <c r="FM53" s="15">
        <f>IF(ISNA(VLOOKUP(A53,'Données projet'!$A$217:$I$237,4,0)),0,VLOOKUP(A53,'Données projet'!$A$217:$I$237,4,0))</f>
        <v>70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6.2244500567456154</v>
      </c>
      <c r="FS53" s="21">
        <f>EXP(-LN(2)/2)*FS52+(1-EXP(-LN(2)/2))/(LN(2)/2)*FM53*FP53*VLOOKUP('Données projet'!$B$16,Paramètres!$A$1:$I$89,3,0)*0.475*44/12</f>
        <v>1.2912775931012071E-2</v>
      </c>
      <c r="FT53" s="22">
        <f t="shared" si="24"/>
        <v>6.2373628326766273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108.5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108.5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24.942059999999977</v>
      </c>
      <c r="D54" s="11">
        <f t="shared" si="32"/>
        <v>7.9046284747763735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139.45436159466453</v>
      </c>
      <c r="H54" s="67">
        <f t="shared" si="1"/>
        <v>455.04131576023542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108.5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5.6</v>
      </c>
      <c r="N54" s="13">
        <f>IF('Données projet'!$A$36&gt;35,N53+M54-V53,IF(A54&lt;'Données projet'!$A$36,$K$205^A54,IF(A54='Données projet'!$A$36,'Données projet'!$B$36,N53+M54-V53)))</f>
        <v>207.59999999999974</v>
      </c>
      <c r="O54" s="13">
        <f>N54*VLOOKUP('Données projet'!$B$9,Paramètres!$A$1:$I$89,3,0)*VLOOKUP('Données projet'!$B$9,Paramètres!$A$1:$I$89,5,0)</f>
        <v>168.40511999999981</v>
      </c>
      <c r="P54" s="13">
        <f t="shared" si="33"/>
        <v>42.732627800243563</v>
      </c>
      <c r="Q54" s="20">
        <f t="shared" si="53"/>
        <v>367.73157741875724</v>
      </c>
      <c r="R54" s="59">
        <f t="shared" si="0"/>
        <v>802.2315774187573</v>
      </c>
      <c r="S54" s="59">
        <f ca="1">AVERAGE(OFFSET($R$3,0,0,'Données projet'!$E$9+1,1))-AVERAGE(OFFSET($H$3,0,0,'Données projet'!$E$9+1,1))</f>
        <v>273.89826011924487</v>
      </c>
      <c r="T54" s="59">
        <f t="shared" si="34"/>
        <v>332.17519939974227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4.7520324667839962</v>
      </c>
      <c r="AB54" s="21">
        <f>EXP(-LN(2)/2)*AB53+(1-EXP(-LN(2)/2))/(LN(2)/2)*V54*Y54*VLOOKUP('Données projet'!$B$9,Paramètres!$A$1:$I$89,3,0)*0.475*44/12</f>
        <v>7.5769318250423811E-3</v>
      </c>
      <c r="AC54" s="22">
        <f t="shared" si="3"/>
        <v>4.7596093986090384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108.5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13.499999999999996</v>
      </c>
      <c r="AI54" s="13">
        <f>IF('Données projet'!$A$62&gt;35,AI53+AH54-AQ53,IF(A54&lt;'Données projet'!$A$62,$AF$205^A54,IF(A54='Données projet'!$A$62,'Données projet'!$B$62,AI53+AH54-AQ53)))</f>
        <v>253.29999999999987</v>
      </c>
      <c r="AJ54" s="13">
        <f>AI54*VLOOKUP('Données projet'!$B$10,Paramètres!$A$1:$I$89,3,0)*VLOOKUP('Données projet'!$B$10,Paramètres!$A$1:$I$89,5,0)</f>
        <v>118.54439999999994</v>
      </c>
      <c r="AK54" s="13">
        <f t="shared" si="35"/>
        <v>31.3352637371359</v>
      </c>
      <c r="AL54" s="20">
        <f t="shared" si="4"/>
        <v>261.04041434217822</v>
      </c>
      <c r="AM54" s="59">
        <f t="shared" si="5"/>
        <v>695.54041434217822</v>
      </c>
      <c r="AN54" s="59">
        <f ca="1">AVERAGE(OFFSET($AM$3,0,0,'Données projet'!$E$10+1,1))-AVERAGE(OFFSET($H$3,0,0,'Données projet'!$E$10+1,1))</f>
        <v>293.42903587188346</v>
      </c>
      <c r="AO54" s="59">
        <f t="shared" si="36"/>
        <v>267.80827667062124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2.0680526102827663</v>
      </c>
      <c r="AV54" s="21">
        <f>EXP(-LN(2)/25)*AV53+(1-EXP(-LN(2)/25))/(LN(2)/25)*Calculateur!AQ54*Calculateur!AS54*VLOOKUP('Données projet'!$B$10,Paramètres!$A$1:$I$89,3,0)*0.475*44/12</f>
        <v>4.3884046431507171</v>
      </c>
      <c r="AW54" s="21">
        <f>EXP(-LN(2)/2)*AW53+(1-EXP(-LN(2)/2))/(LN(2)/2)*AQ54*AT54*VLOOKUP('Données projet'!$B$10,Paramètres!$A$1:$I$89,3,0)*0.475*44/12</f>
        <v>6.7894518193751729E-3</v>
      </c>
      <c r="AX54" s="21">
        <f t="shared" si="6"/>
        <v>6.4632467052528586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108.5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7.8</v>
      </c>
      <c r="BD54" s="12">
        <f>IF('Données projet'!$A$88&gt;35,BD53+BC54-BL53,IF(A54&lt;'Données projet'!$A$88,$BA$205^A54,IF(A54='Données projet'!$A$88,'Données projet'!$B$88,BD53+BC54-BL53)))</f>
        <v>164.80000000000007</v>
      </c>
      <c r="BE54" s="13">
        <f>BD54*VLOOKUP('Données projet'!$B$11,Paramètres!$A$1:$I$89,3,0)*VLOOKUP('Données projet'!$B$11,Paramètres!$A$1:$I$89,5,0)</f>
        <v>149.11104000000006</v>
      </c>
      <c r="BF54" s="13">
        <f t="shared" si="37"/>
        <v>38.376496436982386</v>
      </c>
      <c r="BG54" s="20">
        <f t="shared" si="7"/>
        <v>326.54079262774445</v>
      </c>
      <c r="BH54" s="59">
        <f t="shared" si="8"/>
        <v>761.04079262774439</v>
      </c>
      <c r="BI54" s="59">
        <f ca="1">AVERAGE(OFFSET($BH$3,0,0,'Données projet'!$E$11+1,1))-AVERAGE(OFFSET($H$3,0,0,'Données projet'!$E$11+1,1))</f>
        <v>324.41828402031939</v>
      </c>
      <c r="BJ54" s="59">
        <f t="shared" si="38"/>
        <v>233.01060088065992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1.735112385885256</v>
      </c>
      <c r="BR54" s="21">
        <f>EXP(-LN(2)/2)*BR53+(1-EXP(-LN(2)/2))/(LN(2)/2)*BL54*BO54*VLOOKUP('Données projet'!$B$11,Paramètres!$A$1:$I$89,3,0)*0.475*44/12</f>
        <v>4.2739549208874504E-3</v>
      </c>
      <c r="BS54" s="22">
        <f t="shared" si="9"/>
        <v>1.7393863408061434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108.5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9.8000000000000007</v>
      </c>
      <c r="BY54" s="12">
        <f>IF('Données projet'!$A$114&gt;35,BY53+BX54-CG53,IF(A54&lt;'Données projet'!$A$114,$BV$205^A54,IF(A54='Données projet'!$A$114,'Données projet'!$B$114,BY53+BX54-CG53)))</f>
        <v>293.80000000000013</v>
      </c>
      <c r="BZ54" s="13">
        <f>BY54*VLOOKUP('Données projet'!$B$12,Paramètres!$A$1:$I$89,3,0)*VLOOKUP('Données projet'!$B$12,Paramètres!$A$1:$I$89,5,0)</f>
        <v>160.41480000000007</v>
      </c>
      <c r="CA54" s="13">
        <f t="shared" si="39"/>
        <v>40.936060601587023</v>
      </c>
      <c r="CB54" s="20">
        <f t="shared" si="10"/>
        <v>350.68608221443083</v>
      </c>
      <c r="CC54" s="59">
        <f t="shared" si="11"/>
        <v>785.18608221443083</v>
      </c>
      <c r="CD54" s="59">
        <f ca="1">AVERAGE(OFFSET($CC$3,0,0,'Données projet'!$E$12+1,1))-AVERAGE(OFFSET($H$3,0,0,'Données projet'!$E$12+1,1))</f>
        <v>279.00060755204919</v>
      </c>
      <c r="CE54" s="59">
        <f t="shared" si="40"/>
        <v>333.91128554211014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4.8168545646514813</v>
      </c>
      <c r="CL54" s="21">
        <f>EXP(-LN(2)/25)*CL53+(1-EXP(-LN(2)/25))/(LN(2)/25)*Calculateur!CG54*Calculateur!CI54*VLOOKUP('Données projet'!$B$12,Paramètres!$A$1:$I$89,3,0)*0.475*44/12</f>
        <v>15.547449165475456</v>
      </c>
      <c r="CM54" s="21">
        <f>EXP(-LN(2)/2)*CM53+(1-EXP(-LN(2)/2))/(LN(2)/2)*CG54*CJ54*VLOOKUP('Données projet'!$B$12,Paramètres!$A$1:$I$89,3,0)*0.475*44/12</f>
        <v>1.4883692272579793E-2</v>
      </c>
      <c r="CN54" s="22">
        <f t="shared" si="12"/>
        <v>20.379187422399518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108.5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14.4</v>
      </c>
      <c r="CT54" s="12">
        <f>IF('Données projet'!$A$140&gt;35,CT53+CS54-DB53,IF(A54&lt;'Données projet'!$A$140,$CQ$205^A54,IF(A54='Données projet'!$A$140,'Données projet'!$B$140,CT53+CS54-DB53)))</f>
        <v>376.40000000000043</v>
      </c>
      <c r="CU54" s="17">
        <f>CT54*VLOOKUP('Données projet'!$B$13,Paramètres!$A$1:$I$89,3,0)*VLOOKUP('Données projet'!$B$13,Paramètres!$A$1:$I$89,5,0)</f>
        <v>225.08720000000028</v>
      </c>
      <c r="CV54" s="13">
        <f t="shared" si="41"/>
        <v>55.219088139446988</v>
      </c>
      <c r="CW54" s="20">
        <f t="shared" si="13"/>
        <v>488.20011850953728</v>
      </c>
      <c r="CX54" s="59">
        <f t="shared" si="14"/>
        <v>922.70011850953733</v>
      </c>
      <c r="CY54" s="59">
        <f ca="1">AVERAGE(OFFSET($CX$3,0,0,'Données projet'!$E$13+1,1))-AVERAGE(OFFSET($H$3,0,0,'Données projet'!$E$13+1,1))</f>
        <v>380.01315081072897</v>
      </c>
      <c r="CZ54" s="59">
        <f t="shared" si="42"/>
        <v>404.90871625409181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2.3080761455621688</v>
      </c>
      <c r="DG54" s="21">
        <f>EXP(-LN(2)/25)*DG53+(1-EXP(-LN(2)/25))/(LN(2)/25)*Calculateur!DB54*Calculateur!DD54*VLOOKUP('Données projet'!$B$13,Paramètres!$A$1:$I$89,3,0)*0.475*44/12</f>
        <v>11.92129632947689</v>
      </c>
      <c r="DH54" s="21">
        <f>EXP(-LN(2)/2)*DH53+(1-EXP(-LN(2)/2))/(LN(2)/2)*DB54*DE54*VLOOKUP('Données projet'!$B$13,Paramètres!$A$1:$I$89,3,0)*0.475*44/12</f>
        <v>2.0925481490336684E-2</v>
      </c>
      <c r="DI54" s="22">
        <f t="shared" si="15"/>
        <v>14.250297956529396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108.5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-5.6843418860808015E-14</v>
      </c>
      <c r="DP54" s="17">
        <f>DO54*VLOOKUP('Données projet'!$B$14,Paramètres!$A$1:$I$89,3,0)*VLOOKUP('Données projet'!$B$14,Paramètres!$A$1:$I$89,5,0)</f>
        <v>-5.1431925385259088E-14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320.81451813551064</v>
      </c>
      <c r="DU54" s="59">
        <f t="shared" si="44"/>
        <v>522.80818268773976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1.2110070958229751</v>
      </c>
      <c r="EB54" s="21">
        <f>EXP(-LN(2)/25)*EB53+(1-EXP(-LN(2)/25))/(LN(2)/25)*Calculateur!DW54*Calculateur!DY54*VLOOKUP('Données projet'!$B$14,Paramètres!$A$1:$I$89,3,0)*0.475*44/12</f>
        <v>5.8243951131100733</v>
      </c>
      <c r="EC54" s="21">
        <f>EXP(-LN(2)/2)*EC53+(1-EXP(-LN(2)/2))/(LN(2)/2)*DW54*DZ54*VLOOKUP('Données projet'!$B$14,Paramètres!$A$1:$I$89,3,0)*0.475*44/12</f>
        <v>4.1355274790740035E-3</v>
      </c>
      <c r="ED54" s="22">
        <f t="shared" si="18"/>
        <v>7.0395377364121225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108.5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5.875</v>
      </c>
      <c r="EJ54" s="12">
        <f>IF('Données projet'!$A$192&gt;35,EJ53+EI54-ER53,IF(A54&lt;'Données projet'!$A$192,$EG$205^A54,IF(A54='Données projet'!$A$192,'Données projet'!$B$192,EJ53+EI54-ER53)))</f>
        <v>293.375</v>
      </c>
      <c r="EK54" s="17">
        <f>EJ54*VLOOKUP('Données projet'!$B$15,Paramètres!$A$1:$I$89,3,0)*VLOOKUP('Données projet'!$B$15,Paramètres!$A$1:$I$89,5,0)</f>
        <v>175.43825000000004</v>
      </c>
      <c r="EL54" s="13">
        <f t="shared" si="45"/>
        <v>44.305769576051844</v>
      </c>
      <c r="EM54" s="20">
        <f t="shared" si="19"/>
        <v>382.72083409495696</v>
      </c>
      <c r="EN54" s="59">
        <f t="shared" si="20"/>
        <v>817.2208340949569</v>
      </c>
      <c r="EO54" s="59">
        <f ca="1">AVERAGE(OFFSET($EN$3,0,0,'Données projet'!$E$15+1,1))-AVERAGE(OFFSET($H$3,0,0,'Données projet'!$E$15+1,1))</f>
        <v>228.3393311631487</v>
      </c>
      <c r="EP54" s="59">
        <f t="shared" si="46"/>
        <v>266.26050497804033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4.098565882653447</v>
      </c>
      <c r="EW54" s="21">
        <f>EXP(-LN(2)/25)*EW53+(1-EXP(-LN(2)/25))/(LN(2)/25)*Calculateur!ER54*Calculateur!ET54*VLOOKUP('Données projet'!$B$15,Paramètres!$A$1:$I$89,3,0)*0.475*44/12</f>
        <v>6.888568070596615</v>
      </c>
      <c r="EX54" s="21">
        <f>EXP(-LN(2)/2)*EX53+(1-EXP(-LN(2)/2))/(LN(2)/2)*ER54*EU54*VLOOKUP('Données projet'!$B$15,Paramètres!$A$1:$I$89,3,0)*0.475*44/12</f>
        <v>3.7604355526989325E-3</v>
      </c>
      <c r="EY54" s="22">
        <f t="shared" si="21"/>
        <v>10.990894388802761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108.5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13.4</v>
      </c>
      <c r="FE54" s="12">
        <f>IF('Données projet'!$A$218&gt;35,FE53+FD54-FM53,IF(A54&lt;'Données projet'!$A$218,$FB$205^A54,IF(A54='Données projet'!$A$218,'Données projet'!$B$218,FE53+FD54-FM53)))</f>
        <v>255.40000000000003</v>
      </c>
      <c r="FF54" s="17">
        <f>FE54*VLOOKUP('Données projet'!$B$16,Paramètres!$A$1:$I$89,3,0)*VLOOKUP('Données projet'!$B$16,Paramètres!$A$1:$I$89,5,0)</f>
        <v>146.08880000000002</v>
      </c>
      <c r="FG54" s="13">
        <f t="shared" si="47"/>
        <v>37.688389267810216</v>
      </c>
      <c r="FH54" s="20">
        <f t="shared" si="22"/>
        <v>320.07860464143613</v>
      </c>
      <c r="FI54" s="59">
        <f t="shared" si="23"/>
        <v>754.57860464143619</v>
      </c>
      <c r="FJ54" s="59">
        <f ca="1">AVERAGE(OFFSET($FI$3,0,0,'Données projet'!$E$16+1,1))-AVERAGE(OFFSET($H$3,0,0,'Données projet'!$E$16+1,1))</f>
        <v>242.10913976205194</v>
      </c>
      <c r="FK54" s="59">
        <f t="shared" si="48"/>
        <v>198.24795425321133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6.0542421426143038</v>
      </c>
      <c r="FS54" s="21">
        <f>EXP(-LN(2)/2)*FS53+(1-EXP(-LN(2)/2))/(LN(2)/2)*FM54*FP54*VLOOKUP('Données projet'!$B$16,Paramètres!$A$1:$I$89,3,0)*0.475*44/12</f>
        <v>9.1307114247610698E-3</v>
      </c>
      <c r="FT54" s="22">
        <f t="shared" si="24"/>
        <v>6.0633728540390646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108.5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108.5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25.431119999999975</v>
      </c>
      <c r="D55" s="11">
        <f t="shared" si="32"/>
        <v>8.0414248807064492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142.11150633563079</v>
      </c>
      <c r="H55" s="67">
        <f t="shared" si="1"/>
        <v>456.13134900056366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108.5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5.6</v>
      </c>
      <c r="N55" s="13">
        <f>IF('Données projet'!$A$36&gt;35,N54+M55-V54,IF(A55&lt;'Données projet'!$A$36,$K$205^A55,IF(A55='Données projet'!$A$36,'Données projet'!$B$36,N54+M55-V54)))</f>
        <v>213.19999999999973</v>
      </c>
      <c r="O55" s="13">
        <f>N55*VLOOKUP('Données projet'!$B$9,Paramètres!$A$1:$I$89,3,0)*VLOOKUP('Données projet'!$B$9,Paramètres!$A$1:$I$89,5,0)</f>
        <v>172.94783999999979</v>
      </c>
      <c r="P55" s="13">
        <f t="shared" si="33"/>
        <v>43.749579650767998</v>
      </c>
      <c r="Q55" s="20">
        <f t="shared" si="53"/>
        <v>377.41467255842053</v>
      </c>
      <c r="R55" s="59">
        <f t="shared" si="0"/>
        <v>811.91467255842053</v>
      </c>
      <c r="S55" s="59">
        <f ca="1">AVERAGE(OFFSET($R$3,0,0,'Données projet'!$E$9+1,1))-AVERAGE(OFFSET($H$3,0,0,'Données projet'!$E$9+1,1))</f>
        <v>273.89826011924487</v>
      </c>
      <c r="T55" s="59">
        <f t="shared" si="34"/>
        <v>332.17519939974227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4.6220878890812616</v>
      </c>
      <c r="AB55" s="21">
        <f>EXP(-LN(2)/2)*AB54+(1-EXP(-LN(2)/2))/(LN(2)/2)*V55*Y55*VLOOKUP('Données projet'!$B$9,Paramètres!$A$1:$I$89,3,0)*0.475*44/12</f>
        <v>5.3576998740756318E-3</v>
      </c>
      <c r="AC55" s="22">
        <f t="shared" si="3"/>
        <v>4.6274455889553368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108.5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13.499999999999996</v>
      </c>
      <c r="AI55" s="13">
        <f>IF('Données projet'!$A$62&gt;35,AI54+AH55-AQ54,IF(A55&lt;'Données projet'!$A$62,$AF$205^A55,IF(A55='Données projet'!$A$62,'Données projet'!$B$62,AI54+AH55-AQ54)))</f>
        <v>266.79999999999984</v>
      </c>
      <c r="AJ55" s="13">
        <f>AI55*VLOOKUP('Données projet'!$B$10,Paramètres!$A$1:$I$89,3,0)*VLOOKUP('Données projet'!$B$10,Paramètres!$A$1:$I$89,5,0)</f>
        <v>124.86239999999994</v>
      </c>
      <c r="AK55" s="13">
        <f t="shared" si="35"/>
        <v>32.80643928056157</v>
      </c>
      <c r="AL55" s="20">
        <f t="shared" si="4"/>
        <v>274.60656174697795</v>
      </c>
      <c r="AM55" s="59">
        <f t="shared" si="5"/>
        <v>709.10656174697795</v>
      </c>
      <c r="AN55" s="59">
        <f ca="1">AVERAGE(OFFSET($AM$3,0,0,'Données projet'!$E$10+1,1))-AVERAGE(OFFSET($H$3,0,0,'Données projet'!$E$10+1,1))</f>
        <v>293.42903587188346</v>
      </c>
      <c r="AO55" s="59">
        <f t="shared" si="36"/>
        <v>267.80827667062124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2.0274993599826621</v>
      </c>
      <c r="AV55" s="21">
        <f>EXP(-LN(2)/25)*AV54+(1-EXP(-LN(2)/25))/(LN(2)/25)*Calculateur!AQ55*Calculateur!AS55*VLOOKUP('Données projet'!$B$10,Paramètres!$A$1:$I$89,3,0)*0.475*44/12</f>
        <v>4.26840348740759</v>
      </c>
      <c r="AW55" s="21">
        <f>EXP(-LN(2)/2)*AW54+(1-EXP(-LN(2)/2))/(LN(2)/2)*AQ55*AT55*VLOOKUP('Données projet'!$B$10,Paramètres!$A$1:$I$89,3,0)*0.475*44/12</f>
        <v>4.8008674220195273E-3</v>
      </c>
      <c r="AX55" s="21">
        <f t="shared" si="6"/>
        <v>6.300703714812272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108.5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7.8</v>
      </c>
      <c r="BD55" s="12">
        <f>IF('Données projet'!$A$88&gt;35,BD54+BC55-BL54,IF(A55&lt;'Données projet'!$A$88,$BA$205^A55,IF(A55='Données projet'!$A$88,'Données projet'!$B$88,BD54+BC55-BL54)))</f>
        <v>172.60000000000008</v>
      </c>
      <c r="BE55" s="13">
        <f>BD55*VLOOKUP('Données projet'!$B$11,Paramètres!$A$1:$I$89,3,0)*VLOOKUP('Données projet'!$B$11,Paramètres!$A$1:$I$89,5,0)</f>
        <v>156.16848000000005</v>
      </c>
      <c r="BF55" s="13">
        <f t="shared" si="37"/>
        <v>39.977090041212335</v>
      </c>
      <c r="BG55" s="20">
        <f t="shared" si="7"/>
        <v>341.62020115511154</v>
      </c>
      <c r="BH55" s="59">
        <f t="shared" si="8"/>
        <v>776.12020115511154</v>
      </c>
      <c r="BI55" s="59">
        <f ca="1">AVERAGE(OFFSET($BH$3,0,0,'Données projet'!$E$11+1,1))-AVERAGE(OFFSET($H$3,0,0,'Données projet'!$E$11+1,1))</f>
        <v>324.41828402031939</v>
      </c>
      <c r="BJ55" s="59">
        <f t="shared" si="38"/>
        <v>233.01060088065992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1.687665646447629</v>
      </c>
      <c r="BR55" s="21">
        <f>EXP(-LN(2)/2)*BR54+(1-EXP(-LN(2)/2))/(LN(2)/2)*BL55*BO55*VLOOKUP('Données projet'!$B$11,Paramètres!$A$1:$I$89,3,0)*0.475*44/12</f>
        <v>3.0221425070451305E-3</v>
      </c>
      <c r="BS55" s="22">
        <f t="shared" si="9"/>
        <v>1.6906877889546741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108.5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9.8000000000000007</v>
      </c>
      <c r="BY55" s="12">
        <f>IF('Données projet'!$A$114&gt;35,BY54+BX55-CG54,IF(A55&lt;'Données projet'!$A$114,$BV$205^A55,IF(A55='Données projet'!$A$114,'Données projet'!$B$114,BY54+BX55-CG54)))</f>
        <v>303.60000000000014</v>
      </c>
      <c r="BZ55" s="13">
        <f>BY55*VLOOKUP('Données projet'!$B$12,Paramètres!$A$1:$I$89,3,0)*VLOOKUP('Données projet'!$B$12,Paramètres!$A$1:$I$89,5,0)</f>
        <v>165.76560000000009</v>
      </c>
      <c r="CA55" s="13">
        <f t="shared" si="39"/>
        <v>42.140271125684301</v>
      </c>
      <c r="CB55" s="20">
        <f t="shared" si="10"/>
        <v>362.10272554390031</v>
      </c>
      <c r="CC55" s="59">
        <f t="shared" si="11"/>
        <v>796.60272554390031</v>
      </c>
      <c r="CD55" s="59">
        <f ca="1">AVERAGE(OFFSET($CC$3,0,0,'Données projet'!$E$12+1,1))-AVERAGE(OFFSET($H$3,0,0,'Données projet'!$E$12+1,1))</f>
        <v>279.00060755204919</v>
      </c>
      <c r="CE55" s="59">
        <f t="shared" si="40"/>
        <v>333.91128554211014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4.722398984629848</v>
      </c>
      <c r="CL55" s="21">
        <f>EXP(-LN(2)/25)*CL54+(1-EXP(-LN(2)/25))/(LN(2)/25)*Calculateur!CG55*Calculateur!CI55*VLOOKUP('Données projet'!$B$12,Paramètres!$A$1:$I$89,3,0)*0.475*44/12</f>
        <v>15.122303350440712</v>
      </c>
      <c r="CM55" s="21">
        <f>EXP(-LN(2)/2)*CM54+(1-EXP(-LN(2)/2))/(LN(2)/2)*CG55*CJ55*VLOOKUP('Données projet'!$B$12,Paramètres!$A$1:$I$89,3,0)*0.475*44/12</f>
        <v>1.0524359735034988E-2</v>
      </c>
      <c r="CN55" s="22">
        <f t="shared" si="12"/>
        <v>19.855226694805594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108.5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14.4</v>
      </c>
      <c r="CT55" s="12">
        <f>IF('Données projet'!$A$140&gt;35,CT54+CS55-DB54,IF(A55&lt;'Données projet'!$A$140,$CQ$205^A55,IF(A55='Données projet'!$A$140,'Données projet'!$B$140,CT54+CS55-DB54)))</f>
        <v>390.80000000000041</v>
      </c>
      <c r="CU55" s="17">
        <f>CT55*VLOOKUP('Données projet'!$B$13,Paramètres!$A$1:$I$89,3,0)*VLOOKUP('Données projet'!$B$13,Paramètres!$A$1:$I$89,5,0)</f>
        <v>233.69840000000028</v>
      </c>
      <c r="CV55" s="13">
        <f t="shared" si="41"/>
        <v>57.081618134454224</v>
      </c>
      <c r="CW55" s="20">
        <f t="shared" si="13"/>
        <v>506.44186491750833</v>
      </c>
      <c r="CX55" s="59">
        <f t="shared" si="14"/>
        <v>940.94186491750838</v>
      </c>
      <c r="CY55" s="59">
        <f ca="1">AVERAGE(OFFSET($CX$3,0,0,'Données projet'!$E$13+1,1))-AVERAGE(OFFSET($H$3,0,0,'Données projet'!$E$13+1,1))</f>
        <v>380.01315081072897</v>
      </c>
      <c r="CZ55" s="59">
        <f t="shared" si="42"/>
        <v>404.90871625409181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2.2628161801351361</v>
      </c>
      <c r="DG55" s="21">
        <f>EXP(-LN(2)/25)*DG54+(1-EXP(-LN(2)/25))/(LN(2)/25)*Calculateur!DB55*Calculateur!DD55*VLOOKUP('Données projet'!$B$13,Paramètres!$A$1:$I$89,3,0)*0.475*44/12</f>
        <v>11.595307854433617</v>
      </c>
      <c r="DH55" s="21">
        <f>EXP(-LN(2)/2)*DH54+(1-EXP(-LN(2)/2))/(LN(2)/2)*DB55*DE55*VLOOKUP('Données projet'!$B$13,Paramètres!$A$1:$I$89,3,0)*0.475*44/12</f>
        <v>1.4796549861410652E-2</v>
      </c>
      <c r="DI55" s="22">
        <f t="shared" si="15"/>
        <v>13.872920584430164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108.5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-5.6843418860808015E-14</v>
      </c>
      <c r="DP55" s="17">
        <f>DO55*VLOOKUP('Données projet'!$B$14,Paramètres!$A$1:$I$89,3,0)*VLOOKUP('Données projet'!$B$14,Paramètres!$A$1:$I$89,5,0)</f>
        <v>-5.1431925385259088E-14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320.81451813551064</v>
      </c>
      <c r="DU55" s="59">
        <f t="shared" si="44"/>
        <v>522.80818268773976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1.1872599853152801</v>
      </c>
      <c r="EB55" s="21">
        <f>EXP(-LN(2)/25)*EB54+(1-EXP(-LN(2)/25))/(LN(2)/25)*Calculateur!DW55*Calculateur!DY55*VLOOKUP('Données projet'!$B$14,Paramètres!$A$1:$I$89,3,0)*0.475*44/12</f>
        <v>5.6651267224504513</v>
      </c>
      <c r="EC55" s="21">
        <f>EXP(-LN(2)/2)*EC54+(1-EXP(-LN(2)/2))/(LN(2)/2)*DW55*DZ55*VLOOKUP('Données projet'!$B$14,Paramètres!$A$1:$I$89,3,0)*0.475*44/12</f>
        <v>2.9242595242365359E-3</v>
      </c>
      <c r="ED55" s="22">
        <f t="shared" si="18"/>
        <v>6.8553109672899684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108.5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5.875</v>
      </c>
      <c r="EJ55" s="12">
        <f>IF('Données projet'!$A$192&gt;35,EJ54+EI55-ER54,IF(A55&lt;'Données projet'!$A$192,$EG$205^A55,IF(A55='Données projet'!$A$192,'Données projet'!$B$192,EJ54+EI55-ER54)))</f>
        <v>299.25</v>
      </c>
      <c r="EK55" s="17">
        <f>EJ55*VLOOKUP('Données projet'!$B$15,Paramètres!$A$1:$I$89,3,0)*VLOOKUP('Données projet'!$B$15,Paramètres!$A$1:$I$89,5,0)</f>
        <v>178.95150000000001</v>
      </c>
      <c r="EL55" s="13">
        <f t="shared" si="45"/>
        <v>45.088834979390157</v>
      </c>
      <c r="EM55" s="20">
        <f t="shared" si="19"/>
        <v>390.20358342243782</v>
      </c>
      <c r="EN55" s="59">
        <f t="shared" si="20"/>
        <v>824.70358342243776</v>
      </c>
      <c r="EO55" s="59">
        <f ca="1">AVERAGE(OFFSET($EN$3,0,0,'Données projet'!$E$15+1,1))-AVERAGE(OFFSET($H$3,0,0,'Données projet'!$E$15+1,1))</f>
        <v>228.3393311631487</v>
      </c>
      <c r="EP55" s="59">
        <f t="shared" si="46"/>
        <v>266.26050497804033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4.018195505572959</v>
      </c>
      <c r="EW55" s="21">
        <f>EXP(-LN(2)/25)*EW54+(1-EXP(-LN(2)/25))/(LN(2)/25)*Calculateur!ER55*Calculateur!ET55*VLOOKUP('Données projet'!$B$15,Paramètres!$A$1:$I$89,3,0)*0.475*44/12</f>
        <v>6.7001998144521</v>
      </c>
      <c r="EX55" s="21">
        <f>EXP(-LN(2)/2)*EX54+(1-EXP(-LN(2)/2))/(LN(2)/2)*ER55*EU55*VLOOKUP('Données projet'!$B$15,Paramètres!$A$1:$I$89,3,0)*0.475*44/12</f>
        <v>2.6590294795283981E-3</v>
      </c>
      <c r="EY55" s="22">
        <f t="shared" si="21"/>
        <v>10.721054349504588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108.5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13.4</v>
      </c>
      <c r="FE55" s="12">
        <f>IF('Données projet'!$A$218&gt;35,FE54+FD55-FM54,IF(A55&lt;'Données projet'!$A$218,$FB$205^A55,IF(A55='Données projet'!$A$218,'Données projet'!$B$218,FE54+FD55-FM54)))</f>
        <v>268.8</v>
      </c>
      <c r="FF55" s="17">
        <f>FE55*VLOOKUP('Données projet'!$B$16,Paramètres!$A$1:$I$89,3,0)*VLOOKUP('Données projet'!$B$16,Paramètres!$A$1:$I$89,5,0)</f>
        <v>153.75360000000001</v>
      </c>
      <c r="FG55" s="13">
        <f t="shared" si="47"/>
        <v>39.430373774012359</v>
      </c>
      <c r="FH55" s="20">
        <f t="shared" si="22"/>
        <v>336.46208765640489</v>
      </c>
      <c r="FI55" s="59">
        <f t="shared" si="23"/>
        <v>770.96208765640495</v>
      </c>
      <c r="FJ55" s="59">
        <f ca="1">AVERAGE(OFFSET($FI$3,0,0,'Données projet'!$E$16+1,1))-AVERAGE(OFFSET($H$3,0,0,'Données projet'!$E$16+1,1))</f>
        <v>242.10913976205194</v>
      </c>
      <c r="FK55" s="59">
        <f t="shared" si="48"/>
        <v>198.24795425321133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5.8886885728457585</v>
      </c>
      <c r="FS55" s="21">
        <f>EXP(-LN(2)/2)*FS54+(1-EXP(-LN(2)/2))/(LN(2)/2)*FM55*FP55*VLOOKUP('Données projet'!$B$16,Paramètres!$A$1:$I$89,3,0)*0.475*44/12</f>
        <v>6.4563879655060354E-3</v>
      </c>
      <c r="FT55" s="22">
        <f t="shared" si="24"/>
        <v>5.8951449608112645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108.5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108.5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25.920179999999974</v>
      </c>
      <c r="D56" s="11">
        <f t="shared" si="32"/>
        <v>8.1779153956802286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144.76735238165983</v>
      </c>
      <c r="H56" s="67">
        <f t="shared" si="1"/>
        <v>457.22084948080965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108.5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5.6</v>
      </c>
      <c r="N56" s="13">
        <f>IF('Données projet'!$A$36&gt;35,N55+M56-V55,IF(A56&lt;'Données projet'!$A$36,$K$205^A56,IF(A56='Données projet'!$A$36,'Données projet'!$B$36,N55+M56-V55)))</f>
        <v>218.79999999999973</v>
      </c>
      <c r="O56" s="13">
        <f>N56*VLOOKUP('Données projet'!$B$9,Paramètres!$A$1:$I$89,3,0)*VLOOKUP('Données projet'!$B$9,Paramètres!$A$1:$I$89,5,0)</f>
        <v>177.49055999999979</v>
      </c>
      <c r="P56" s="13">
        <f t="shared" si="33"/>
        <v>44.763426632624252</v>
      </c>
      <c r="Q56" s="20">
        <f t="shared" si="53"/>
        <v>387.09236005182021</v>
      </c>
      <c r="R56" s="59">
        <f t="shared" si="0"/>
        <v>821.59236005182015</v>
      </c>
      <c r="S56" s="59">
        <f ca="1">AVERAGE(OFFSET($R$3,0,0,'Données projet'!$E$9+1,1))-AVERAGE(OFFSET($H$3,0,0,'Données projet'!$E$9+1,1))</f>
        <v>273.89826011924487</v>
      </c>
      <c r="T56" s="59">
        <f t="shared" si="34"/>
        <v>332.17519939974227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4.4956966526892961</v>
      </c>
      <c r="AB56" s="21">
        <f>EXP(-LN(2)/2)*AB55+(1-EXP(-LN(2)/2))/(LN(2)/2)*V56*Y56*VLOOKUP('Données projet'!$B$9,Paramètres!$A$1:$I$89,3,0)*0.475*44/12</f>
        <v>3.7884659125211914E-3</v>
      </c>
      <c r="AC56" s="22">
        <f t="shared" si="3"/>
        <v>4.4994851186018172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108.5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13.499999999999996</v>
      </c>
      <c r="AI56" s="13">
        <f>IF('Données projet'!$A$62&gt;35,AI55+AH56-AQ55,IF(A56&lt;'Données projet'!$A$62,$AF$205^A56,IF(A56='Données projet'!$A$62,'Données projet'!$B$62,AI55+AH56-AQ55)))</f>
        <v>280.29999999999984</v>
      </c>
      <c r="AJ56" s="13">
        <f>AI56*VLOOKUP('Données projet'!$B$10,Paramètres!$A$1:$I$89,3,0)*VLOOKUP('Données projet'!$B$10,Paramètres!$A$1:$I$89,5,0)</f>
        <v>131.18039999999993</v>
      </c>
      <c r="AK56" s="13">
        <f t="shared" si="35"/>
        <v>34.268971460239172</v>
      </c>
      <c r="AL56" s="20">
        <f t="shared" si="4"/>
        <v>288.15765529324972</v>
      </c>
      <c r="AM56" s="59">
        <f t="shared" si="5"/>
        <v>722.65765529324972</v>
      </c>
      <c r="AN56" s="59">
        <f ca="1">AVERAGE(OFFSET($AM$3,0,0,'Données projet'!$E$10+1,1))-AVERAGE(OFFSET($H$3,0,0,'Données projet'!$E$10+1,1))</f>
        <v>293.42903587188346</v>
      </c>
      <c r="AO56" s="59">
        <f t="shared" si="36"/>
        <v>267.80827667062124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1.9877413341859023</v>
      </c>
      <c r="AV56" s="21">
        <f>EXP(-LN(2)/25)*AV55+(1-EXP(-LN(2)/25))/(LN(2)/25)*Calculateur!AQ56*Calculateur!AS56*VLOOKUP('Données projet'!$B$10,Paramètres!$A$1:$I$89,3,0)*0.475*44/12</f>
        <v>4.1516837695788453</v>
      </c>
      <c r="AW56" s="21">
        <f>EXP(-LN(2)/2)*AW55+(1-EXP(-LN(2)/2))/(LN(2)/2)*AQ56*AT56*VLOOKUP('Données projet'!$B$10,Paramètres!$A$1:$I$89,3,0)*0.475*44/12</f>
        <v>3.3947259096875865E-3</v>
      </c>
      <c r="AX56" s="21">
        <f t="shared" si="6"/>
        <v>6.1428198296744343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108.5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7.8</v>
      </c>
      <c r="BD56" s="12">
        <f>IF('Données projet'!$A$88&gt;35,BD55+BC56-BL55,IF(A56&lt;'Données projet'!$A$88,$BA$205^A56,IF(A56='Données projet'!$A$88,'Données projet'!$B$88,BD55+BC56-BL55)))</f>
        <v>180.40000000000009</v>
      </c>
      <c r="BE56" s="13">
        <f>BD56*VLOOKUP('Données projet'!$B$11,Paramètres!$A$1:$I$89,3,0)*VLOOKUP('Données projet'!$B$11,Paramètres!$A$1:$I$89,5,0)</f>
        <v>163.22592000000009</v>
      </c>
      <c r="BF56" s="13">
        <f t="shared" si="37"/>
        <v>41.569283201466128</v>
      </c>
      <c r="BG56" s="20">
        <f t="shared" si="7"/>
        <v>356.68497890922026</v>
      </c>
      <c r="BH56" s="59">
        <f t="shared" si="8"/>
        <v>791.18497890922026</v>
      </c>
      <c r="BI56" s="59">
        <f ca="1">AVERAGE(OFFSET($BH$3,0,0,'Données projet'!$E$11+1,1))-AVERAGE(OFFSET($H$3,0,0,'Données projet'!$E$11+1,1))</f>
        <v>324.41828402031939</v>
      </c>
      <c r="BJ56" s="59">
        <f t="shared" si="38"/>
        <v>233.01060088065992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1.6415163405950395</v>
      </c>
      <c r="BR56" s="21">
        <f>EXP(-LN(2)/2)*BR55+(1-EXP(-LN(2)/2))/(LN(2)/2)*BL56*BO56*VLOOKUP('Données projet'!$B$11,Paramètres!$A$1:$I$89,3,0)*0.475*44/12</f>
        <v>2.1369774604437252E-3</v>
      </c>
      <c r="BS56" s="22">
        <f t="shared" si="9"/>
        <v>1.6436533180554833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108.5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9.8000000000000007</v>
      </c>
      <c r="BY56" s="12">
        <f>IF('Données projet'!$A$114&gt;35,BY55+BX56-CG55,IF(A56&lt;'Données projet'!$A$114,$BV$205^A56,IF(A56='Données projet'!$A$114,'Données projet'!$B$114,BY55+BX56-CG55)))</f>
        <v>313.40000000000015</v>
      </c>
      <c r="BZ56" s="13">
        <f>BY56*VLOOKUP('Données projet'!$B$12,Paramètres!$A$1:$I$89,3,0)*VLOOKUP('Données projet'!$B$12,Paramètres!$A$1:$I$89,5,0)</f>
        <v>171.11640000000011</v>
      </c>
      <c r="CA56" s="13">
        <f t="shared" si="39"/>
        <v>43.339964715636555</v>
      </c>
      <c r="CB56" s="20">
        <f t="shared" si="10"/>
        <v>373.51150187973388</v>
      </c>
      <c r="CC56" s="59">
        <f t="shared" si="11"/>
        <v>808.01150187973394</v>
      </c>
      <c r="CD56" s="59">
        <f ca="1">AVERAGE(OFFSET($CC$3,0,0,'Données projet'!$E$12+1,1))-AVERAGE(OFFSET($H$3,0,0,'Données projet'!$E$12+1,1))</f>
        <v>279.00060755204919</v>
      </c>
      <c r="CE56" s="59">
        <f t="shared" si="40"/>
        <v>333.91128554211014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4.6297956209202233</v>
      </c>
      <c r="CL56" s="21">
        <f>EXP(-LN(2)/25)*CL55+(1-EXP(-LN(2)/25))/(LN(2)/25)*Calculateur!CG56*Calculateur!CI56*VLOOKUP('Données projet'!$B$12,Paramètres!$A$1:$I$89,3,0)*0.475*44/12</f>
        <v>14.70878317007554</v>
      </c>
      <c r="CM56" s="21">
        <f>EXP(-LN(2)/2)*CM55+(1-EXP(-LN(2)/2))/(LN(2)/2)*CG56*CJ56*VLOOKUP('Données projet'!$B$12,Paramètres!$A$1:$I$89,3,0)*0.475*44/12</f>
        <v>7.4418461362898971E-3</v>
      </c>
      <c r="CN56" s="22">
        <f t="shared" si="12"/>
        <v>19.34602063713205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108.5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14.4</v>
      </c>
      <c r="CT56" s="12">
        <f>IF('Données projet'!$A$140&gt;35,CT55+CS56-DB55,IF(A56&lt;'Données projet'!$A$140,$CQ$205^A56,IF(A56='Données projet'!$A$140,'Données projet'!$B$140,CT55+CS56-DB55)))</f>
        <v>405.20000000000039</v>
      </c>
      <c r="CU56" s="17">
        <f>CT56*VLOOKUP('Données projet'!$B$13,Paramètres!$A$1:$I$89,3,0)*VLOOKUP('Données projet'!$B$13,Paramètres!$A$1:$I$89,5,0)</f>
        <v>242.30960000000027</v>
      </c>
      <c r="CV56" s="13">
        <f t="shared" si="41"/>
        <v>58.936174849921215</v>
      </c>
      <c r="CW56" s="20">
        <f t="shared" si="13"/>
        <v>524.66972453027984</v>
      </c>
      <c r="CX56" s="59">
        <f t="shared" si="14"/>
        <v>959.16972453027984</v>
      </c>
      <c r="CY56" s="59">
        <f ca="1">AVERAGE(OFFSET($CX$3,0,0,'Données projet'!$E$13+1,1))-AVERAGE(OFFSET($H$3,0,0,'Données projet'!$E$13+1,1))</f>
        <v>380.01315081072897</v>
      </c>
      <c r="CZ56" s="59">
        <f t="shared" si="42"/>
        <v>404.90871625409181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2.2184437350242745</v>
      </c>
      <c r="DG56" s="21">
        <f>EXP(-LN(2)/25)*DG55+(1-EXP(-LN(2)/25))/(LN(2)/25)*Calculateur!DB56*Calculateur!DD56*VLOOKUP('Données projet'!$B$13,Paramètres!$A$1:$I$89,3,0)*0.475*44/12</f>
        <v>11.278233551383391</v>
      </c>
      <c r="DH56" s="21">
        <f>EXP(-LN(2)/2)*DH55+(1-EXP(-LN(2)/2))/(LN(2)/2)*DB56*DE56*VLOOKUP('Données projet'!$B$13,Paramètres!$A$1:$I$89,3,0)*0.475*44/12</f>
        <v>1.0462740745168342E-2</v>
      </c>
      <c r="DI56" s="22">
        <f t="shared" si="15"/>
        <v>13.507140027152834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108.5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-5.6843418860808015E-14</v>
      </c>
      <c r="DP56" s="17">
        <f>DO56*VLOOKUP('Données projet'!$B$14,Paramètres!$A$1:$I$89,3,0)*VLOOKUP('Données projet'!$B$14,Paramètres!$A$1:$I$89,5,0)</f>
        <v>-5.1431925385259088E-14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320.81451813551064</v>
      </c>
      <c r="DU56" s="59">
        <f t="shared" si="44"/>
        <v>522.80818268773976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1.1639785411603338</v>
      </c>
      <c r="EB56" s="21">
        <f>EXP(-LN(2)/25)*EB55+(1-EXP(-LN(2)/25))/(LN(2)/25)*Calculateur!DW56*Calculateur!DY56*VLOOKUP('Données projet'!$B$14,Paramètres!$A$1:$I$89,3,0)*0.475*44/12</f>
        <v>5.5102135343089769</v>
      </c>
      <c r="EC56" s="21">
        <f>EXP(-LN(2)/2)*EC55+(1-EXP(-LN(2)/2))/(LN(2)/2)*DW56*DZ56*VLOOKUP('Données projet'!$B$14,Paramètres!$A$1:$I$89,3,0)*0.475*44/12</f>
        <v>2.0677637395370018E-3</v>
      </c>
      <c r="ED56" s="22">
        <f t="shared" si="18"/>
        <v>6.6762598392088472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108.5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5.875</v>
      </c>
      <c r="EJ56" s="12">
        <f>IF('Données projet'!$A$192&gt;35,EJ55+EI56-ER55,IF(A56&lt;'Données projet'!$A$192,$EG$205^A56,IF(A56='Données projet'!$A$192,'Données projet'!$B$192,EJ55+EI56-ER55)))</f>
        <v>305.125</v>
      </c>
      <c r="EK56" s="17">
        <f>EJ56*VLOOKUP('Données projet'!$B$15,Paramètres!$A$1:$I$89,3,0)*VLOOKUP('Données projet'!$B$15,Paramètres!$A$1:$I$89,5,0)</f>
        <v>182.46475000000004</v>
      </c>
      <c r="EL56" s="13">
        <f t="shared" si="45"/>
        <v>45.870112833182944</v>
      </c>
      <c r="EM56" s="20">
        <f t="shared" si="19"/>
        <v>397.68321943446034</v>
      </c>
      <c r="EN56" s="59">
        <f t="shared" si="20"/>
        <v>832.1832194344604</v>
      </c>
      <c r="EO56" s="59">
        <f ca="1">AVERAGE(OFFSET($EN$3,0,0,'Données projet'!$E$15+1,1))-AVERAGE(OFFSET($H$3,0,0,'Données projet'!$E$15+1,1))</f>
        <v>228.3393311631487</v>
      </c>
      <c r="EP56" s="59">
        <f t="shared" si="46"/>
        <v>266.26050497804033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3.9394011425659294</v>
      </c>
      <c r="EW56" s="21">
        <f>EXP(-LN(2)/25)*EW55+(1-EXP(-LN(2)/25))/(LN(2)/25)*Calculateur!ER56*Calculateur!ET56*VLOOKUP('Données projet'!$B$15,Paramètres!$A$1:$I$89,3,0)*0.475*44/12</f>
        <v>6.5169824981777129</v>
      </c>
      <c r="EX56" s="21">
        <f>EXP(-LN(2)/2)*EX55+(1-EXP(-LN(2)/2))/(LN(2)/2)*ER56*EU56*VLOOKUP('Données projet'!$B$15,Paramètres!$A$1:$I$89,3,0)*0.475*44/12</f>
        <v>1.8802177763494665E-3</v>
      </c>
      <c r="EY56" s="22">
        <f t="shared" si="21"/>
        <v>10.458263858519992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108.5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13.4</v>
      </c>
      <c r="FE56" s="12">
        <f>IF('Données projet'!$A$218&gt;35,FE55+FD56-FM55,IF(A56&lt;'Données projet'!$A$218,$FB$205^A56,IF(A56='Données projet'!$A$218,'Données projet'!$B$218,FE55+FD56-FM55)))</f>
        <v>282.2</v>
      </c>
      <c r="FF56" s="17">
        <f>FE56*VLOOKUP('Données projet'!$B$16,Paramètres!$A$1:$I$89,3,0)*VLOOKUP('Données projet'!$B$16,Paramètres!$A$1:$I$89,5,0)</f>
        <v>161.41839999999999</v>
      </c>
      <c r="FG56" s="13">
        <f t="shared" si="47"/>
        <v>41.162274965329132</v>
      </c>
      <c r="FH56" s="20">
        <f t="shared" si="22"/>
        <v>352.82800889794822</v>
      </c>
      <c r="FI56" s="59">
        <f t="shared" si="23"/>
        <v>787.32800889794817</v>
      </c>
      <c r="FJ56" s="59">
        <f ca="1">AVERAGE(OFFSET($FI$3,0,0,'Données projet'!$E$16+1,1))-AVERAGE(OFFSET($H$3,0,0,'Données projet'!$E$16+1,1))</f>
        <v>242.10913976205194</v>
      </c>
      <c r="FK56" s="59">
        <f t="shared" si="48"/>
        <v>198.24795425321133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5.7276620741486184</v>
      </c>
      <c r="FS56" s="21">
        <f>EXP(-LN(2)/2)*FS55+(1-EXP(-LN(2)/2))/(LN(2)/2)*FM56*FP56*VLOOKUP('Données projet'!$B$16,Paramètres!$A$1:$I$89,3,0)*0.475*44/12</f>
        <v>4.5653557123805349E-3</v>
      </c>
      <c r="FT56" s="22">
        <f t="shared" si="24"/>
        <v>5.7322274298609992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108.5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108.5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26.409239999999972</v>
      </c>
      <c r="D57" s="11">
        <f t="shared" si="32"/>
        <v>8.3141064567310696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147.42192706191079</v>
      </c>
      <c r="H57" s="67">
        <f t="shared" si="1"/>
        <v>458.30982841213989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108.5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5.6</v>
      </c>
      <c r="N57" s="13">
        <f>IF('Données projet'!$A$36&gt;35,N56+M57-V56,IF(A57&lt;'Données projet'!$A$36,$K$205^A57,IF(A57='Données projet'!$A$36,'Données projet'!$B$36,N56+M57-V56)))</f>
        <v>224.39999999999972</v>
      </c>
      <c r="O57" s="13">
        <f>N57*VLOOKUP('Données projet'!$B$9,Paramètres!$A$1:$I$89,3,0)*VLOOKUP('Données projet'!$B$9,Paramètres!$A$1:$I$89,5,0)</f>
        <v>182.03327999999979</v>
      </c>
      <c r="P57" s="13">
        <f t="shared" si="33"/>
        <v>45.774257349740196</v>
      </c>
      <c r="Q57" s="20">
        <f t="shared" si="53"/>
        <v>396.76479421746376</v>
      </c>
      <c r="R57" s="59">
        <f t="shared" si="0"/>
        <v>831.26479421746376</v>
      </c>
      <c r="S57" s="59">
        <f ca="1">AVERAGE(OFFSET($R$3,0,0,'Données projet'!$E$9+1,1))-AVERAGE(OFFSET($H$3,0,0,'Données projet'!$E$9+1,1))</f>
        <v>273.89826011924487</v>
      </c>
      <c r="T57" s="59">
        <f t="shared" si="34"/>
        <v>332.17519939974227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4.3727615913030951</v>
      </c>
      <c r="AB57" s="21">
        <f>EXP(-LN(2)/2)*AB56+(1-EXP(-LN(2)/2))/(LN(2)/2)*V57*Y57*VLOOKUP('Données projet'!$B$9,Paramètres!$A$1:$I$89,3,0)*0.475*44/12</f>
        <v>2.6788499370378163E-3</v>
      </c>
      <c r="AC57" s="22">
        <f t="shared" si="3"/>
        <v>4.3754404412401326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108.5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13.499999999999996</v>
      </c>
      <c r="AI57" s="13">
        <f>IF('Données projet'!$A$62&gt;35,AI56+AH57-AQ56,IF(A57&lt;'Données projet'!$A$62,$AF$205^A57,IF(A57='Données projet'!$A$62,'Données projet'!$B$62,AI56+AH57-AQ56)))</f>
        <v>293.79999999999984</v>
      </c>
      <c r="AJ57" s="13">
        <f>AI57*VLOOKUP('Données projet'!$B$10,Paramètres!$A$1:$I$89,3,0)*VLOOKUP('Données projet'!$B$10,Paramètres!$A$1:$I$89,5,0)</f>
        <v>137.49839999999992</v>
      </c>
      <c r="AK57" s="13">
        <f t="shared" si="35"/>
        <v>35.723324086274197</v>
      </c>
      <c r="AL57" s="20">
        <f t="shared" si="4"/>
        <v>301.69450278359409</v>
      </c>
      <c r="AM57" s="59">
        <f t="shared" si="5"/>
        <v>736.19450278359409</v>
      </c>
      <c r="AN57" s="59">
        <f ca="1">AVERAGE(OFFSET($AM$3,0,0,'Données projet'!$E$10+1,1))-AVERAGE(OFFSET($H$3,0,0,'Données projet'!$E$10+1,1))</f>
        <v>293.42903587188346</v>
      </c>
      <c r="AO57" s="59">
        <f t="shared" si="36"/>
        <v>267.80827667062124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1.9487629390250159</v>
      </c>
      <c r="AV57" s="21">
        <f>EXP(-LN(2)/25)*AV56+(1-EXP(-LN(2)/25))/(LN(2)/25)*Calculateur!AQ57*Calculateur!AS57*VLOOKUP('Données projet'!$B$10,Paramètres!$A$1:$I$89,3,0)*0.475*44/12</f>
        <v>4.0381557585721515</v>
      </c>
      <c r="AW57" s="21">
        <f>EXP(-LN(2)/2)*AW56+(1-EXP(-LN(2)/2))/(LN(2)/2)*AQ57*AT57*VLOOKUP('Données projet'!$B$10,Paramètres!$A$1:$I$89,3,0)*0.475*44/12</f>
        <v>2.4004337110097636E-3</v>
      </c>
      <c r="AX57" s="21">
        <f t="shared" si="6"/>
        <v>5.9893191313081768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108.5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7.8</v>
      </c>
      <c r="BD57" s="12">
        <f>IF('Données projet'!$A$88&gt;35,BD56+BC57-BL56,IF(A57&lt;'Données projet'!$A$88,$BA$205^A57,IF(A57='Données projet'!$A$88,'Données projet'!$B$88,BD56+BC57-BL56)))</f>
        <v>188.2000000000001</v>
      </c>
      <c r="BE57" s="13">
        <f>BD57*VLOOKUP('Données projet'!$B$11,Paramètres!$A$1:$I$89,3,0)*VLOOKUP('Données projet'!$B$11,Paramètres!$A$1:$I$89,5,0)</f>
        <v>170.28336000000007</v>
      </c>
      <c r="BF57" s="13">
        <f t="shared" si="37"/>
        <v>43.153480646462619</v>
      </c>
      <c r="BG57" s="20">
        <f t="shared" si="7"/>
        <v>371.73583079258918</v>
      </c>
      <c r="BH57" s="59">
        <f t="shared" si="8"/>
        <v>806.23583079258924</v>
      </c>
      <c r="BI57" s="59">
        <f ca="1">AVERAGE(OFFSET($BH$3,0,0,'Données projet'!$E$11+1,1))-AVERAGE(OFFSET($H$3,0,0,'Données projet'!$E$11+1,1))</f>
        <v>324.41828402031939</v>
      </c>
      <c r="BJ57" s="59">
        <f t="shared" si="38"/>
        <v>233.01060088065992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1.5966289899378756</v>
      </c>
      <c r="BR57" s="21">
        <f>EXP(-LN(2)/2)*BR56+(1-EXP(-LN(2)/2))/(LN(2)/2)*BL57*BO57*VLOOKUP('Données projet'!$B$11,Paramètres!$A$1:$I$89,3,0)*0.475*44/12</f>
        <v>1.5110712535225653E-3</v>
      </c>
      <c r="BS57" s="22">
        <f t="shared" si="9"/>
        <v>1.5981400611913981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108.5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9.8000000000000007</v>
      </c>
      <c r="BY57" s="12">
        <f>IF('Données projet'!$A$114&gt;35,BY56+BX57-CG56,IF(A57&lt;'Données projet'!$A$114,$BV$205^A57,IF(A57='Données projet'!$A$114,'Données projet'!$B$114,BY56+BX57-CG56)))</f>
        <v>323.20000000000016</v>
      </c>
      <c r="BZ57" s="13">
        <f>BY57*VLOOKUP('Données projet'!$B$12,Paramètres!$A$1:$I$89,3,0)*VLOOKUP('Données projet'!$B$12,Paramètres!$A$1:$I$89,5,0)</f>
        <v>176.46720000000008</v>
      </c>
      <c r="CA57" s="13">
        <f t="shared" si="39"/>
        <v>44.535298821989436</v>
      </c>
      <c r="CB57" s="20">
        <f t="shared" si="10"/>
        <v>384.91268544829836</v>
      </c>
      <c r="CC57" s="59">
        <f t="shared" si="11"/>
        <v>819.41268544829836</v>
      </c>
      <c r="CD57" s="59">
        <f ca="1">AVERAGE(OFFSET($CC$3,0,0,'Données projet'!$E$12+1,1))-AVERAGE(OFFSET($H$3,0,0,'Données projet'!$E$12+1,1))</f>
        <v>279.00060755204919</v>
      </c>
      <c r="CE57" s="59">
        <f t="shared" si="40"/>
        <v>333.91128554211014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4.53900815269047</v>
      </c>
      <c r="CL57" s="21">
        <f>EXP(-LN(2)/25)*CL56+(1-EXP(-LN(2)/25))/(LN(2)/25)*Calculateur!CG57*Calculateur!CI57*VLOOKUP('Données projet'!$B$12,Paramètres!$A$1:$I$89,3,0)*0.475*44/12</f>
        <v>14.306570720788535</v>
      </c>
      <c r="CM57" s="21">
        <f>EXP(-LN(2)/2)*CM56+(1-EXP(-LN(2)/2))/(LN(2)/2)*CG57*CJ57*VLOOKUP('Données projet'!$B$12,Paramètres!$A$1:$I$89,3,0)*0.475*44/12</f>
        <v>5.262179867517495E-3</v>
      </c>
      <c r="CN57" s="22">
        <f t="shared" si="12"/>
        <v>18.850841053346524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108.5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14.4</v>
      </c>
      <c r="CT57" s="12">
        <f>IF('Données projet'!$A$140&gt;35,CT56+CS57-DB56,IF(A57&lt;'Données projet'!$A$140,$CQ$205^A57,IF(A57='Données projet'!$A$140,'Données projet'!$B$140,CT56+CS57-DB56)))</f>
        <v>419.60000000000036</v>
      </c>
      <c r="CU57" s="17">
        <f>CT57*VLOOKUP('Données projet'!$B$13,Paramètres!$A$1:$I$89,3,0)*VLOOKUP('Données projet'!$B$13,Paramètres!$A$1:$I$89,5,0)</f>
        <v>250.92080000000021</v>
      </c>
      <c r="CV57" s="13">
        <f t="shared" si="41"/>
        <v>60.783074104551602</v>
      </c>
      <c r="CW57" s="20">
        <f t="shared" si="13"/>
        <v>542.88424739876098</v>
      </c>
      <c r="CX57" s="59">
        <f t="shared" si="14"/>
        <v>977.38424739876098</v>
      </c>
      <c r="CY57" s="59">
        <f ca="1">AVERAGE(OFFSET($CX$3,0,0,'Données projet'!$E$13+1,1))-AVERAGE(OFFSET($H$3,0,0,'Données projet'!$E$13+1,1))</f>
        <v>380.01315081072897</v>
      </c>
      <c r="CZ57" s="59">
        <f t="shared" si="42"/>
        <v>404.90871625409181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2.1749414064975174</v>
      </c>
      <c r="DG57" s="21">
        <f>EXP(-LN(2)/25)*DG56+(1-EXP(-LN(2)/25))/(LN(2)/25)*Calculateur!DB57*Calculateur!DD57*VLOOKUP('Données projet'!$B$13,Paramètres!$A$1:$I$89,3,0)*0.475*44/12</f>
        <v>10.969829661824287</v>
      </c>
      <c r="DH57" s="21">
        <f>EXP(-LN(2)/2)*DH56+(1-EXP(-LN(2)/2))/(LN(2)/2)*DB57*DE57*VLOOKUP('Données projet'!$B$13,Paramètres!$A$1:$I$89,3,0)*0.475*44/12</f>
        <v>7.398274930705326E-3</v>
      </c>
      <c r="DI57" s="22">
        <f t="shared" si="15"/>
        <v>13.15216934325251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108.5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-5.6843418860808015E-14</v>
      </c>
      <c r="DP57" s="17">
        <f>DO57*VLOOKUP('Données projet'!$B$14,Paramètres!$A$1:$I$89,3,0)*VLOOKUP('Données projet'!$B$14,Paramètres!$A$1:$I$89,5,0)</f>
        <v>-5.1431925385259088E-14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320.81451813551064</v>
      </c>
      <c r="DU57" s="59">
        <f t="shared" si="44"/>
        <v>522.80818268773976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1.1411536319249873</v>
      </c>
      <c r="EB57" s="21">
        <f>EXP(-LN(2)/25)*EB56+(1-EXP(-LN(2)/25))/(LN(2)/25)*Calculateur!DW57*Calculateur!DY57*VLOOKUP('Données projet'!$B$14,Paramètres!$A$1:$I$89,3,0)*0.475*44/12</f>
        <v>5.3595364554437621</v>
      </c>
      <c r="EC57" s="21">
        <f>EXP(-LN(2)/2)*EC56+(1-EXP(-LN(2)/2))/(LN(2)/2)*DW57*DZ57*VLOOKUP('Données projet'!$B$14,Paramètres!$A$1:$I$89,3,0)*0.475*44/12</f>
        <v>1.462129762118268E-3</v>
      </c>
      <c r="ED57" s="22">
        <f t="shared" si="18"/>
        <v>6.5021522171308677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108.5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311</v>
      </c>
      <c r="EH57" s="12">
        <f>VLOOKUP(A57,'Données projet'!$A$191:$I$211,9,0)</f>
        <v>5.875</v>
      </c>
      <c r="EI57" s="12">
        <f t="array" ref="EI57">INDEX(EH:EH,MIN(IF(ISNUMBER(EH57:EH253),ROW(EH57:EH253),"")))</f>
        <v>5.875</v>
      </c>
      <c r="EJ57" s="12">
        <f>IF('Données projet'!$A$192&gt;35,EJ56+EI57-ER56,IF(A57&lt;'Données projet'!$A$192,$EG$205^A57,IF(A57='Données projet'!$A$192,'Données projet'!$B$192,EJ56+EI57-ER56)))</f>
        <v>311</v>
      </c>
      <c r="EK57" s="17">
        <f>EJ57*VLOOKUP('Données projet'!$B$15,Paramètres!$A$1:$I$89,3,0)*VLOOKUP('Données projet'!$B$15,Paramètres!$A$1:$I$89,5,0)</f>
        <v>185.97800000000001</v>
      </c>
      <c r="EL57" s="13">
        <f t="shared" si="45"/>
        <v>46.649641523668571</v>
      </c>
      <c r="EM57" s="20">
        <f t="shared" si="19"/>
        <v>405.15980898705612</v>
      </c>
      <c r="EN57" s="59">
        <f t="shared" si="20"/>
        <v>839.65980898705607</v>
      </c>
      <c r="EO57" s="59">
        <f ca="1">AVERAGE(OFFSET($EN$3,0,0,'Données projet'!$E$15+1,1))-AVERAGE(OFFSET($H$3,0,0,'Données projet'!$E$15+1,1))</f>
        <v>228.3393311631487</v>
      </c>
      <c r="EP57" s="59">
        <f t="shared" si="46"/>
        <v>266.26050497804033</v>
      </c>
      <c r="EQ57" s="15">
        <f>IF(ISNA(VLOOKUP(A57,'Données projet'!$A$191:$I$211,3,0)),0,VLOOKUP(A57,'Données projet'!$A$191:$I$211,3,0))</f>
        <v>8</v>
      </c>
      <c r="ER57" s="15">
        <f>IF(ISNA(VLOOKUP(A57,'Données projet'!$A$191:$I$211,4,0)),0,VLOOKUP(A57,'Données projet'!$A$191:$I$211,4,0))</f>
        <v>16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3.8621518889576518</v>
      </c>
      <c r="EW57" s="21">
        <f>EXP(-LN(2)/25)*EW56+(1-EXP(-LN(2)/25))/(LN(2)/25)*Calculateur!ER57*Calculateur!ET57*VLOOKUP('Données projet'!$B$15,Paramètres!$A$1:$I$89,3,0)*0.475*44/12</f>
        <v>6.3387752690518289</v>
      </c>
      <c r="EX57" s="21">
        <f>EXP(-LN(2)/2)*EX56+(1-EXP(-LN(2)/2))/(LN(2)/2)*ER57*EU57*VLOOKUP('Données projet'!$B$15,Paramètres!$A$1:$I$89,3,0)*0.475*44/12</f>
        <v>1.3295147397641993E-3</v>
      </c>
      <c r="EY57" s="22">
        <f t="shared" si="21"/>
        <v>10.202256672749245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108.5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13.4</v>
      </c>
      <c r="FE57" s="12">
        <f>IF('Données projet'!$A$218&gt;35,FE56+FD57-FM56,IF(A57&lt;'Données projet'!$A$218,$FB$205^A57,IF(A57='Données projet'!$A$218,'Données projet'!$B$218,FE56+FD57-FM56)))</f>
        <v>295.59999999999997</v>
      </c>
      <c r="FF57" s="17">
        <f>FE57*VLOOKUP('Données projet'!$B$16,Paramètres!$A$1:$I$89,3,0)*VLOOKUP('Données projet'!$B$16,Paramètres!$A$1:$I$89,5,0)</f>
        <v>169.08320000000001</v>
      </c>
      <c r="FG57" s="13">
        <f t="shared" si="47"/>
        <v>42.884626305941573</v>
      </c>
      <c r="FH57" s="20">
        <f t="shared" si="22"/>
        <v>369.17729748284825</v>
      </c>
      <c r="FI57" s="59">
        <f t="shared" si="23"/>
        <v>803.67729748284819</v>
      </c>
      <c r="FJ57" s="59">
        <f ca="1">AVERAGE(OFFSET($FI$3,0,0,'Données projet'!$E$16+1,1))-AVERAGE(OFFSET($H$3,0,0,'Données projet'!$E$16+1,1))</f>
        <v>242.10913976205194</v>
      </c>
      <c r="FK57" s="59">
        <f t="shared" si="48"/>
        <v>198.24795425321133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5.5710388535263666</v>
      </c>
      <c r="FS57" s="21">
        <f>EXP(-LN(2)/2)*FS56+(1-EXP(-LN(2)/2))/(LN(2)/2)*FM57*FP57*VLOOKUP('Données projet'!$B$16,Paramètres!$A$1:$I$89,3,0)*0.475*44/12</f>
        <v>3.2281939827530177E-3</v>
      </c>
      <c r="FT57" s="22">
        <f t="shared" si="24"/>
        <v>5.5742670475091201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108.5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108.5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26.898299999999971</v>
      </c>
      <c r="D58" s="11">
        <f t="shared" si="32"/>
        <v>8.4500042488368798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150.07525663541261</v>
      </c>
      <c r="H58" s="67">
        <f t="shared" si="1"/>
        <v>459.39829656672418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108.5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5.6</v>
      </c>
      <c r="N58" s="13">
        <f>IF('Données projet'!$A$36&gt;35,N57+M58-V57,IF(A58&lt;'Données projet'!$A$36,$K$205^A58,IF(A58='Données projet'!$A$36,'Données projet'!$B$36,N57+M58-V57)))</f>
        <v>229.99999999999972</v>
      </c>
      <c r="O58" s="13">
        <f>N58*VLOOKUP('Données projet'!$B$9,Paramètres!$A$1:$I$89,3,0)*VLOOKUP('Données projet'!$B$9,Paramètres!$A$1:$I$89,5,0)</f>
        <v>186.57599999999977</v>
      </c>
      <c r="P58" s="13">
        <f t="shared" si="33"/>
        <v>46.782155731694232</v>
      </c>
      <c r="Q58" s="20">
        <f t="shared" si="53"/>
        <v>406.43212123270035</v>
      </c>
      <c r="R58" s="59">
        <f t="shared" si="0"/>
        <v>840.93212123270041</v>
      </c>
      <c r="S58" s="59">
        <f ca="1">AVERAGE(OFFSET($R$3,0,0,'Données projet'!$E$9+1,1))-AVERAGE(OFFSET($H$3,0,0,'Données projet'!$E$9+1,1))</f>
        <v>273.89826011924487</v>
      </c>
      <c r="T58" s="59">
        <f t="shared" si="34"/>
        <v>332.17519939974227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4.2531881956353743</v>
      </c>
      <c r="AB58" s="21">
        <f>EXP(-LN(2)/2)*AB57+(1-EXP(-LN(2)/2))/(LN(2)/2)*V58*Y58*VLOOKUP('Données projet'!$B$9,Paramètres!$A$1:$I$89,3,0)*0.475*44/12</f>
        <v>1.8942329562605959E-3</v>
      </c>
      <c r="AC58" s="22">
        <f t="shared" si="3"/>
        <v>4.2550824285916349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108.5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13.499999999999996</v>
      </c>
      <c r="AI58" s="13">
        <f>IF('Données projet'!$A$62&gt;35,AI57+AH58-AQ57,IF(A58&lt;'Données projet'!$A$62,$AF$205^A58,IF(A58='Données projet'!$A$62,'Données projet'!$B$62,AI57+AH58-AQ57)))</f>
        <v>307.29999999999984</v>
      </c>
      <c r="AJ58" s="13">
        <f>AI58*VLOOKUP('Données projet'!$B$10,Paramètres!$A$1:$I$89,3,0)*VLOOKUP('Données projet'!$B$10,Paramètres!$A$1:$I$89,5,0)</f>
        <v>143.81639999999993</v>
      </c>
      <c r="AK58" s="13">
        <f t="shared" si="35"/>
        <v>37.169915935828818</v>
      </c>
      <c r="AL58" s="20">
        <f t="shared" si="4"/>
        <v>315.21783358823507</v>
      </c>
      <c r="AM58" s="59">
        <f t="shared" si="5"/>
        <v>749.71783358823507</v>
      </c>
      <c r="AN58" s="59">
        <f ca="1">AVERAGE(OFFSET($AM$3,0,0,'Données projet'!$E$10+1,1))-AVERAGE(OFFSET($H$3,0,0,'Données projet'!$E$10+1,1))</f>
        <v>293.42903587188346</v>
      </c>
      <c r="AO58" s="59">
        <f t="shared" si="36"/>
        <v>267.80827667062124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1.9105488864187608</v>
      </c>
      <c r="AV58" s="21">
        <f>EXP(-LN(2)/25)*AV57+(1-EXP(-LN(2)/25))/(LN(2)/25)*Calculateur!AQ58*Calculateur!AS58*VLOOKUP('Données projet'!$B$10,Paramètres!$A$1:$I$89,3,0)*0.475*44/12</f>
        <v>3.927732176996614</v>
      </c>
      <c r="AW58" s="21">
        <f>EXP(-LN(2)/2)*AW57+(1-EXP(-LN(2)/2))/(LN(2)/2)*AQ58*AT58*VLOOKUP('Données projet'!$B$10,Paramètres!$A$1:$I$89,3,0)*0.475*44/12</f>
        <v>1.6973629548437932E-3</v>
      </c>
      <c r="AX58" s="21">
        <f t="shared" si="6"/>
        <v>5.8399784263702186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108.5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7.8</v>
      </c>
      <c r="BD58" s="12">
        <f>IF('Données projet'!$A$88&gt;35,BD57+BC58-BL57,IF(A58&lt;'Données projet'!$A$88,$BA$205^A58,IF(A58='Données projet'!$A$88,'Données projet'!$B$88,BD57+BC58-BL57)))</f>
        <v>196.00000000000011</v>
      </c>
      <c r="BE58" s="13">
        <f>BD58*VLOOKUP('Données projet'!$B$11,Paramètres!$A$1:$I$89,3,0)*VLOOKUP('Données projet'!$B$11,Paramètres!$A$1:$I$89,5,0)</f>
        <v>177.34080000000012</v>
      </c>
      <c r="BF58" s="13">
        <f t="shared" si="37"/>
        <v>44.730051658603102</v>
      </c>
      <c r="BG58" s="20">
        <f t="shared" si="7"/>
        <v>386.77339997206718</v>
      </c>
      <c r="BH58" s="59">
        <f t="shared" si="8"/>
        <v>821.27339997206718</v>
      </c>
      <c r="BI58" s="59">
        <f ca="1">AVERAGE(OFFSET($BH$3,0,0,'Données projet'!$E$11+1,1))-AVERAGE(OFFSET($H$3,0,0,'Données projet'!$E$11+1,1))</f>
        <v>324.41828402031939</v>
      </c>
      <c r="BJ58" s="59">
        <f t="shared" si="38"/>
        <v>233.01060088065992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1.552969086244955</v>
      </c>
      <c r="BR58" s="21">
        <f>EXP(-LN(2)/2)*BR57+(1-EXP(-LN(2)/2))/(LN(2)/2)*BL58*BO58*VLOOKUP('Données projet'!$B$11,Paramètres!$A$1:$I$89,3,0)*0.475*44/12</f>
        <v>1.0684887302218626E-3</v>
      </c>
      <c r="BS58" s="22">
        <f t="shared" si="9"/>
        <v>1.5540375749751769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108.5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9.8000000000000007</v>
      </c>
      <c r="BY58" s="12">
        <f>IF('Données projet'!$A$114&gt;35,BY57+BX58-CG57,IF(A58&lt;'Données projet'!$A$114,$BV$205^A58,IF(A58='Données projet'!$A$114,'Données projet'!$B$114,BY57+BX58-CG57)))</f>
        <v>333.00000000000017</v>
      </c>
      <c r="BZ58" s="13">
        <f>BY58*VLOOKUP('Données projet'!$B$12,Paramètres!$A$1:$I$89,3,0)*VLOOKUP('Données projet'!$B$12,Paramètres!$A$1:$I$89,5,0)</f>
        <v>181.8180000000001</v>
      </c>
      <c r="CA58" s="13">
        <f t="shared" si="39"/>
        <v>45.726420804334332</v>
      </c>
      <c r="CB58" s="20">
        <f t="shared" si="10"/>
        <v>396.30653290088247</v>
      </c>
      <c r="CC58" s="59">
        <f t="shared" si="11"/>
        <v>830.80653290088253</v>
      </c>
      <c r="CD58" s="59">
        <f ca="1">AVERAGE(OFFSET($CC$3,0,0,'Données projet'!$E$12+1,1))-AVERAGE(OFFSET($H$3,0,0,'Données projet'!$E$12+1,1))</f>
        <v>279.00060755204919</v>
      </c>
      <c r="CE58" s="59">
        <f t="shared" si="40"/>
        <v>333.91128554211014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4.4500009713378139</v>
      </c>
      <c r="CL58" s="21">
        <f>EXP(-LN(2)/25)*CL57+(1-EXP(-LN(2)/25))/(LN(2)/25)*Calculateur!CG58*Calculateur!CI58*VLOOKUP('Données projet'!$B$12,Paramètres!$A$1:$I$89,3,0)*0.475*44/12</f>
        <v>13.915356792078716</v>
      </c>
      <c r="CM58" s="21">
        <f>EXP(-LN(2)/2)*CM57+(1-EXP(-LN(2)/2))/(LN(2)/2)*CG58*CJ58*VLOOKUP('Données projet'!$B$12,Paramètres!$A$1:$I$89,3,0)*0.475*44/12</f>
        <v>3.7209230681449494E-3</v>
      </c>
      <c r="CN58" s="22">
        <f t="shared" si="12"/>
        <v>18.369078686484674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108.5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14.4</v>
      </c>
      <c r="CT58" s="12">
        <f>IF('Données projet'!$A$140&gt;35,CT57+CS58-DB57,IF(A58&lt;'Données projet'!$A$140,$CQ$205^A58,IF(A58='Données projet'!$A$140,'Données projet'!$B$140,CT57+CS58-DB57)))</f>
        <v>434.00000000000034</v>
      </c>
      <c r="CU58" s="17">
        <f>CT58*VLOOKUP('Données projet'!$B$13,Paramètres!$A$1:$I$89,3,0)*VLOOKUP('Données projet'!$B$13,Paramètres!$A$1:$I$89,5,0)</f>
        <v>259.53200000000021</v>
      </c>
      <c r="CV58" s="13">
        <f t="shared" si="41"/>
        <v>62.622608810743898</v>
      </c>
      <c r="CW58" s="20">
        <f t="shared" si="13"/>
        <v>561.08594367871262</v>
      </c>
      <c r="CX58" s="59">
        <f t="shared" si="14"/>
        <v>995.58594367871262</v>
      </c>
      <c r="CY58" s="59">
        <f ca="1">AVERAGE(OFFSET($CX$3,0,0,'Données projet'!$E$13+1,1))-AVERAGE(OFFSET($H$3,0,0,'Données projet'!$E$13+1,1))</f>
        <v>380.01315081072897</v>
      </c>
      <c r="CZ58" s="59">
        <f t="shared" si="42"/>
        <v>404.90871625409181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2.1322921320993697</v>
      </c>
      <c r="DG58" s="21">
        <f>EXP(-LN(2)/25)*DG57+(1-EXP(-LN(2)/25))/(LN(2)/25)*Calculateur!DB58*Calculateur!DD58*VLOOKUP('Données projet'!$B$13,Paramètres!$A$1:$I$89,3,0)*0.475*44/12</f>
        <v>10.669859092843431</v>
      </c>
      <c r="DH58" s="21">
        <f>EXP(-LN(2)/2)*DH57+(1-EXP(-LN(2)/2))/(LN(2)/2)*DB58*DE58*VLOOKUP('Données projet'!$B$13,Paramètres!$A$1:$I$89,3,0)*0.475*44/12</f>
        <v>5.2313703725841709E-3</v>
      </c>
      <c r="DI58" s="22">
        <f t="shared" si="15"/>
        <v>12.807382595315385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108.5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-5.6843418860808015E-14</v>
      </c>
      <c r="DP58" s="17">
        <f>DO58*VLOOKUP('Données projet'!$B$14,Paramètres!$A$1:$I$89,3,0)*VLOOKUP('Données projet'!$B$14,Paramètres!$A$1:$I$89,5,0)</f>
        <v>-5.1431925385259088E-14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320.81451813551064</v>
      </c>
      <c r="DU58" s="59">
        <f t="shared" si="44"/>
        <v>522.80818268773976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1.118776305237926</v>
      </c>
      <c r="EB58" s="21">
        <f>EXP(-LN(2)/25)*EB57+(1-EXP(-LN(2)/25))/(LN(2)/25)*Calculateur!DW58*Calculateur!DY58*VLOOKUP('Données projet'!$B$14,Paramètres!$A$1:$I$89,3,0)*0.475*44/12</f>
        <v>5.2129796492238798</v>
      </c>
      <c r="EC58" s="21">
        <f>EXP(-LN(2)/2)*EC57+(1-EXP(-LN(2)/2))/(LN(2)/2)*DW58*DZ58*VLOOKUP('Données projet'!$B$14,Paramètres!$A$1:$I$89,3,0)*0.475*44/12</f>
        <v>1.0338818697685009E-3</v>
      </c>
      <c r="ED58" s="22">
        <f t="shared" si="18"/>
        <v>6.3327898363315747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108.5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2.625</v>
      </c>
      <c r="EJ58" s="12">
        <f>IF('Données projet'!$A$192&gt;35,EJ57+EI58-ER57,IF(A58&lt;'Données projet'!$A$192,$EG$205^A58,IF(A58='Données projet'!$A$192,'Données projet'!$B$192,EJ57+EI58-ER57)))</f>
        <v>297.625</v>
      </c>
      <c r="EK58" s="17">
        <f>EJ58*VLOOKUP('Données projet'!$B$15,Paramètres!$A$1:$I$89,3,0)*VLOOKUP('Données projet'!$B$15,Paramètres!$A$1:$I$89,5,0)</f>
        <v>177.97975</v>
      </c>
      <c r="EL58" s="13">
        <f t="shared" si="45"/>
        <v>44.87242292972973</v>
      </c>
      <c r="EM58" s="20">
        <f t="shared" si="19"/>
        <v>388.13420118594587</v>
      </c>
      <c r="EN58" s="59">
        <f t="shared" si="20"/>
        <v>822.63420118594581</v>
      </c>
      <c r="EO58" s="59">
        <f ca="1">AVERAGE(OFFSET($EN$3,0,0,'Données projet'!$E$15+1,1))-AVERAGE(OFFSET($H$3,0,0,'Données projet'!$E$15+1,1))</f>
        <v>228.3393311631487</v>
      </c>
      <c r="EP58" s="59">
        <f t="shared" si="46"/>
        <v>266.26050497804033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3.7864174460952404</v>
      </c>
      <c r="EW58" s="21">
        <f>EXP(-LN(2)/25)*EW57+(1-EXP(-LN(2)/25))/(LN(2)/25)*Calculateur!ER58*Calculateur!ET58*VLOOKUP('Données projet'!$B$15,Paramètres!$A$1:$I$89,3,0)*0.475*44/12</f>
        <v>6.1654411259779023</v>
      </c>
      <c r="EX58" s="21">
        <f>EXP(-LN(2)/2)*EX57+(1-EXP(-LN(2)/2))/(LN(2)/2)*ER58*EU58*VLOOKUP('Données projet'!$B$15,Paramètres!$A$1:$I$89,3,0)*0.475*44/12</f>
        <v>9.4010888817473346E-4</v>
      </c>
      <c r="EY58" s="22">
        <f t="shared" si="21"/>
        <v>9.9527986809613171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108.5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13.4</v>
      </c>
      <c r="FE58" s="12">
        <f>IF('Données projet'!$A$218&gt;35,FE57+FD58-FM57,IF(A58&lt;'Données projet'!$A$218,$FB$205^A58,IF(A58='Données projet'!$A$218,'Données projet'!$B$218,FE57+FD58-FM57)))</f>
        <v>308.99999999999994</v>
      </c>
      <c r="FF58" s="17">
        <f>FE58*VLOOKUP('Données projet'!$B$16,Paramètres!$A$1:$I$89,3,0)*VLOOKUP('Données projet'!$B$16,Paramètres!$A$1:$I$89,5,0)</f>
        <v>176.74799999999999</v>
      </c>
      <c r="FG58" s="13">
        <f t="shared" si="47"/>
        <v>44.59791016055069</v>
      </c>
      <c r="FH58" s="20">
        <f t="shared" si="22"/>
        <v>385.51079352962574</v>
      </c>
      <c r="FI58" s="59">
        <f t="shared" si="23"/>
        <v>820.01079352962574</v>
      </c>
      <c r="FJ58" s="59">
        <f ca="1">AVERAGE(OFFSET($FI$3,0,0,'Données projet'!$E$16+1,1))-AVERAGE(OFFSET($H$3,0,0,'Données projet'!$E$16+1,1))</f>
        <v>242.10913976205194</v>
      </c>
      <c r="FK58" s="59">
        <f t="shared" si="48"/>
        <v>198.24795425321133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5.4186985031084873</v>
      </c>
      <c r="FS58" s="21">
        <f>EXP(-LN(2)/2)*FS57+(1-EXP(-LN(2)/2))/(LN(2)/2)*FM58*FP58*VLOOKUP('Données projet'!$B$16,Paramètres!$A$1:$I$89,3,0)*0.475*44/12</f>
        <v>2.2826778561902674E-3</v>
      </c>
      <c r="FT58" s="22">
        <f t="shared" si="24"/>
        <v>5.4209811809646773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108.5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108.5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27.387359999999969</v>
      </c>
      <c r="D59" s="11">
        <f t="shared" si="32"/>
        <v>8.5856147191900476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152.7273663516489</v>
      </c>
      <c r="H59" s="67">
        <f t="shared" si="1"/>
        <v>460.48626430258923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108.5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5.6</v>
      </c>
      <c r="N59" s="13">
        <f>IF('Données projet'!$A$36&gt;35,N58+M59-V58,IF(A59&lt;'Données projet'!$A$36,$K$205^A59,IF(A59='Données projet'!$A$36,'Données projet'!$B$36,N58+M59-V58)))</f>
        <v>235.59999999999971</v>
      </c>
      <c r="O59" s="13">
        <f>N59*VLOOKUP('Données projet'!$B$9,Paramètres!$A$1:$I$89,3,0)*VLOOKUP('Données projet'!$B$9,Paramètres!$A$1:$I$89,5,0)</f>
        <v>191.1187199999998</v>
      </c>
      <c r="P59" s="13">
        <f t="shared" si="33"/>
        <v>47.787201388032102</v>
      </c>
      <c r="Q59" s="20">
        <f t="shared" si="53"/>
        <v>416.09447975082225</v>
      </c>
      <c r="R59" s="59">
        <f t="shared" si="0"/>
        <v>850.5944797508223</v>
      </c>
      <c r="S59" s="59">
        <f ca="1">AVERAGE(OFFSET($R$3,0,0,'Données projet'!$E$9+1,1))-AVERAGE(OFFSET($H$3,0,0,'Données projet'!$E$9+1,1))</f>
        <v>273.89826011924487</v>
      </c>
      <c r="T59" s="59">
        <f t="shared" si="34"/>
        <v>332.17519939974227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4.1368845407602786</v>
      </c>
      <c r="AB59" s="21">
        <f>EXP(-LN(2)/2)*AB58+(1-EXP(-LN(2)/2))/(LN(2)/2)*V59*Y59*VLOOKUP('Données projet'!$B$9,Paramètres!$A$1:$I$89,3,0)*0.475*44/12</f>
        <v>1.3394249685189084E-3</v>
      </c>
      <c r="AC59" s="22">
        <f t="shared" si="3"/>
        <v>4.1382239657287974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108.5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13.499999999999996</v>
      </c>
      <c r="AI59" s="13">
        <f>IF('Données projet'!$A$62&gt;35,AI58+AH59-AQ58,IF(A59&lt;'Données projet'!$A$62,$AF$205^A59,IF(A59='Données projet'!$A$62,'Données projet'!$B$62,AI58+AH59-AQ58)))</f>
        <v>320.79999999999984</v>
      </c>
      <c r="AJ59" s="13">
        <f>AI59*VLOOKUP('Données projet'!$B$10,Paramètres!$A$1:$I$89,3,0)*VLOOKUP('Données projet'!$B$10,Paramètres!$A$1:$I$89,5,0)</f>
        <v>150.13439999999994</v>
      </c>
      <c r="AK59" s="13">
        <f t="shared" si="35"/>
        <v>38.609126910934812</v>
      </c>
      <c r="AL59" s="20">
        <f t="shared" si="4"/>
        <v>328.72830936987799</v>
      </c>
      <c r="AM59" s="59">
        <f t="shared" si="5"/>
        <v>763.22830936987793</v>
      </c>
      <c r="AN59" s="59">
        <f ca="1">AVERAGE(OFFSET($AM$3,0,0,'Données projet'!$E$10+1,1))-AVERAGE(OFFSET($H$3,0,0,'Données projet'!$E$10+1,1))</f>
        <v>293.42903587188346</v>
      </c>
      <c r="AO59" s="59">
        <f t="shared" si="36"/>
        <v>267.80827667062124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1.8730841880758438</v>
      </c>
      <c r="AV59" s="21">
        <f>EXP(-LN(2)/25)*AV58+(1-EXP(-LN(2)/25))/(LN(2)/25)*Calculateur!AQ59*Calculateur!AS59*VLOOKUP('Données projet'!$B$10,Paramètres!$A$1:$I$89,3,0)*0.475*44/12</f>
        <v>3.8203281340661834</v>
      </c>
      <c r="AW59" s="21">
        <f>EXP(-LN(2)/2)*AW58+(1-EXP(-LN(2)/2))/(LN(2)/2)*AQ59*AT59*VLOOKUP('Données projet'!$B$10,Paramètres!$A$1:$I$89,3,0)*0.475*44/12</f>
        <v>1.2002168555048818E-3</v>
      </c>
      <c r="AX59" s="21">
        <f t="shared" si="6"/>
        <v>5.6946125389975322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108.5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7.8</v>
      </c>
      <c r="BD59" s="12">
        <f>IF('Données projet'!$A$88&gt;35,BD58+BC59-BL58,IF(A59&lt;'Données projet'!$A$88,$BA$205^A59,IF(A59='Données projet'!$A$88,'Données projet'!$B$88,BD58+BC59-BL58)))</f>
        <v>203.80000000000013</v>
      </c>
      <c r="BE59" s="13">
        <f>BD59*VLOOKUP('Données projet'!$B$11,Paramètres!$A$1:$I$89,3,0)*VLOOKUP('Données projet'!$B$11,Paramètres!$A$1:$I$89,5,0)</f>
        <v>184.3982400000001</v>
      </c>
      <c r="BF59" s="13">
        <f t="shared" si="37"/>
        <v>46.299334464645959</v>
      </c>
      <c r="BG59" s="20">
        <f t="shared" si="7"/>
        <v>401.79827552592519</v>
      </c>
      <c r="BH59" s="59">
        <f t="shared" si="8"/>
        <v>836.29827552592519</v>
      </c>
      <c r="BI59" s="59">
        <f ca="1">AVERAGE(OFFSET($BH$3,0,0,'Données projet'!$E$11+1,1))-AVERAGE(OFFSET($H$3,0,0,'Données projet'!$E$11+1,1))</f>
        <v>324.41828402031939</v>
      </c>
      <c r="BJ59" s="59">
        <f t="shared" si="38"/>
        <v>233.01060088065992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1.5105030649144917</v>
      </c>
      <c r="BR59" s="21">
        <f>EXP(-LN(2)/2)*BR58+(1-EXP(-LN(2)/2))/(LN(2)/2)*BL59*BO59*VLOOKUP('Données projet'!$B$11,Paramètres!$A$1:$I$89,3,0)*0.475*44/12</f>
        <v>7.5553562676128263E-4</v>
      </c>
      <c r="BS59" s="22">
        <f t="shared" si="9"/>
        <v>1.5112586005412529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108.5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9.8000000000000007</v>
      </c>
      <c r="BY59" s="12">
        <f>IF('Données projet'!$A$114&gt;35,BY58+BX59-CG58,IF(A59&lt;'Données projet'!$A$114,$BV$205^A59,IF(A59='Données projet'!$A$114,'Données projet'!$B$114,BY58+BX59-CG58)))</f>
        <v>342.80000000000018</v>
      </c>
      <c r="BZ59" s="13">
        <f>BY59*VLOOKUP('Données projet'!$B$12,Paramètres!$A$1:$I$89,3,0)*VLOOKUP('Données projet'!$B$12,Paramètres!$A$1:$I$89,5,0)</f>
        <v>187.16880000000012</v>
      </c>
      <c r="CA59" s="13">
        <f t="shared" si="39"/>
        <v>46.913468855747631</v>
      </c>
      <c r="CB59" s="20">
        <f t="shared" si="10"/>
        <v>407.6932849237607</v>
      </c>
      <c r="CC59" s="59">
        <f t="shared" si="11"/>
        <v>842.19328492376076</v>
      </c>
      <c r="CD59" s="59">
        <f ca="1">AVERAGE(OFFSET($CC$3,0,0,'Données projet'!$E$12+1,1))-AVERAGE(OFFSET($H$3,0,0,'Données projet'!$E$12+1,1))</f>
        <v>279.00060755204919</v>
      </c>
      <c r="CE59" s="59">
        <f t="shared" si="40"/>
        <v>333.91128554211014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4.3627391665224637</v>
      </c>
      <c r="CL59" s="21">
        <f>EXP(-LN(2)/25)*CL58+(1-EXP(-LN(2)/25))/(LN(2)/25)*Calculateur!CG59*Calculateur!CI59*VLOOKUP('Données projet'!$B$12,Paramètres!$A$1:$I$89,3,0)*0.475*44/12</f>
        <v>13.534840628822515</v>
      </c>
      <c r="CM59" s="21">
        <f>EXP(-LN(2)/2)*CM58+(1-EXP(-LN(2)/2))/(LN(2)/2)*CG59*CJ59*VLOOKUP('Données projet'!$B$12,Paramètres!$A$1:$I$89,3,0)*0.475*44/12</f>
        <v>2.6310899337587479E-3</v>
      </c>
      <c r="CN59" s="22">
        <f t="shared" si="12"/>
        <v>17.900210885278735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108.5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14.4</v>
      </c>
      <c r="CT59" s="12">
        <f>IF('Données projet'!$A$140&gt;35,CT58+CS59-DB58,IF(A59&lt;'Données projet'!$A$140,$CQ$205^A59,IF(A59='Données projet'!$A$140,'Données projet'!$B$140,CT58+CS59-DB58)))</f>
        <v>448.40000000000032</v>
      </c>
      <c r="CU59" s="17">
        <f>CT59*VLOOKUP('Données projet'!$B$13,Paramètres!$A$1:$I$89,3,0)*VLOOKUP('Données projet'!$B$13,Paramètres!$A$1:$I$89,5,0)</f>
        <v>268.14320000000021</v>
      </c>
      <c r="CV59" s="13">
        <f t="shared" si="41"/>
        <v>64.455051340339139</v>
      </c>
      <c r="CW59" s="20">
        <f t="shared" si="13"/>
        <v>579.27528775109101</v>
      </c>
      <c r="CX59" s="59">
        <f t="shared" si="14"/>
        <v>1013.775287751091</v>
      </c>
      <c r="CY59" s="59">
        <f ca="1">AVERAGE(OFFSET($CX$3,0,0,'Données projet'!$E$13+1,1))-AVERAGE(OFFSET($H$3,0,0,'Données projet'!$E$13+1,1))</f>
        <v>380.01315081072897</v>
      </c>
      <c r="CZ59" s="59">
        <f t="shared" si="42"/>
        <v>404.90871625409181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2.0904791839586809</v>
      </c>
      <c r="DG59" s="21">
        <f>EXP(-LN(2)/25)*DG58+(1-EXP(-LN(2)/25))/(LN(2)/25)*Calculateur!DB59*Calculateur!DD59*VLOOKUP('Données projet'!$B$13,Paramètres!$A$1:$I$89,3,0)*0.475*44/12</f>
        <v>10.378091234846124</v>
      </c>
      <c r="DH59" s="21">
        <f>EXP(-LN(2)/2)*DH58+(1-EXP(-LN(2)/2))/(LN(2)/2)*DB59*DE59*VLOOKUP('Données projet'!$B$13,Paramètres!$A$1:$I$89,3,0)*0.475*44/12</f>
        <v>3.699137465352663E-3</v>
      </c>
      <c r="DI59" s="22">
        <f t="shared" si="15"/>
        <v>12.472269556270158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108.5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-5.6843418860808015E-14</v>
      </c>
      <c r="DP59" s="17">
        <f>DO59*VLOOKUP('Données projet'!$B$14,Paramètres!$A$1:$I$89,3,0)*VLOOKUP('Données projet'!$B$14,Paramètres!$A$1:$I$89,5,0)</f>
        <v>-5.1431925385259088E-14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320.81451813551064</v>
      </c>
      <c r="DU59" s="59">
        <f t="shared" si="44"/>
        <v>522.80818268773976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1.0968377842783765</v>
      </c>
      <c r="EB59" s="21">
        <f>EXP(-LN(2)/25)*EB58+(1-EXP(-LN(2)/25))/(LN(2)/25)*Calculateur!DW59*Calculateur!DY59*VLOOKUP('Données projet'!$B$14,Paramètres!$A$1:$I$89,3,0)*0.475*44/12</f>
        <v>5.0704304465771672</v>
      </c>
      <c r="EC59" s="21">
        <f>EXP(-LN(2)/2)*EC58+(1-EXP(-LN(2)/2))/(LN(2)/2)*DW59*DZ59*VLOOKUP('Données projet'!$B$14,Paramètres!$A$1:$I$89,3,0)*0.475*44/12</f>
        <v>7.3106488105913398E-4</v>
      </c>
      <c r="ED59" s="22">
        <f t="shared" si="18"/>
        <v>6.1679992957366023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108.5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2.625</v>
      </c>
      <c r="EJ59" s="12">
        <f>IF('Données projet'!$A$192&gt;35,EJ58+EI59-ER58,IF(A59&lt;'Données projet'!$A$192,$EG$205^A59,IF(A59='Données projet'!$A$192,'Données projet'!$B$192,EJ58+EI59-ER58)))</f>
        <v>300.25</v>
      </c>
      <c r="EK59" s="17">
        <f>EJ59*VLOOKUP('Données projet'!$B$15,Paramètres!$A$1:$I$89,3,0)*VLOOKUP('Données projet'!$B$15,Paramètres!$A$1:$I$89,5,0)</f>
        <v>179.54950000000002</v>
      </c>
      <c r="EL59" s="13">
        <f t="shared" si="45"/>
        <v>45.221943603548368</v>
      </c>
      <c r="EM59" s="20">
        <f t="shared" si="19"/>
        <v>391.47693094284676</v>
      </c>
      <c r="EN59" s="59">
        <f t="shared" si="20"/>
        <v>825.97693094284682</v>
      </c>
      <c r="EO59" s="59">
        <f ca="1">AVERAGE(OFFSET($EN$3,0,0,'Données projet'!$E$15+1,1))-AVERAGE(OFFSET($H$3,0,0,'Données projet'!$E$15+1,1))</f>
        <v>228.3393311631487</v>
      </c>
      <c r="EP59" s="59">
        <f t="shared" si="46"/>
        <v>266.26050497804033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3.7121681094639118</v>
      </c>
      <c r="EW59" s="21">
        <f>EXP(-LN(2)/25)*EW58+(1-EXP(-LN(2)/25))/(LN(2)/25)*Calculateur!ER59*Calculateur!ET59*VLOOKUP('Données projet'!$B$15,Paramètres!$A$1:$I$89,3,0)*0.475*44/12</f>
        <v>5.9968468141615787</v>
      </c>
      <c r="EX59" s="21">
        <f>EXP(-LN(2)/2)*EX58+(1-EXP(-LN(2)/2))/(LN(2)/2)*ER59*EU59*VLOOKUP('Données projet'!$B$15,Paramètres!$A$1:$I$89,3,0)*0.475*44/12</f>
        <v>6.6475736988209975E-4</v>
      </c>
      <c r="EY59" s="22">
        <f t="shared" si="21"/>
        <v>9.7096796809953734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108.5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13.4</v>
      </c>
      <c r="FE59" s="12">
        <f>IF('Données projet'!$A$218&gt;35,FE58+FD59-FM58,IF(A59&lt;'Données projet'!$A$218,$FB$205^A59,IF(A59='Données projet'!$A$218,'Données projet'!$B$218,FE58+FD59-FM58)))</f>
        <v>322.39999999999992</v>
      </c>
      <c r="FF59" s="17">
        <f>FE59*VLOOKUP('Données projet'!$B$16,Paramètres!$A$1:$I$89,3,0)*VLOOKUP('Données projet'!$B$16,Paramètres!$A$1:$I$89,5,0)</f>
        <v>184.41279999999998</v>
      </c>
      <c r="FG59" s="13">
        <f t="shared" si="47"/>
        <v>46.302564691796356</v>
      </c>
      <c r="FH59" s="20">
        <f t="shared" si="22"/>
        <v>401.82926017154529</v>
      </c>
      <c r="FI59" s="59">
        <f t="shared" si="23"/>
        <v>836.32926017154523</v>
      </c>
      <c r="FJ59" s="59">
        <f ca="1">AVERAGE(OFFSET($FI$3,0,0,'Données projet'!$E$16+1,1))-AVERAGE(OFFSET($H$3,0,0,'Données projet'!$E$16+1,1))</f>
        <v>242.10913976205194</v>
      </c>
      <c r="FK59" s="59">
        <f t="shared" si="48"/>
        <v>198.24795425321133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5.2705239075840158</v>
      </c>
      <c r="FS59" s="21">
        <f>EXP(-LN(2)/2)*FS58+(1-EXP(-LN(2)/2))/(LN(2)/2)*FM59*FP59*VLOOKUP('Données projet'!$B$16,Paramètres!$A$1:$I$89,3,0)*0.475*44/12</f>
        <v>1.6140969913765089E-3</v>
      </c>
      <c r="FT59" s="22">
        <f t="shared" si="24"/>
        <v>5.2721380045753925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108.5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108.5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27.876419999999968</v>
      </c>
      <c r="D60" s="11">
        <f t="shared" si="32"/>
        <v>8.7209435904192745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155.37828050669225</v>
      </c>
      <c r="H60" s="67">
        <f t="shared" si="1"/>
        <v>461.5737415866468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108.5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5.6</v>
      </c>
      <c r="N60" s="13">
        <f>IF('Données projet'!$A$36&gt;35,N59+M60-V59,IF(A60&lt;'Données projet'!$A$36,$K$205^A60,IF(A60='Données projet'!$A$36,'Données projet'!$B$36,N59+M60-V59)))</f>
        <v>241.1999999999997</v>
      </c>
      <c r="O60" s="13">
        <f>N60*VLOOKUP('Données projet'!$B$9,Paramètres!$A$1:$I$89,3,0)*VLOOKUP('Données projet'!$B$9,Paramètres!$A$1:$I$89,5,0)</f>
        <v>195.66143999999977</v>
      </c>
      <c r="P60" s="13">
        <f t="shared" si="33"/>
        <v>48.789469927948474</v>
      </c>
      <c r="Q60" s="20">
        <f t="shared" si="53"/>
        <v>425.75200145784316</v>
      </c>
      <c r="R60" s="59">
        <f t="shared" si="0"/>
        <v>860.25200145784311</v>
      </c>
      <c r="S60" s="59">
        <f ca="1">AVERAGE(OFFSET($R$3,0,0,'Données projet'!$E$9+1,1))-AVERAGE(OFFSET($H$3,0,0,'Données projet'!$E$9+1,1))</f>
        <v>273.89826011924487</v>
      </c>
      <c r="T60" s="59">
        <f t="shared" si="34"/>
        <v>332.17519939974227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4.0237612154438853</v>
      </c>
      <c r="AB60" s="21">
        <f>EXP(-LN(2)/2)*AB59+(1-EXP(-LN(2)/2))/(LN(2)/2)*V60*Y60*VLOOKUP('Données projet'!$B$9,Paramètres!$A$1:$I$89,3,0)*0.475*44/12</f>
        <v>9.4711647813029817E-4</v>
      </c>
      <c r="AC60" s="22">
        <f t="shared" si="3"/>
        <v>4.0247083319220156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108.5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13.499999999999996</v>
      </c>
      <c r="AI60" s="13">
        <f>IF('Données projet'!$A$62&gt;35,AI59+AH60-AQ59,IF(A60&lt;'Données projet'!$A$62,$AF$205^A60,IF(A60='Données projet'!$A$62,'Données projet'!$B$62,AI59+AH60-AQ59)))</f>
        <v>334.29999999999984</v>
      </c>
      <c r="AJ60" s="13">
        <f>AI60*VLOOKUP('Données projet'!$B$10,Paramètres!$A$1:$I$89,3,0)*VLOOKUP('Données projet'!$B$10,Paramètres!$A$1:$I$89,5,0)</f>
        <v>156.45239999999993</v>
      </c>
      <c r="AK60" s="13">
        <f t="shared" si="35"/>
        <v>40.041303130551007</v>
      </c>
      <c r="AL60" s="20">
        <f t="shared" si="4"/>
        <v>342.2265329523762</v>
      </c>
      <c r="AM60" s="59">
        <f t="shared" si="5"/>
        <v>776.72653295237615</v>
      </c>
      <c r="AN60" s="59">
        <f ca="1">AVERAGE(OFFSET($AM$3,0,0,'Données projet'!$E$10+1,1))-AVERAGE(OFFSET($H$3,0,0,'Données projet'!$E$10+1,1))</f>
        <v>293.42903587188346</v>
      </c>
      <c r="AO60" s="59">
        <f t="shared" si="36"/>
        <v>267.80827667062124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1.8363541496162219</v>
      </c>
      <c r="AV60" s="21">
        <f>EXP(-LN(2)/25)*AV59+(1-EXP(-LN(2)/25))/(LN(2)/25)*Calculateur!AQ60*Calculateur!AS60*VLOOKUP('Données projet'!$B$10,Paramètres!$A$1:$I$89,3,0)*0.475*44/12</f>
        <v>3.7158610603378186</v>
      </c>
      <c r="AW60" s="21">
        <f>EXP(-LN(2)/2)*AW59+(1-EXP(-LN(2)/2))/(LN(2)/2)*AQ60*AT60*VLOOKUP('Données projet'!$B$10,Paramètres!$A$1:$I$89,3,0)*0.475*44/12</f>
        <v>8.4868147742189661E-4</v>
      </c>
      <c r="AX60" s="21">
        <f t="shared" si="6"/>
        <v>5.5530638914314618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108.5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7.8</v>
      </c>
      <c r="BD60" s="12">
        <f>IF('Données projet'!$A$88&gt;35,BD59+BC60-BL59,IF(A60&lt;'Données projet'!$A$88,$BA$205^A60,IF(A60='Données projet'!$A$88,'Données projet'!$B$88,BD59+BC60-BL59)))</f>
        <v>211.60000000000014</v>
      </c>
      <c r="BE60" s="13">
        <f>BD60*VLOOKUP('Données projet'!$B$11,Paramètres!$A$1:$I$89,3,0)*VLOOKUP('Données projet'!$B$11,Paramètres!$A$1:$I$89,5,0)</f>
        <v>191.45568000000011</v>
      </c>
      <c r="BF60" s="13">
        <f t="shared" si="37"/>
        <v>47.861639935303188</v>
      </c>
      <c r="BG60" s="20">
        <f t="shared" si="7"/>
        <v>416.81099888731995</v>
      </c>
      <c r="BH60" s="59">
        <f t="shared" si="8"/>
        <v>851.31099888732001</v>
      </c>
      <c r="BI60" s="59">
        <f ca="1">AVERAGE(OFFSET($BH$3,0,0,'Données projet'!$E$11+1,1))-AVERAGE(OFFSET($H$3,0,0,'Données projet'!$E$11+1,1))</f>
        <v>324.41828402031939</v>
      </c>
      <c r="BJ60" s="59">
        <f t="shared" si="38"/>
        <v>233.01060088065992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1.4691982791705009</v>
      </c>
      <c r="BR60" s="21">
        <f>EXP(-LN(2)/2)*BR59+(1-EXP(-LN(2)/2))/(LN(2)/2)*BL60*BO60*VLOOKUP('Données projet'!$B$11,Paramètres!$A$1:$I$89,3,0)*0.475*44/12</f>
        <v>5.3424436511093131E-4</v>
      </c>
      <c r="BS60" s="22">
        <f t="shared" si="9"/>
        <v>1.4697325235356118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108.5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9.8000000000000007</v>
      </c>
      <c r="BY60" s="12">
        <f>IF('Données projet'!$A$114&gt;35,BY59+BX60-CG59,IF(A60&lt;'Données projet'!$A$114,$BV$205^A60,IF(A60='Données projet'!$A$114,'Données projet'!$B$114,BY59+BX60-CG59)))</f>
        <v>352.60000000000019</v>
      </c>
      <c r="BZ60" s="13">
        <f>BY60*VLOOKUP('Données projet'!$B$12,Paramètres!$A$1:$I$89,3,0)*VLOOKUP('Données projet'!$B$12,Paramètres!$A$1:$I$89,5,0)</f>
        <v>192.51960000000011</v>
      </c>
      <c r="CA60" s="13">
        <f t="shared" si="39"/>
        <v>48.096572818546932</v>
      </c>
      <c r="CB60" s="20">
        <f t="shared" si="10"/>
        <v>419.0731676589694</v>
      </c>
      <c r="CC60" s="59">
        <f t="shared" si="11"/>
        <v>853.5731676589694</v>
      </c>
      <c r="CD60" s="59">
        <f ca="1">AVERAGE(OFFSET($CC$3,0,0,'Données projet'!$E$12+1,1))-AVERAGE(OFFSET($H$3,0,0,'Données projet'!$E$12+1,1))</f>
        <v>279.00060755204919</v>
      </c>
      <c r="CE60" s="59">
        <f t="shared" si="40"/>
        <v>333.91128554211014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4.2771885124750968</v>
      </c>
      <c r="CL60" s="21">
        <f>EXP(-LN(2)/25)*CL59+(1-EXP(-LN(2)/25))/(LN(2)/25)*Calculateur!CG60*Calculateur!CI60*VLOOKUP('Données projet'!$B$12,Paramètres!$A$1:$I$89,3,0)*0.475*44/12</f>
        <v>13.164729700061029</v>
      </c>
      <c r="CM60" s="21">
        <f>EXP(-LN(2)/2)*CM59+(1-EXP(-LN(2)/2))/(LN(2)/2)*CG60*CJ60*VLOOKUP('Données projet'!$B$12,Paramètres!$A$1:$I$89,3,0)*0.475*44/12</f>
        <v>1.8604615340724749E-3</v>
      </c>
      <c r="CN60" s="22">
        <f t="shared" si="12"/>
        <v>17.443778674070199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108.5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14.4</v>
      </c>
      <c r="CT60" s="12">
        <f>IF('Données projet'!$A$140&gt;35,CT59+CS60-DB59,IF(A60&lt;'Données projet'!$A$140,$CQ$205^A60,IF(A60='Données projet'!$A$140,'Données projet'!$B$140,CT59+CS60-DB59)))</f>
        <v>462.8000000000003</v>
      </c>
      <c r="CU60" s="17">
        <f>CT60*VLOOKUP('Données projet'!$B$13,Paramètres!$A$1:$I$89,3,0)*VLOOKUP('Données projet'!$B$13,Paramètres!$A$1:$I$89,5,0)</f>
        <v>276.7544000000002</v>
      </c>
      <c r="CV60" s="13">
        <f t="shared" si="41"/>
        <v>66.28065557793542</v>
      </c>
      <c r="CW60" s="20">
        <f t="shared" si="13"/>
        <v>597.4527217982378</v>
      </c>
      <c r="CX60" s="59">
        <f t="shared" si="14"/>
        <v>1031.9527217982377</v>
      </c>
      <c r="CY60" s="59">
        <f ca="1">AVERAGE(OFFSET($CX$3,0,0,'Données projet'!$E$13+1,1))-AVERAGE(OFFSET($H$3,0,0,'Données projet'!$E$13+1,1))</f>
        <v>380.01315081072897</v>
      </c>
      <c r="CZ60" s="59">
        <f t="shared" si="42"/>
        <v>404.90871625409181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2.0494861622276512</v>
      </c>
      <c r="DG60" s="21">
        <f>EXP(-LN(2)/25)*DG59+(1-EXP(-LN(2)/25))/(LN(2)/25)*Calculateur!DB60*Calculateur!DD60*VLOOKUP('Données projet'!$B$13,Paramètres!$A$1:$I$89,3,0)*0.475*44/12</f>
        <v>10.094301784269158</v>
      </c>
      <c r="DH60" s="21">
        <f>EXP(-LN(2)/2)*DH59+(1-EXP(-LN(2)/2))/(LN(2)/2)*DB60*DE60*VLOOKUP('Données projet'!$B$13,Paramètres!$A$1:$I$89,3,0)*0.475*44/12</f>
        <v>2.6156851862920855E-3</v>
      </c>
      <c r="DI60" s="22">
        <f t="shared" si="15"/>
        <v>12.146403631683102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108.5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-5.6843418860808015E-14</v>
      </c>
      <c r="DP60" s="17">
        <f>DO60*VLOOKUP('Données projet'!$B$14,Paramètres!$A$1:$I$89,3,0)*VLOOKUP('Données projet'!$B$14,Paramètres!$A$1:$I$89,5,0)</f>
        <v>-5.1431925385259088E-14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320.81451813551064</v>
      </c>
      <c r="DU60" s="59">
        <f t="shared" si="44"/>
        <v>522.80818268773976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1.0753294643336673</v>
      </c>
      <c r="EB60" s="21">
        <f>EXP(-LN(2)/25)*EB59+(1-EXP(-LN(2)/25))/(LN(2)/25)*Calculateur!DW60*Calculateur!DY60*VLOOKUP('Données projet'!$B$14,Paramètres!$A$1:$I$89,3,0)*0.475*44/12</f>
        <v>4.9317792593731662</v>
      </c>
      <c r="EC60" s="21">
        <f>EXP(-LN(2)/2)*EC59+(1-EXP(-LN(2)/2))/(LN(2)/2)*DW60*DZ60*VLOOKUP('Données projet'!$B$14,Paramètres!$A$1:$I$89,3,0)*0.475*44/12</f>
        <v>5.1694093488425044E-4</v>
      </c>
      <c r="ED60" s="22">
        <f t="shared" si="18"/>
        <v>6.0076256646417177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108.5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2.625</v>
      </c>
      <c r="EJ60" s="12">
        <f>IF('Données projet'!$A$192&gt;35,EJ59+EI60-ER59,IF(A60&lt;'Données projet'!$A$192,$EG$205^A60,IF(A60='Données projet'!$A$192,'Données projet'!$B$192,EJ59+EI60-ER59)))</f>
        <v>302.875</v>
      </c>
      <c r="EK60" s="17">
        <f>EJ60*VLOOKUP('Données projet'!$B$15,Paramètres!$A$1:$I$89,3,0)*VLOOKUP('Données projet'!$B$15,Paramètres!$A$1:$I$89,5,0)</f>
        <v>181.11925000000002</v>
      </c>
      <c r="EL60" s="13">
        <f t="shared" si="45"/>
        <v>45.571108763102352</v>
      </c>
      <c r="EM60" s="20">
        <f t="shared" si="19"/>
        <v>394.81904151240332</v>
      </c>
      <c r="EN60" s="59">
        <f t="shared" si="20"/>
        <v>829.31904151240337</v>
      </c>
      <c r="EO60" s="59">
        <f ca="1">AVERAGE(OFFSET($EN$3,0,0,'Données projet'!$E$15+1,1))-AVERAGE(OFFSET($H$3,0,0,'Données projet'!$E$15+1,1))</f>
        <v>228.3393311631487</v>
      </c>
      <c r="EP60" s="59">
        <f t="shared" si="46"/>
        <v>266.26050497804033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3.6393747570363004</v>
      </c>
      <c r="EW60" s="21">
        <f>EXP(-LN(2)/25)*EW59+(1-EXP(-LN(2)/25))/(LN(2)/25)*Calculateur!ER60*Calculateur!ET60*VLOOKUP('Données projet'!$B$15,Paramètres!$A$1:$I$89,3,0)*0.475*44/12</f>
        <v>5.832862722667862</v>
      </c>
      <c r="EX60" s="21">
        <f>EXP(-LN(2)/2)*EX59+(1-EXP(-LN(2)/2))/(LN(2)/2)*ER60*EU60*VLOOKUP('Données projet'!$B$15,Paramètres!$A$1:$I$89,3,0)*0.475*44/12</f>
        <v>4.7005444408736678E-4</v>
      </c>
      <c r="EY60" s="22">
        <f t="shared" si="21"/>
        <v>9.472707534148249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108.5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13.4</v>
      </c>
      <c r="FE60" s="12">
        <f>IF('Données projet'!$A$218&gt;35,FE59+FD60-FM59,IF(A60&lt;'Données projet'!$A$218,$FB$205^A60,IF(A60='Données projet'!$A$218,'Données projet'!$B$218,FE59+FD60-FM59)))</f>
        <v>335.7999999999999</v>
      </c>
      <c r="FF60" s="17">
        <f>FE60*VLOOKUP('Données projet'!$B$16,Paramètres!$A$1:$I$89,3,0)*VLOOKUP('Données projet'!$B$16,Paramètres!$A$1:$I$89,5,0)</f>
        <v>192.07759999999993</v>
      </c>
      <c r="FG60" s="13">
        <f t="shared" si="47"/>
        <v>47.998989578649116</v>
      </c>
      <c r="FH60" s="20">
        <f t="shared" si="22"/>
        <v>418.13339351614712</v>
      </c>
      <c r="FI60" s="59">
        <f t="shared" si="23"/>
        <v>852.63339351614718</v>
      </c>
      <c r="FJ60" s="59">
        <f ca="1">AVERAGE(OFFSET($FI$3,0,0,'Données projet'!$E$16+1,1))-AVERAGE(OFFSET($H$3,0,0,'Données projet'!$E$16+1,1))</f>
        <v>242.10913976205194</v>
      </c>
      <c r="FK60" s="59">
        <f t="shared" si="48"/>
        <v>198.24795425321133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5.1264011541663246</v>
      </c>
      <c r="FS60" s="21">
        <f>EXP(-LN(2)/2)*FS59+(1-EXP(-LN(2)/2))/(LN(2)/2)*FM60*FP60*VLOOKUP('Données projet'!$B$16,Paramètres!$A$1:$I$89,3,0)*0.475*44/12</f>
        <v>1.1413389280951337E-3</v>
      </c>
      <c r="FT60" s="22">
        <f t="shared" si="24"/>
        <v>5.1275424930944196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108.5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108.5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28.365479999999966</v>
      </c>
      <c r="D61" s="11">
        <f t="shared" si="32"/>
        <v>8.8559963728573035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158.02802249528875</v>
      </c>
      <c r="H61" s="67">
        <f t="shared" si="1"/>
        <v>462.66073801605972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108.5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5.6</v>
      </c>
      <c r="N61" s="13">
        <f>IF('Données projet'!$A$36&gt;35,N60+M61-V60,IF(A61&lt;'Données projet'!$A$36,$K$205^A61,IF(A61='Données projet'!$A$36,'Données projet'!$B$36,N60+M61-V60)))</f>
        <v>246.7999999999997</v>
      </c>
      <c r="O61" s="13">
        <f>N61*VLOOKUP('Données projet'!$B$9,Paramètres!$A$1:$I$89,3,0)*VLOOKUP('Données projet'!$B$9,Paramètres!$A$1:$I$89,5,0)</f>
        <v>200.20415999999977</v>
      </c>
      <c r="P61" s="13">
        <f t="shared" si="33"/>
        <v>49.789033249442454</v>
      </c>
      <c r="Q61" s="20">
        <f t="shared" si="53"/>
        <v>435.40481157611185</v>
      </c>
      <c r="R61" s="59">
        <f t="shared" si="0"/>
        <v>869.9048115761118</v>
      </c>
      <c r="S61" s="59">
        <f ca="1">AVERAGE(OFFSET($R$3,0,0,'Données projet'!$E$9+1,1))-AVERAGE(OFFSET($H$3,0,0,'Données projet'!$E$9+1,1))</f>
        <v>273.89826011924487</v>
      </c>
      <c r="T61" s="59">
        <f t="shared" si="34"/>
        <v>332.17519939974227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3.9137312534071662</v>
      </c>
      <c r="AB61" s="21">
        <f>EXP(-LN(2)/2)*AB60+(1-EXP(-LN(2)/2))/(LN(2)/2)*V61*Y61*VLOOKUP('Données projet'!$B$9,Paramètres!$A$1:$I$89,3,0)*0.475*44/12</f>
        <v>6.697124842594543E-4</v>
      </c>
      <c r="AC61" s="22">
        <f t="shared" si="3"/>
        <v>3.9144009658914256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108.5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13.499999999999996</v>
      </c>
      <c r="AI61" s="13">
        <f>IF('Données projet'!$A$62&gt;35,AI60+AH61-AQ60,IF(A61&lt;'Données projet'!$A$62,$AF$205^A61,IF(A61='Données projet'!$A$62,'Données projet'!$B$62,AI60+AH61-AQ60)))</f>
        <v>347.79999999999984</v>
      </c>
      <c r="AJ61" s="13">
        <f>AI61*VLOOKUP('Données projet'!$B$10,Paramètres!$A$1:$I$89,3,0)*VLOOKUP('Données projet'!$B$10,Paramètres!$A$1:$I$89,5,0)</f>
        <v>162.77039999999994</v>
      </c>
      <c r="AK61" s="13">
        <f t="shared" si="35"/>
        <v>41.466761176934256</v>
      </c>
      <c r="AL61" s="20">
        <f t="shared" si="4"/>
        <v>355.71305571649367</v>
      </c>
      <c r="AM61" s="59">
        <f t="shared" si="5"/>
        <v>790.21305571649373</v>
      </c>
      <c r="AN61" s="59">
        <f ca="1">AVERAGE(OFFSET($AM$3,0,0,'Données projet'!$E$10+1,1))-AVERAGE(OFFSET($H$3,0,0,'Données projet'!$E$10+1,1))</f>
        <v>293.42903587188346</v>
      </c>
      <c r="AO61" s="59">
        <f t="shared" si="36"/>
        <v>267.80827667062124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1.8003443648076818</v>
      </c>
      <c r="AV61" s="21">
        <f>EXP(-LN(2)/25)*AV60+(1-EXP(-LN(2)/25))/(LN(2)/25)*Calculateur!AQ61*Calculateur!AS61*VLOOKUP('Données projet'!$B$10,Paramètres!$A$1:$I$89,3,0)*0.475*44/12</f>
        <v>3.6142506442342404</v>
      </c>
      <c r="AW61" s="21">
        <f>EXP(-LN(2)/2)*AW60+(1-EXP(-LN(2)/2))/(LN(2)/2)*AQ61*AT61*VLOOKUP('Données projet'!$B$10,Paramètres!$A$1:$I$89,3,0)*0.475*44/12</f>
        <v>6.0010842775244091E-4</v>
      </c>
      <c r="AX61" s="21">
        <f t="shared" si="6"/>
        <v>5.4151951174696746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108.5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7.8</v>
      </c>
      <c r="BD61" s="12">
        <f>IF('Données projet'!$A$88&gt;35,BD60+BC61-BL60,IF(A61&lt;'Données projet'!$A$88,$BA$205^A61,IF(A61='Données projet'!$A$88,'Données projet'!$B$88,BD60+BC61-BL60)))</f>
        <v>219.40000000000015</v>
      </c>
      <c r="BE61" s="13">
        <f>BD61*VLOOKUP('Données projet'!$B$11,Paramètres!$A$1:$I$89,3,0)*VLOOKUP('Données projet'!$B$11,Paramètres!$A$1:$I$89,5,0)</f>
        <v>198.51312000000013</v>
      </c>
      <c r="BF61" s="13">
        <f t="shared" si="37"/>
        <v>49.417254724004458</v>
      </c>
      <c r="BG61" s="20">
        <f t="shared" si="7"/>
        <v>431.81206931097466</v>
      </c>
      <c r="BH61" s="59">
        <f t="shared" si="8"/>
        <v>866.31206931097472</v>
      </c>
      <c r="BI61" s="59">
        <f ca="1">AVERAGE(OFFSET($BH$3,0,0,'Données projet'!$E$11+1,1))-AVERAGE(OFFSET($H$3,0,0,'Données projet'!$E$11+1,1))</f>
        <v>324.41828402031939</v>
      </c>
      <c r="BJ61" s="59">
        <f t="shared" si="38"/>
        <v>233.01060088065992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1.429022974964804</v>
      </c>
      <c r="BR61" s="21">
        <f>EXP(-LN(2)/2)*BR60+(1-EXP(-LN(2)/2))/(LN(2)/2)*BL61*BO61*VLOOKUP('Données projet'!$B$11,Paramètres!$A$1:$I$89,3,0)*0.475*44/12</f>
        <v>3.7776781338064131E-4</v>
      </c>
      <c r="BS61" s="22">
        <f t="shared" si="9"/>
        <v>1.4294007427781847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108.5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9.8000000000000007</v>
      </c>
      <c r="BY61" s="12">
        <f>IF('Données projet'!$A$114&gt;35,BY60+BX61-CG60,IF(A61&lt;'Données projet'!$A$114,$BV$205^A61,IF(A61='Données projet'!$A$114,'Données projet'!$B$114,BY60+BX61-CG60)))</f>
        <v>362.4000000000002</v>
      </c>
      <c r="BZ61" s="13">
        <f>BY61*VLOOKUP('Données projet'!$B$12,Paramètres!$A$1:$I$89,3,0)*VLOOKUP('Données projet'!$B$12,Paramètres!$A$1:$I$89,5,0)</f>
        <v>197.8704000000001</v>
      </c>
      <c r="CA61" s="13">
        <f t="shared" si="39"/>
        <v>49.275854906806309</v>
      </c>
      <c r="CB61" s="20">
        <f t="shared" si="10"/>
        <v>430.44639396268781</v>
      </c>
      <c r="CC61" s="59">
        <f t="shared" si="11"/>
        <v>864.94639396268781</v>
      </c>
      <c r="CD61" s="59">
        <f ca="1">AVERAGE(OFFSET($CC$3,0,0,'Données projet'!$E$12+1,1))-AVERAGE(OFFSET($H$3,0,0,'Données projet'!$E$12+1,1))</f>
        <v>279.00060755204919</v>
      </c>
      <c r="CE61" s="59">
        <f t="shared" si="40"/>
        <v>333.91128554211014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4.1933154545728524</v>
      </c>
      <c r="CL61" s="21">
        <f>EXP(-LN(2)/25)*CL60+(1-EXP(-LN(2)/25))/(LN(2)/25)*Calculateur!CG61*Calculateur!CI61*VLOOKUP('Données projet'!$B$12,Paramètres!$A$1:$I$89,3,0)*0.475*44/12</f>
        <v>12.804739474109814</v>
      </c>
      <c r="CM61" s="21">
        <f>EXP(-LN(2)/2)*CM60+(1-EXP(-LN(2)/2))/(LN(2)/2)*CG61*CJ61*VLOOKUP('Données projet'!$B$12,Paramètres!$A$1:$I$89,3,0)*0.475*44/12</f>
        <v>1.3155449668793742E-3</v>
      </c>
      <c r="CN61" s="22">
        <f t="shared" si="12"/>
        <v>16.999370473649545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108.5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14.4</v>
      </c>
      <c r="CT61" s="12">
        <f>IF('Données projet'!$A$140&gt;35,CT60+CS61-DB60,IF(A61&lt;'Données projet'!$A$140,$CQ$205^A61,IF(A61='Données projet'!$A$140,'Données projet'!$B$140,CT60+CS61-DB60)))</f>
        <v>477.20000000000027</v>
      </c>
      <c r="CU61" s="17">
        <f>CT61*VLOOKUP('Données projet'!$B$13,Paramètres!$A$1:$I$89,3,0)*VLOOKUP('Données projet'!$B$13,Paramètres!$A$1:$I$89,5,0)</f>
        <v>285.3656000000002</v>
      </c>
      <c r="CV61" s="13">
        <f t="shared" si="41"/>
        <v>68.099658711467967</v>
      </c>
      <c r="CW61" s="20">
        <f t="shared" si="13"/>
        <v>615.61865892247363</v>
      </c>
      <c r="CX61" s="59">
        <f t="shared" si="14"/>
        <v>1050.1186589224735</v>
      </c>
      <c r="CY61" s="59">
        <f ca="1">AVERAGE(OFFSET($CX$3,0,0,'Données projet'!$E$13+1,1))-AVERAGE(OFFSET($H$3,0,0,'Données projet'!$E$13+1,1))</f>
        <v>380.01315081072897</v>
      </c>
      <c r="CZ61" s="59">
        <f t="shared" si="42"/>
        <v>404.90871625409181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2.0092969886494925</v>
      </c>
      <c r="DG61" s="21">
        <f>EXP(-LN(2)/25)*DG60+(1-EXP(-LN(2)/25))/(LN(2)/25)*Calculateur!DB61*Calculateur!DD61*VLOOKUP('Données projet'!$B$13,Paramètres!$A$1:$I$89,3,0)*0.475*44/12</f>
        <v>9.8182725711420584</v>
      </c>
      <c r="DH61" s="21">
        <f>EXP(-LN(2)/2)*DH60+(1-EXP(-LN(2)/2))/(LN(2)/2)*DB61*DE61*VLOOKUP('Données projet'!$B$13,Paramètres!$A$1:$I$89,3,0)*0.475*44/12</f>
        <v>1.8495687326763315E-3</v>
      </c>
      <c r="DI61" s="22">
        <f t="shared" si="15"/>
        <v>11.829419128524227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108.5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-5.6843418860808015E-14</v>
      </c>
      <c r="DP61" s="17">
        <f>DO61*VLOOKUP('Données projet'!$B$14,Paramètres!$A$1:$I$89,3,0)*VLOOKUP('Données projet'!$B$14,Paramètres!$A$1:$I$89,5,0)</f>
        <v>-5.1431925385259088E-14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320.81451813551064</v>
      </c>
      <c r="DU61" s="59">
        <f t="shared" si="44"/>
        <v>522.80818268773976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1.054242909424294</v>
      </c>
      <c r="EB61" s="21">
        <f>EXP(-LN(2)/25)*EB60+(1-EXP(-LN(2)/25))/(LN(2)/25)*Calculateur!DW61*Calculateur!DY61*VLOOKUP('Données projet'!$B$14,Paramètres!$A$1:$I$89,3,0)*0.475*44/12</f>
        <v>4.7969194961746071</v>
      </c>
      <c r="EC61" s="21">
        <f>EXP(-LN(2)/2)*EC60+(1-EXP(-LN(2)/2))/(LN(2)/2)*DW61*DZ61*VLOOKUP('Données projet'!$B$14,Paramètres!$A$1:$I$89,3,0)*0.475*44/12</f>
        <v>3.6553244052956699E-4</v>
      </c>
      <c r="ED61" s="22">
        <f t="shared" si="18"/>
        <v>5.8515279380394301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108.5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2.625</v>
      </c>
      <c r="EJ61" s="12">
        <f>IF('Données projet'!$A$192&gt;35,EJ60+EI61-ER60,IF(A61&lt;'Données projet'!$A$192,$EG$205^A61,IF(A61='Données projet'!$A$192,'Données projet'!$B$192,EJ60+EI61-ER60)))</f>
        <v>305.5</v>
      </c>
      <c r="EK61" s="17">
        <f>EJ61*VLOOKUP('Données projet'!$B$15,Paramètres!$A$1:$I$89,3,0)*VLOOKUP('Données projet'!$B$15,Paramètres!$A$1:$I$89,5,0)</f>
        <v>182.68900000000002</v>
      </c>
      <c r="EL61" s="13">
        <f t="shared" si="45"/>
        <v>45.919921846619154</v>
      </c>
      <c r="EM61" s="20">
        <f t="shared" si="19"/>
        <v>398.16053888286166</v>
      </c>
      <c r="EN61" s="59">
        <f t="shared" si="20"/>
        <v>832.6605388828616</v>
      </c>
      <c r="EO61" s="59">
        <f ca="1">AVERAGE(OFFSET($EN$3,0,0,'Données projet'!$E$15+1,1))-AVERAGE(OFFSET($H$3,0,0,'Données projet'!$E$15+1,1))</f>
        <v>228.3393311631487</v>
      </c>
      <c r="EP61" s="59">
        <f t="shared" si="46"/>
        <v>266.26050497804033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3.5680088378502335</v>
      </c>
      <c r="EW61" s="21">
        <f>EXP(-LN(2)/25)*EW60+(1-EXP(-LN(2)/25))/(LN(2)/25)*Calculateur!ER61*Calculateur!ET61*VLOOKUP('Données projet'!$B$15,Paramètres!$A$1:$I$89,3,0)*0.475*44/12</f>
        <v>5.6733627847795898</v>
      </c>
      <c r="EX61" s="21">
        <f>EXP(-LN(2)/2)*EX60+(1-EXP(-LN(2)/2))/(LN(2)/2)*ER61*EU61*VLOOKUP('Données projet'!$B$15,Paramètres!$A$1:$I$89,3,0)*0.475*44/12</f>
        <v>3.3237868494104993E-4</v>
      </c>
      <c r="EY61" s="22">
        <f t="shared" si="21"/>
        <v>9.2417040013147655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108.5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13.4</v>
      </c>
      <c r="FE61" s="12">
        <f>IF('Données projet'!$A$218&gt;35,FE60+FD61-FM60,IF(A61&lt;'Données projet'!$A$218,$FB$205^A61,IF(A61='Données projet'!$A$218,'Données projet'!$B$218,FE60+FD61-FM60)))</f>
        <v>349.19999999999987</v>
      </c>
      <c r="FF61" s="17">
        <f>FE61*VLOOKUP('Données projet'!$B$16,Paramètres!$A$1:$I$89,3,0)*VLOOKUP('Données projet'!$B$16,Paramètres!$A$1:$I$89,5,0)</f>
        <v>199.74239999999992</v>
      </c>
      <c r="FG61" s="13">
        <f t="shared" si="47"/>
        <v>49.687550796346812</v>
      </c>
      <c r="FH61" s="20">
        <f t="shared" si="22"/>
        <v>434.42383097030392</v>
      </c>
      <c r="FI61" s="59">
        <f t="shared" si="23"/>
        <v>868.92383097030392</v>
      </c>
      <c r="FJ61" s="59">
        <f ca="1">AVERAGE(OFFSET($FI$3,0,0,'Données projet'!$E$16+1,1))-AVERAGE(OFFSET($H$3,0,0,'Données projet'!$E$16+1,1))</f>
        <v>242.10913976205194</v>
      </c>
      <c r="FK61" s="59">
        <f t="shared" si="48"/>
        <v>198.24795425321133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4.986219445019926</v>
      </c>
      <c r="FS61" s="21">
        <f>EXP(-LN(2)/2)*FS60+(1-EXP(-LN(2)/2))/(LN(2)/2)*FM61*FP61*VLOOKUP('Données projet'!$B$16,Paramètres!$A$1:$I$89,3,0)*0.475*44/12</f>
        <v>8.0704849568825443E-4</v>
      </c>
      <c r="FT61" s="22">
        <f t="shared" si="24"/>
        <v>4.9870264935156143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108.5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108.5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28.854539999999965</v>
      </c>
      <c r="D62" s="11">
        <f t="shared" si="32"/>
        <v>8.9907783759385662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160.67661485924782</v>
      </c>
      <c r="H62" s="67">
        <f t="shared" si="1"/>
        <v>463.74726283809292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108.5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5.6</v>
      </c>
      <c r="N62" s="13">
        <f>IF('Données projet'!$A$36&gt;35,N61+M62-V61,IF(A62&lt;'Données projet'!$A$36,$K$205^A62,IF(A62='Données projet'!$A$36,'Données projet'!$B$36,N61+M62-V61)))</f>
        <v>252.39999999999969</v>
      </c>
      <c r="O62" s="13">
        <f>N62*VLOOKUP('Données projet'!$B$9,Paramètres!$A$1:$I$89,3,0)*VLOOKUP('Données projet'!$B$9,Paramètres!$A$1:$I$89,5,0)</f>
        <v>204.74687999999978</v>
      </c>
      <c r="P62" s="13">
        <f t="shared" si="33"/>
        <v>50.785959801489938</v>
      </c>
      <c r="Q62" s="20">
        <f t="shared" si="53"/>
        <v>445.05302932092792</v>
      </c>
      <c r="R62" s="59">
        <f t="shared" si="0"/>
        <v>879.55302932092786</v>
      </c>
      <c r="S62" s="59">
        <f ca="1">AVERAGE(OFFSET($R$3,0,0,'Données projet'!$E$9+1,1))-AVERAGE(OFFSET($H$3,0,0,'Données projet'!$E$9+1,1))</f>
        <v>273.89826011924487</v>
      </c>
      <c r="T62" s="59">
        <f t="shared" si="34"/>
        <v>332.17519939974227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3.8067100664685656</v>
      </c>
      <c r="AB62" s="21">
        <f>EXP(-LN(2)/2)*AB61+(1-EXP(-LN(2)/2))/(LN(2)/2)*V62*Y62*VLOOKUP('Données projet'!$B$9,Paramètres!$A$1:$I$89,3,0)*0.475*44/12</f>
        <v>4.7355823906514914E-4</v>
      </c>
      <c r="AC62" s="22">
        <f t="shared" si="3"/>
        <v>3.8071836247076307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108.5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13.499999999999996</v>
      </c>
      <c r="AI62" s="13">
        <f>IF('Données projet'!$A$62&gt;35,AI61+AH62-AQ61,IF(A62&lt;'Données projet'!$A$62,$AF$205^A62,IF(A62='Données projet'!$A$62,'Données projet'!$B$62,AI61+AH62-AQ61)))</f>
        <v>361.29999999999984</v>
      </c>
      <c r="AJ62" s="13">
        <f>AI62*VLOOKUP('Données projet'!$B$10,Paramètres!$A$1:$I$89,3,0)*VLOOKUP('Données projet'!$B$10,Paramètres!$A$1:$I$89,5,0)</f>
        <v>169.08839999999992</v>
      </c>
      <c r="AK62" s="13">
        <f t="shared" si="35"/>
        <v>42.885791664164614</v>
      </c>
      <c r="AL62" s="20">
        <f t="shared" si="4"/>
        <v>369.18838381508658</v>
      </c>
      <c r="AM62" s="59">
        <f t="shared" si="5"/>
        <v>803.68838381508658</v>
      </c>
      <c r="AN62" s="59">
        <f ca="1">AVERAGE(OFFSET($AM$3,0,0,'Données projet'!$E$10+1,1))-AVERAGE(OFFSET($H$3,0,0,'Données projet'!$E$10+1,1))</f>
        <v>293.42903587188346</v>
      </c>
      <c r="AO62" s="59">
        <f t="shared" si="36"/>
        <v>267.80827667062124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1.765040709915437</v>
      </c>
      <c r="AV62" s="21">
        <f>EXP(-LN(2)/25)*AV61+(1-EXP(-LN(2)/25))/(LN(2)/25)*Calculateur!AQ62*Calculateur!AS62*VLOOKUP('Données projet'!$B$10,Paramètres!$A$1:$I$89,3,0)*0.475*44/12</f>
        <v>3.5154187703024742</v>
      </c>
      <c r="AW62" s="21">
        <f>EXP(-LN(2)/2)*AW61+(1-EXP(-LN(2)/2))/(LN(2)/2)*AQ62*AT62*VLOOKUP('Données projet'!$B$10,Paramètres!$A$1:$I$89,3,0)*0.475*44/12</f>
        <v>4.2434073871094831E-4</v>
      </c>
      <c r="AX62" s="21">
        <f t="shared" si="6"/>
        <v>5.280883820956622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108.5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7.8</v>
      </c>
      <c r="BD62" s="12">
        <f>IF('Données projet'!$A$88&gt;35,BD61+BC62-BL61,IF(A62&lt;'Données projet'!$A$88,$BA$205^A62,IF(A62='Données projet'!$A$88,'Données projet'!$B$88,BD61+BC62-BL61)))</f>
        <v>227.20000000000016</v>
      </c>
      <c r="BE62" s="13">
        <f>BD62*VLOOKUP('Données projet'!$B$11,Paramètres!$A$1:$I$89,3,0)*VLOOKUP('Données projet'!$B$11,Paramètres!$A$1:$I$89,5,0)</f>
        <v>205.57056000000014</v>
      </c>
      <c r="BF62" s="13">
        <f t="shared" si="37"/>
        <v>50.966443946767434</v>
      </c>
      <c r="BG62" s="20">
        <f t="shared" si="7"/>
        <v>446.80194854062023</v>
      </c>
      <c r="BH62" s="59">
        <f t="shared" si="8"/>
        <v>881.30194854062029</v>
      </c>
      <c r="BI62" s="59">
        <f ca="1">AVERAGE(OFFSET($BH$3,0,0,'Données projet'!$E$11+1,1))-AVERAGE(OFFSET($H$3,0,0,'Données projet'!$E$11+1,1))</f>
        <v>324.41828402031939</v>
      </c>
      <c r="BJ62" s="59">
        <f t="shared" si="38"/>
        <v>233.01060088065992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1.3899462665653393</v>
      </c>
      <c r="BR62" s="21">
        <f>EXP(-LN(2)/2)*BR61+(1-EXP(-LN(2)/2))/(LN(2)/2)*BL62*BO62*VLOOKUP('Données projet'!$B$11,Paramètres!$A$1:$I$89,3,0)*0.475*44/12</f>
        <v>2.6712218255546565E-4</v>
      </c>
      <c r="BS62" s="22">
        <f t="shared" si="9"/>
        <v>1.3902133887478947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108.5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9.8000000000000007</v>
      </c>
      <c r="BY62" s="12">
        <f>IF('Données projet'!$A$114&gt;35,BY61+BX62-CG61,IF(A62&lt;'Données projet'!$A$114,$BV$205^A62,IF(A62='Données projet'!$A$114,'Données projet'!$B$114,BY61+BX62-CG61)))</f>
        <v>372.20000000000022</v>
      </c>
      <c r="BZ62" s="13">
        <f>BY62*VLOOKUP('Données projet'!$B$12,Paramètres!$A$1:$I$89,3,0)*VLOOKUP('Données projet'!$B$12,Paramètres!$A$1:$I$89,5,0)</f>
        <v>203.22120000000012</v>
      </c>
      <c r="CA62" s="13">
        <f t="shared" si="39"/>
        <v>50.451430348521406</v>
      </c>
      <c r="CB62" s="20">
        <f t="shared" si="10"/>
        <v>441.81316452367497</v>
      </c>
      <c r="CC62" s="59">
        <f t="shared" si="11"/>
        <v>876.31316452367491</v>
      </c>
      <c r="CD62" s="59">
        <f ca="1">AVERAGE(OFFSET($CC$3,0,0,'Données projet'!$E$12+1,1))-AVERAGE(OFFSET($H$3,0,0,'Données projet'!$E$12+1,1))</f>
        <v>279.00060755204919</v>
      </c>
      <c r="CE62" s="59">
        <f t="shared" si="40"/>
        <v>333.91128554211014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4.1110870961785571</v>
      </c>
      <c r="CL62" s="21">
        <f>EXP(-LN(2)/25)*CL61+(1-EXP(-LN(2)/25))/(LN(2)/25)*Calculateur!CG62*Calculateur!CI62*VLOOKUP('Données projet'!$B$12,Paramètres!$A$1:$I$89,3,0)*0.475*44/12</f>
        <v>12.454593199818298</v>
      </c>
      <c r="CM62" s="21">
        <f>EXP(-LN(2)/2)*CM61+(1-EXP(-LN(2)/2))/(LN(2)/2)*CG62*CJ62*VLOOKUP('Données projet'!$B$12,Paramètres!$A$1:$I$89,3,0)*0.475*44/12</f>
        <v>9.3023076703623757E-4</v>
      </c>
      <c r="CN62" s="22">
        <f t="shared" si="12"/>
        <v>16.566610526763892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108.5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14.4</v>
      </c>
      <c r="CT62" s="12">
        <f>IF('Données projet'!$A$140&gt;35,CT61+CS62-DB61,IF(A62&lt;'Données projet'!$A$140,$CQ$205^A62,IF(A62='Données projet'!$A$140,'Données projet'!$B$140,CT61+CS62-DB61)))</f>
        <v>491.60000000000025</v>
      </c>
      <c r="CU62" s="17">
        <f>CT62*VLOOKUP('Données projet'!$B$13,Paramètres!$A$1:$I$89,3,0)*VLOOKUP('Données projet'!$B$13,Paramètres!$A$1:$I$89,5,0)</f>
        <v>293.9768000000002</v>
      </c>
      <c r="CV62" s="13">
        <f t="shared" si="41"/>
        <v>69.912282800586965</v>
      </c>
      <c r="CW62" s="20">
        <f t="shared" si="13"/>
        <v>633.77348587768927</v>
      </c>
      <c r="CX62" s="59">
        <f t="shared" si="14"/>
        <v>1068.2734858776894</v>
      </c>
      <c r="CY62" s="59">
        <f ca="1">AVERAGE(OFFSET($CX$3,0,0,'Données projet'!$E$13+1,1))-AVERAGE(OFFSET($H$3,0,0,'Données projet'!$E$13+1,1))</f>
        <v>380.01315081072897</v>
      </c>
      <c r="CZ62" s="59">
        <f t="shared" si="42"/>
        <v>404.90871625409181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1.9698959002522261</v>
      </c>
      <c r="DG62" s="21">
        <f>EXP(-LN(2)/25)*DG61+(1-EXP(-LN(2)/25))/(LN(2)/25)*Calculateur!DB62*Calculateur!DD62*VLOOKUP('Données projet'!$B$13,Paramètres!$A$1:$I$89,3,0)*0.475*44/12</f>
        <v>9.5497913913636641</v>
      </c>
      <c r="DH62" s="21">
        <f>EXP(-LN(2)/2)*DH61+(1-EXP(-LN(2)/2))/(LN(2)/2)*DB62*DE62*VLOOKUP('Données projet'!$B$13,Paramètres!$A$1:$I$89,3,0)*0.475*44/12</f>
        <v>1.3078425931460427E-3</v>
      </c>
      <c r="DI62" s="22">
        <f t="shared" si="15"/>
        <v>11.520995134209036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108.5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-5.6843418860808015E-14</v>
      </c>
      <c r="DP62" s="17">
        <f>DO62*VLOOKUP('Données projet'!$B$14,Paramètres!$A$1:$I$89,3,0)*VLOOKUP('Données projet'!$B$14,Paramètres!$A$1:$I$89,5,0)</f>
        <v>-5.1431925385259088E-14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320.81451813551064</v>
      </c>
      <c r="DU62" s="59">
        <f t="shared" si="44"/>
        <v>522.80818268773976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1.033569848995165</v>
      </c>
      <c r="EB62" s="21">
        <f>EXP(-LN(2)/25)*EB61+(1-EXP(-LN(2)/25))/(LN(2)/25)*Calculateur!DW62*Calculateur!DY62*VLOOKUP('Données projet'!$B$14,Paramètres!$A$1:$I$89,3,0)*0.475*44/12</f>
        <v>4.6657474802926799</v>
      </c>
      <c r="EC62" s="21">
        <f>EXP(-LN(2)/2)*EC61+(1-EXP(-LN(2)/2))/(LN(2)/2)*DW62*DZ62*VLOOKUP('Données projet'!$B$14,Paramètres!$A$1:$I$89,3,0)*0.475*44/12</f>
        <v>2.5847046744212522E-4</v>
      </c>
      <c r="ED62" s="22">
        <f t="shared" si="18"/>
        <v>5.6995757997552872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108.5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2.625</v>
      </c>
      <c r="EJ62" s="12">
        <f>IF('Données projet'!$A$192&gt;35,EJ61+EI62-ER61,IF(A62&lt;'Données projet'!$A$192,$EG$205^A62,IF(A62='Données projet'!$A$192,'Données projet'!$B$192,EJ61+EI62-ER61)))</f>
        <v>308.125</v>
      </c>
      <c r="EK62" s="17">
        <f>EJ62*VLOOKUP('Données projet'!$B$15,Paramètres!$A$1:$I$89,3,0)*VLOOKUP('Données projet'!$B$15,Paramètres!$A$1:$I$89,5,0)</f>
        <v>184.25875000000002</v>
      </c>
      <c r="EL62" s="13">
        <f t="shared" si="45"/>
        <v>46.26838622983076</v>
      </c>
      <c r="EM62" s="20">
        <f t="shared" si="19"/>
        <v>401.50142893362187</v>
      </c>
      <c r="EN62" s="59">
        <f t="shared" si="20"/>
        <v>836.00142893362181</v>
      </c>
      <c r="EO62" s="59">
        <f ca="1">AVERAGE(OFFSET($EN$3,0,0,'Données projet'!$E$15+1,1))-AVERAGE(OFFSET($H$3,0,0,'Données projet'!$E$15+1,1))</f>
        <v>228.3393311631487</v>
      </c>
      <c r="EP62" s="59">
        <f t="shared" si="46"/>
        <v>266.26050497804033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3.4980423608104925</v>
      </c>
      <c r="EW62" s="21">
        <f>EXP(-LN(2)/25)*EW61+(1-EXP(-LN(2)/25))/(LN(2)/25)*Calculateur!ER62*Calculateur!ET62*VLOOKUP('Données projet'!$B$15,Paramètres!$A$1:$I$89,3,0)*0.475*44/12</f>
        <v>5.5182243810806098</v>
      </c>
      <c r="EX62" s="21">
        <f>EXP(-LN(2)/2)*EX61+(1-EXP(-LN(2)/2))/(LN(2)/2)*ER62*EU62*VLOOKUP('Données projet'!$B$15,Paramètres!$A$1:$I$89,3,0)*0.475*44/12</f>
        <v>2.3502722204368342E-4</v>
      </c>
      <c r="EY62" s="22">
        <f t="shared" si="21"/>
        <v>9.0165017691131446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108.5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13.4</v>
      </c>
      <c r="FE62" s="12">
        <f>IF('Données projet'!$A$218&gt;35,FE61+FD62-FM61,IF(A62&lt;'Données projet'!$A$218,$FB$205^A62,IF(A62='Données projet'!$A$218,'Données projet'!$B$218,FE61+FD62-FM61)))</f>
        <v>362.59999999999985</v>
      </c>
      <c r="FF62" s="17">
        <f>FE62*VLOOKUP('Données projet'!$B$16,Paramètres!$A$1:$I$89,3,0)*VLOOKUP('Données projet'!$B$16,Paramètres!$A$1:$I$89,5,0)</f>
        <v>207.4071999999999</v>
      </c>
      <c r="FG62" s="13">
        <f t="shared" si="47"/>
        <v>51.368584642005608</v>
      </c>
      <c r="FH62" s="20">
        <f t="shared" si="22"/>
        <v>450.70115825149293</v>
      </c>
      <c r="FI62" s="59">
        <f t="shared" si="23"/>
        <v>885.20115825149287</v>
      </c>
      <c r="FJ62" s="59">
        <f ca="1">AVERAGE(OFFSET($FI$3,0,0,'Données projet'!$E$16+1,1))-AVERAGE(OFFSET($H$3,0,0,'Données projet'!$E$16+1,1))</f>
        <v>242.10913976205194</v>
      </c>
      <c r="FK62" s="59">
        <f t="shared" si="48"/>
        <v>198.24795425321133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4.8498710120819712</v>
      </c>
      <c r="FS62" s="21">
        <f>EXP(-LN(2)/2)*FS61+(1-EXP(-LN(2)/2))/(LN(2)/2)*FM62*FP62*VLOOKUP('Données projet'!$B$16,Paramètres!$A$1:$I$89,3,0)*0.475*44/12</f>
        <v>5.7066946404756686E-4</v>
      </c>
      <c r="FT62" s="22">
        <f t="shared" si="24"/>
        <v>4.8504416815460187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108.5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108.5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29.343599999999963</v>
      </c>
      <c r="D63" s="11">
        <f t="shared" si="32"/>
        <v>9.1252947188023068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163.32407933245878</v>
      </c>
      <c r="H63" s="67">
        <f t="shared" si="1"/>
        <v>464.8333249685806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108.5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258</v>
      </c>
      <c r="L63" s="12">
        <f>VLOOKUP(A63,'Données projet'!$A$35:$I$55,9,0)</f>
        <v>5.6</v>
      </c>
      <c r="M63" s="12">
        <f t="array" ref="M63">INDEX(L:L,MIN(IF(ISNUMBER(L63:L259),ROW(L63:L259),"")))</f>
        <v>5.6</v>
      </c>
      <c r="N63" s="13">
        <f>IF('Données projet'!$A$36&gt;35,N62+M63-V62,IF(A63&lt;'Données projet'!$A$36,$K$205^A63,IF(A63='Données projet'!$A$36,'Données projet'!$B$36,N62+M63-V62)))</f>
        <v>257.99999999999972</v>
      </c>
      <c r="O63" s="13">
        <f>N63*VLOOKUP('Données projet'!$B$9,Paramètres!$A$1:$I$89,3,0)*VLOOKUP('Données projet'!$B$9,Paramètres!$A$1:$I$89,5,0)</f>
        <v>209.28959999999978</v>
      </c>
      <c r="P63" s="13">
        <f t="shared" si="33"/>
        <v>51.780314822292119</v>
      </c>
      <c r="Q63" s="20">
        <f t="shared" si="53"/>
        <v>454.69676831549168</v>
      </c>
      <c r="R63" s="59">
        <f t="shared" si="0"/>
        <v>889.19676831549168</v>
      </c>
      <c r="S63" s="59">
        <f ca="1">AVERAGE(OFFSET($R$3,0,0,'Données projet'!$E$9+1,1))-AVERAGE(OFFSET($H$3,0,0,'Données projet'!$E$9+1,1))</f>
        <v>273.89826011924487</v>
      </c>
      <c r="T63" s="59">
        <f t="shared" si="34"/>
        <v>332.17519939974227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25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3.7026153795148007</v>
      </c>
      <c r="AB63" s="21">
        <f>EXP(-LN(2)/2)*AB62+(1-EXP(-LN(2)/2))/(LN(2)/2)*V63*Y63*VLOOKUP('Données projet'!$B$9,Paramètres!$A$1:$I$89,3,0)*0.475*44/12</f>
        <v>3.348562421297272E-4</v>
      </c>
      <c r="AC63" s="22">
        <f t="shared" si="3"/>
        <v>3.7029502357569304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108.5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374.79999999999995</v>
      </c>
      <c r="AG63" s="12">
        <f>VLOOKUP(A63,'Données projet'!$A$61:$I$81,9,0)</f>
        <v>13.499999999999996</v>
      </c>
      <c r="AH63" s="12">
        <f t="array" ref="AH63">INDEX(AG:AG,MIN(IF(ISNUMBER(AG63:AG259),ROW(AG63:AG259),"")))</f>
        <v>13.499999999999996</v>
      </c>
      <c r="AI63" s="13">
        <f>IF('Données projet'!$A$62&gt;35,AI62+AH63-AQ62,IF(A63&lt;'Données projet'!$A$62,$AF$205^A63,IF(A63='Données projet'!$A$62,'Données projet'!$B$62,AI62+AH63-AQ62)))</f>
        <v>374.79999999999984</v>
      </c>
      <c r="AJ63" s="13">
        <f>AI63*VLOOKUP('Données projet'!$B$10,Paramètres!$A$1:$I$89,3,0)*VLOOKUP('Données projet'!$B$10,Paramètres!$A$1:$I$89,5,0)</f>
        <v>175.40639999999993</v>
      </c>
      <c r="AK63" s="13">
        <f t="shared" si="35"/>
        <v>44.298662258322672</v>
      </c>
      <c r="AL63" s="20">
        <f t="shared" si="4"/>
        <v>382.65298343324525</v>
      </c>
      <c r="AM63" s="59">
        <f t="shared" si="5"/>
        <v>817.15298343324525</v>
      </c>
      <c r="AN63" s="59">
        <f ca="1">AVERAGE(OFFSET($AM$3,0,0,'Données projet'!$E$10+1,1))-AVERAGE(OFFSET($H$3,0,0,'Données projet'!$E$10+1,1))</f>
        <v>293.42903587188346</v>
      </c>
      <c r="AO63" s="59">
        <f t="shared" si="36"/>
        <v>267.80827667062124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83.4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1.730429338162526</v>
      </c>
      <c r="AV63" s="21">
        <f>EXP(-LN(2)/25)*AV62+(1-EXP(-LN(2)/25))/(LN(2)/25)*Calculateur!AQ63*Calculateur!AS63*VLOOKUP('Données projet'!$B$10,Paramètres!$A$1:$I$89,3,0)*0.475*44/12</f>
        <v>3.4192894591607144</v>
      </c>
      <c r="AW63" s="21">
        <f>EXP(-LN(2)/2)*AW62+(1-EXP(-LN(2)/2))/(LN(2)/2)*AQ63*AT63*VLOOKUP('Données projet'!$B$10,Paramètres!$A$1:$I$89,3,0)*0.475*44/12</f>
        <v>3.0005421387622046E-4</v>
      </c>
      <c r="AX63" s="21">
        <f t="shared" si="6"/>
        <v>5.1500188515371166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108.5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235</v>
      </c>
      <c r="BB63" s="12">
        <f>VLOOKUP(A63,'Données projet'!$A$87:$I$107,9,0)</f>
        <v>7.8</v>
      </c>
      <c r="BC63" s="12">
        <f t="array" ref="BC63">INDEX(BB:BB,MIN(IF(ISNUMBER(BB63:BB259),ROW(BB63:BB259),"")))</f>
        <v>7.8</v>
      </c>
      <c r="BD63" s="12">
        <f>IF('Données projet'!$A$88&gt;35,BD62+BC63-BL62,IF(A63&lt;'Données projet'!$A$88,$BA$205^A63,IF(A63='Données projet'!$A$88,'Données projet'!$B$88,BD62+BC63-BL62)))</f>
        <v>235.00000000000017</v>
      </c>
      <c r="BE63" s="13">
        <f>BD63*VLOOKUP('Données projet'!$B$11,Paramètres!$A$1:$I$89,3,0)*VLOOKUP('Données projet'!$B$11,Paramètres!$A$1:$I$89,5,0)</f>
        <v>212.62800000000016</v>
      </c>
      <c r="BF63" s="13">
        <f t="shared" si="37"/>
        <v>52.509453483719085</v>
      </c>
      <c r="BG63" s="20">
        <f t="shared" si="7"/>
        <v>461.78106481747767</v>
      </c>
      <c r="BH63" s="59">
        <f t="shared" si="8"/>
        <v>896.28106481747773</v>
      </c>
      <c r="BI63" s="59">
        <f ca="1">AVERAGE(OFFSET($BH$3,0,0,'Données projet'!$E$11+1,1))-AVERAGE(OFFSET($H$3,0,0,'Données projet'!$E$11+1,1))</f>
        <v>324.41828402031939</v>
      </c>
      <c r="BJ63" s="59">
        <f t="shared" si="38"/>
        <v>233.01060088065992</v>
      </c>
      <c r="BK63" s="15">
        <f>IF(ISNA(VLOOKUP(A63,'Données projet'!$A$87:$I$107,3,0)),0,VLOOKUP(A63,'Données projet'!$A$87:$I$107,3,0))</f>
        <v>4</v>
      </c>
      <c r="BL63" s="15">
        <f>IF(ISNA(VLOOKUP(A63,'Données projet'!$A$87:$I$107,4,0)),0,VLOOKUP(A63,'Données projet'!$A$87:$I$107,4,0))</f>
        <v>42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1.3519381128120127</v>
      </c>
      <c r="BR63" s="21">
        <f>EXP(-LN(2)/2)*BR62+(1-EXP(-LN(2)/2))/(LN(2)/2)*BL63*BO63*VLOOKUP('Données projet'!$B$11,Paramètres!$A$1:$I$89,3,0)*0.475*44/12</f>
        <v>1.8888390669032066E-4</v>
      </c>
      <c r="BS63" s="22">
        <f t="shared" si="9"/>
        <v>1.3521269967187031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108.5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382</v>
      </c>
      <c r="BW63" s="12">
        <f>VLOOKUP(A63,'Données projet'!$A$113:$I$133,9,0)</f>
        <v>9.8000000000000007</v>
      </c>
      <c r="BX63" s="12">
        <f t="array" ref="BX63">INDEX(BW:BW,MIN(IF(ISNUMBER(BW63:BW259),ROW(BW63:BW259),"")))</f>
        <v>9.8000000000000007</v>
      </c>
      <c r="BY63" s="12">
        <f>IF('Données projet'!$A$114&gt;35,BY62+BX63-CG62,IF(A63&lt;'Données projet'!$A$114,$BV$205^A63,IF(A63='Données projet'!$A$114,'Données projet'!$B$114,BY62+BX63-CG62)))</f>
        <v>382.00000000000023</v>
      </c>
      <c r="BZ63" s="13">
        <f>BY63*VLOOKUP('Données projet'!$B$12,Paramètres!$A$1:$I$89,3,0)*VLOOKUP('Données projet'!$B$12,Paramètres!$A$1:$I$89,5,0)</f>
        <v>208.57200000000012</v>
      </c>
      <c r="CA63" s="13">
        <f t="shared" si="39"/>
        <v>51.623407958239042</v>
      </c>
      <c r="CB63" s="20">
        <f t="shared" si="10"/>
        <v>453.17366886059989</v>
      </c>
      <c r="CC63" s="59">
        <f t="shared" si="11"/>
        <v>887.67366886059995</v>
      </c>
      <c r="CD63" s="59">
        <f ca="1">AVERAGE(OFFSET($CC$3,0,0,'Données projet'!$E$12+1,1))-AVERAGE(OFFSET($H$3,0,0,'Données projet'!$E$12+1,1))</f>
        <v>279.00060755204919</v>
      </c>
      <c r="CE63" s="59">
        <f t="shared" si="40"/>
        <v>333.91128554211014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4.030471185738028</v>
      </c>
      <c r="CL63" s="21">
        <f>EXP(-LN(2)/25)*CL62+(1-EXP(-LN(2)/25))/(LN(2)/25)*Calculateur!CG63*Calculateur!CI63*VLOOKUP('Données projet'!$B$12,Paramètres!$A$1:$I$89,3,0)*0.475*44/12</f>
        <v>12.114021693810676</v>
      </c>
      <c r="CM63" s="21">
        <f>EXP(-LN(2)/2)*CM62+(1-EXP(-LN(2)/2))/(LN(2)/2)*CG63*CJ63*VLOOKUP('Données projet'!$B$12,Paramètres!$A$1:$I$89,3,0)*0.475*44/12</f>
        <v>6.577724834396872E-4</v>
      </c>
      <c r="CN63" s="22">
        <f t="shared" si="12"/>
        <v>16.145150652032143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108.5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506</v>
      </c>
      <c r="CR63" s="12">
        <f>VLOOKUP(A63,'Données projet'!$A$139:$I$159,9,0)</f>
        <v>14.4</v>
      </c>
      <c r="CS63" s="12">
        <f t="array" ref="CS63">INDEX(CR:CR,MIN(IF(ISNUMBER(CR63:CR259),ROW(CR63:CR259),"")))</f>
        <v>14.4</v>
      </c>
      <c r="CT63" s="12">
        <f>IF('Données projet'!$A$140&gt;35,CT62+CS63-DB62,IF(A63&lt;'Données projet'!$A$140,$CQ$205^A63,IF(A63='Données projet'!$A$140,'Données projet'!$B$140,CT62+CS63-DB62)))</f>
        <v>506.00000000000023</v>
      </c>
      <c r="CU63" s="17">
        <f>CT63*VLOOKUP('Données projet'!$B$13,Paramètres!$A$1:$I$89,3,0)*VLOOKUP('Données projet'!$B$13,Paramètres!$A$1:$I$89,5,0)</f>
        <v>302.58800000000014</v>
      </c>
      <c r="CV63" s="13">
        <f t="shared" si="41"/>
        <v>71.71873615610572</v>
      </c>
      <c r="CW63" s="20">
        <f t="shared" si="13"/>
        <v>651.91756547188425</v>
      </c>
      <c r="CX63" s="59">
        <f t="shared" si="14"/>
        <v>1086.4175654718842</v>
      </c>
      <c r="CY63" s="59">
        <f ca="1">AVERAGE(OFFSET($CX$3,0,0,'Données projet'!$E$13+1,1))-AVERAGE(OFFSET($H$3,0,0,'Données projet'!$E$13+1,1))</f>
        <v>380.01315081072897</v>
      </c>
      <c r="CZ63" s="59">
        <f t="shared" si="42"/>
        <v>404.90871625409181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71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1.931267443166139</v>
      </c>
      <c r="DG63" s="21">
        <f>EXP(-LN(2)/25)*DG62+(1-EXP(-LN(2)/25))/(LN(2)/25)*Calculateur!DB63*Calculateur!DD63*VLOOKUP('Données projet'!$B$13,Paramètres!$A$1:$I$89,3,0)*0.475*44/12</f>
        <v>9.2886518435651215</v>
      </c>
      <c r="DH63" s="21">
        <f>EXP(-LN(2)/2)*DH62+(1-EXP(-LN(2)/2))/(LN(2)/2)*DB63*DE63*VLOOKUP('Données projet'!$B$13,Paramètres!$A$1:$I$89,3,0)*0.475*44/12</f>
        <v>9.2478436633816575E-4</v>
      </c>
      <c r="DI63" s="22">
        <f t="shared" si="15"/>
        <v>11.220844071097599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108.5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-5.6843418860808015E-14</v>
      </c>
      <c r="DP63" s="17">
        <f>DO63*VLOOKUP('Données projet'!$B$14,Paramètres!$A$1:$I$89,3,0)*VLOOKUP('Données projet'!$B$14,Paramètres!$A$1:$I$89,5,0)</f>
        <v>-5.1431925385259088E-14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320.81451813551064</v>
      </c>
      <c r="DU63" s="59">
        <f t="shared" si="44"/>
        <v>522.80818268773976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1.0133021746717294</v>
      </c>
      <c r="EB63" s="21">
        <f>EXP(-LN(2)/25)*EB62+(1-EXP(-LN(2)/25))/(LN(2)/25)*Calculateur!DW63*Calculateur!DY63*VLOOKUP('Données projet'!$B$14,Paramètres!$A$1:$I$89,3,0)*0.475*44/12</f>
        <v>4.5381623700830804</v>
      </c>
      <c r="EC63" s="21">
        <f>EXP(-LN(2)/2)*EC62+(1-EXP(-LN(2)/2))/(LN(2)/2)*DW63*DZ63*VLOOKUP('Données projet'!$B$14,Paramètres!$A$1:$I$89,3,0)*0.475*44/12</f>
        <v>1.827662202647835E-4</v>
      </c>
      <c r="ED63" s="22">
        <f t="shared" si="18"/>
        <v>5.5516473109750741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108.5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2.625</v>
      </c>
      <c r="EJ63" s="12">
        <f>IF('Données projet'!$A$192&gt;35,EJ62+EI63-ER62,IF(A63&lt;'Données projet'!$A$192,$EG$205^A63,IF(A63='Données projet'!$A$192,'Données projet'!$B$192,EJ62+EI63-ER62)))</f>
        <v>310.75</v>
      </c>
      <c r="EK63" s="17">
        <f>EJ63*VLOOKUP('Données projet'!$B$15,Paramètres!$A$1:$I$89,3,0)*VLOOKUP('Données projet'!$B$15,Paramètres!$A$1:$I$89,5,0)</f>
        <v>185.82849999999999</v>
      </c>
      <c r="EL63" s="13">
        <f t="shared" si="45"/>
        <v>46.616505227631926</v>
      </c>
      <c r="EM63" s="20">
        <f t="shared" si="19"/>
        <v>404.84171743812561</v>
      </c>
      <c r="EN63" s="59">
        <f t="shared" si="20"/>
        <v>839.34171743812567</v>
      </c>
      <c r="EO63" s="59">
        <f ca="1">AVERAGE(OFFSET($EN$3,0,0,'Données projet'!$E$15+1,1))-AVERAGE(OFFSET($H$3,0,0,'Données projet'!$E$15+1,1))</f>
        <v>228.3393311631487</v>
      </c>
      <c r="EP63" s="59">
        <f t="shared" si="46"/>
        <v>266.26050497804033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3.4294478837101638</v>
      </c>
      <c r="EW63" s="21">
        <f>EXP(-LN(2)/25)*EW62+(1-EXP(-LN(2)/25))/(LN(2)/25)*Calculateur!ER63*Calculateur!ET63*VLOOKUP('Données projet'!$B$15,Paramètres!$A$1:$I$89,3,0)*0.475*44/12</f>
        <v>5.3673282451891522</v>
      </c>
      <c r="EX63" s="21">
        <f>EXP(-LN(2)/2)*EX62+(1-EXP(-LN(2)/2))/(LN(2)/2)*ER63*EU63*VLOOKUP('Données projet'!$B$15,Paramètres!$A$1:$I$89,3,0)*0.475*44/12</f>
        <v>1.6618934247052499E-4</v>
      </c>
      <c r="EY63" s="22">
        <f t="shared" si="21"/>
        <v>8.7969423182417863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108.5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376</v>
      </c>
      <c r="FC63" s="12">
        <f>VLOOKUP(A63,'Données projet'!$A$217:$I$237,9,0)</f>
        <v>13.4</v>
      </c>
      <c r="FD63" s="12">
        <f t="array" ref="FD63">INDEX(FC:FC,MIN(IF(ISNUMBER(FC63:FC259),ROW(FC63:FC259),"")))</f>
        <v>13.4</v>
      </c>
      <c r="FE63" s="12">
        <f>IF('Données projet'!$A$218&gt;35,FE62+FD63-FM62,IF(A63&lt;'Données projet'!$A$218,$FB$205^A63,IF(A63='Données projet'!$A$218,'Données projet'!$B$218,FE62+FD63-FM62)))</f>
        <v>375.99999999999983</v>
      </c>
      <c r="FF63" s="17">
        <f>FE63*VLOOKUP('Données projet'!$B$16,Paramètres!$A$1:$I$89,3,0)*VLOOKUP('Données projet'!$B$16,Paramètres!$A$1:$I$89,5,0)</f>
        <v>215.07199999999989</v>
      </c>
      <c r="FG63" s="13">
        <f t="shared" si="47"/>
        <v>53.042401148431495</v>
      </c>
      <c r="FH63" s="20">
        <f t="shared" si="22"/>
        <v>466.96591533351801</v>
      </c>
      <c r="FI63" s="59">
        <f t="shared" si="23"/>
        <v>901.46591533351807</v>
      </c>
      <c r="FJ63" s="59">
        <f ca="1">AVERAGE(OFFSET($FI$3,0,0,'Données projet'!$E$16+1,1))-AVERAGE(OFFSET($H$3,0,0,'Données projet'!$E$16+1,1))</f>
        <v>242.10913976205194</v>
      </c>
      <c r="FK63" s="59">
        <f t="shared" si="48"/>
        <v>198.24795425321133</v>
      </c>
      <c r="FL63" s="15">
        <f>IF(ISNA(VLOOKUP(A63,'Données projet'!$A$217:$I$237,3,0)),0,VLOOKUP(A63,'Données projet'!$A$217:$I$237,3,0))</f>
        <v>5</v>
      </c>
      <c r="FM63" s="15">
        <f>IF(ISNA(VLOOKUP(A63,'Données projet'!$A$217:$I$237,4,0)),0,VLOOKUP(A63,'Données projet'!$A$217:$I$237,4,0))</f>
        <v>70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4.7172510342129579</v>
      </c>
      <c r="FS63" s="21">
        <f>EXP(-LN(2)/2)*FS62+(1-EXP(-LN(2)/2))/(LN(2)/2)*FM63*FP63*VLOOKUP('Données projet'!$B$16,Paramètres!$A$1:$I$89,3,0)*0.475*44/12</f>
        <v>4.0352424784412721E-4</v>
      </c>
      <c r="FT63" s="22">
        <f t="shared" si="24"/>
        <v>4.7176545584608016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108.5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108.5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29.832659999999962</v>
      </c>
      <c r="D64" s="11">
        <f t="shared" si="32"/>
        <v>9.2595503401687171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165.97043688282142</v>
      </c>
      <c r="H64" s="67">
        <f t="shared" si="1"/>
        <v>465.9189330091271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108.5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4.0999999999999996</v>
      </c>
      <c r="N64" s="13">
        <f>IF('Données projet'!$A$36&gt;35,N63+M64-V63,IF(A64&lt;'Données projet'!$A$36,$K$205^A64,IF(A64='Données projet'!$A$36,'Données projet'!$B$36,N63+M64-V63)))</f>
        <v>237.09999999999974</v>
      </c>
      <c r="O64" s="13">
        <f>N64*VLOOKUP('Données projet'!$B$9,Paramètres!$A$1:$I$89,3,0)*VLOOKUP('Données projet'!$B$9,Paramètres!$A$1:$I$89,5,0)</f>
        <v>192.3355199999998</v>
      </c>
      <c r="P64" s="13">
        <f t="shared" si="33"/>
        <v>48.055935441424452</v>
      </c>
      <c r="Q64" s="20">
        <f t="shared" si="53"/>
        <v>418.68178489381393</v>
      </c>
      <c r="R64" s="59">
        <f t="shared" si="0"/>
        <v>853.18178489381398</v>
      </c>
      <c r="S64" s="59">
        <f ca="1">AVERAGE(OFFSET($R$3,0,0,'Données projet'!$E$9+1,1))-AVERAGE(OFFSET($H$3,0,0,'Données projet'!$E$9+1,1))</f>
        <v>273.89826011924487</v>
      </c>
      <c r="T64" s="59">
        <f t="shared" si="34"/>
        <v>332.17519939974227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3.6013671672498879</v>
      </c>
      <c r="AB64" s="21">
        <f>EXP(-LN(2)/2)*AB63+(1-EXP(-LN(2)/2))/(LN(2)/2)*V64*Y64*VLOOKUP('Données projet'!$B$9,Paramètres!$A$1:$I$89,3,0)*0.475*44/12</f>
        <v>2.367791195325746E-4</v>
      </c>
      <c r="AC64" s="22">
        <f t="shared" si="3"/>
        <v>3.6016039463694205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108.5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15.5</v>
      </c>
      <c r="AI64" s="13">
        <f>IF('Données projet'!$A$62&gt;35,AI63+AH64-AQ63,IF(A64&lt;'Données projet'!$A$62,$AF$205^A64,IF(A64='Données projet'!$A$62,'Données projet'!$B$62,AI63+AH64-AQ63)))</f>
        <v>306.89999999999986</v>
      </c>
      <c r="AJ64" s="13">
        <f>AI64*VLOOKUP('Données projet'!$B$10,Paramètres!$A$1:$I$89,3,0)*VLOOKUP('Données projet'!$B$10,Paramètres!$A$1:$I$89,5,0)</f>
        <v>143.62919999999994</v>
      </c>
      <c r="AK64" s="13">
        <f t="shared" si="35"/>
        <v>37.127161849234348</v>
      </c>
      <c r="AL64" s="20">
        <f t="shared" si="4"/>
        <v>314.81733022074968</v>
      </c>
      <c r="AM64" s="59">
        <f t="shared" si="5"/>
        <v>749.31733022074968</v>
      </c>
      <c r="AN64" s="59">
        <f ca="1">AVERAGE(OFFSET($AM$3,0,0,'Données projet'!$E$10+1,1))-AVERAGE(OFFSET($H$3,0,0,'Données projet'!$E$10+1,1))</f>
        <v>293.42903587188346</v>
      </c>
      <c r="AO64" s="59">
        <f t="shared" si="36"/>
        <v>267.80827667062124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1.6964966742988374</v>
      </c>
      <c r="AV64" s="21">
        <f>EXP(-LN(2)/25)*AV63+(1-EXP(-LN(2)/25))/(LN(2)/25)*Calculateur!AQ64*Calculateur!AS64*VLOOKUP('Données projet'!$B$10,Paramètres!$A$1:$I$89,3,0)*0.475*44/12</f>
        <v>3.3257888090873466</v>
      </c>
      <c r="AW64" s="21">
        <f>EXP(-LN(2)/2)*AW63+(1-EXP(-LN(2)/2))/(LN(2)/2)*AQ64*AT64*VLOOKUP('Données projet'!$B$10,Paramètres!$A$1:$I$89,3,0)*0.475*44/12</f>
        <v>2.1217036935547415E-4</v>
      </c>
      <c r="AX64" s="21">
        <f t="shared" si="6"/>
        <v>5.0224976537555399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108.5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</v>
      </c>
      <c r="BD64" s="12">
        <f>IF('Données projet'!$A$88&gt;35,BD63+BC64-BL63,IF(A64&lt;'Données projet'!$A$88,$BA$205^A64,IF(A64='Données projet'!$A$88,'Données projet'!$B$88,BD63+BC64-BL63)))</f>
        <v>200.00000000000017</v>
      </c>
      <c r="BE64" s="13">
        <f>BD64*VLOOKUP('Données projet'!$B$11,Paramètres!$A$1:$I$89,3,0)*VLOOKUP('Données projet'!$B$11,Paramètres!$A$1:$I$89,5,0)</f>
        <v>180.96000000000015</v>
      </c>
      <c r="BF64" s="13">
        <f t="shared" si="37"/>
        <v>45.535702314871806</v>
      </c>
      <c r="BG64" s="20">
        <f t="shared" si="7"/>
        <v>394.48001486506865</v>
      </c>
      <c r="BH64" s="59">
        <f t="shared" si="8"/>
        <v>828.9800148650686</v>
      </c>
      <c r="BI64" s="59">
        <f ca="1">AVERAGE(OFFSET($BH$3,0,0,'Données projet'!$E$11+1,1))-AVERAGE(OFFSET($H$3,0,0,'Données projet'!$E$11+1,1))</f>
        <v>324.41828402031939</v>
      </c>
      <c r="BJ64" s="59">
        <f t="shared" si="38"/>
        <v>233.01060088065992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1.3149692940218327</v>
      </c>
      <c r="BR64" s="21">
        <f>EXP(-LN(2)/2)*BR63+(1-EXP(-LN(2)/2))/(LN(2)/2)*BL64*BO64*VLOOKUP('Données projet'!$B$11,Paramètres!$A$1:$I$89,3,0)*0.475*44/12</f>
        <v>1.3356109127773283E-4</v>
      </c>
      <c r="BS64" s="22">
        <f t="shared" si="9"/>
        <v>1.3151028551131105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108.5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8.5</v>
      </c>
      <c r="BY64" s="12">
        <f>IF('Données projet'!$A$114&gt;35,BY63+BX64-CG63,IF(A64&lt;'Données projet'!$A$114,$BV$205^A64,IF(A64='Données projet'!$A$114,'Données projet'!$B$114,BY63+BX64-CG63)))</f>
        <v>334.50000000000023</v>
      </c>
      <c r="BZ64" s="13">
        <f>BY64*VLOOKUP('Données projet'!$B$12,Paramètres!$A$1:$I$89,3,0)*VLOOKUP('Données projet'!$B$12,Paramètres!$A$1:$I$89,5,0)</f>
        <v>182.63700000000014</v>
      </c>
      <c r="CA64" s="13">
        <f t="shared" si="39"/>
        <v>45.908372564566413</v>
      </c>
      <c r="CB64" s="20">
        <f t="shared" si="10"/>
        <v>398.04985721662001</v>
      </c>
      <c r="CC64" s="59">
        <f t="shared" si="11"/>
        <v>832.54985721662001</v>
      </c>
      <c r="CD64" s="59">
        <f ca="1">AVERAGE(OFFSET($CC$3,0,0,'Données projet'!$E$12+1,1))-AVERAGE(OFFSET($H$3,0,0,'Données projet'!$E$12+1,1))</f>
        <v>279.00060755204919</v>
      </c>
      <c r="CE64" s="59">
        <f t="shared" si="40"/>
        <v>333.91128554211014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3.9514361041303872</v>
      </c>
      <c r="CL64" s="21">
        <f>EXP(-LN(2)/25)*CL63+(1-EXP(-LN(2)/25))/(LN(2)/25)*Calculateur!CG64*Calculateur!CI64*VLOOKUP('Données projet'!$B$12,Paramètres!$A$1:$I$89,3,0)*0.475*44/12</f>
        <v>11.782763133544709</v>
      </c>
      <c r="CM64" s="21">
        <f>EXP(-LN(2)/2)*CM63+(1-EXP(-LN(2)/2))/(LN(2)/2)*CG64*CJ64*VLOOKUP('Données projet'!$B$12,Paramètres!$A$1:$I$89,3,0)*0.475*44/12</f>
        <v>4.651153835181189E-4</v>
      </c>
      <c r="CN64" s="22">
        <f t="shared" si="12"/>
        <v>15.734664353058614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108.5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11.8</v>
      </c>
      <c r="CT64" s="12">
        <f>IF('Données projet'!$A$140&gt;35,CT63+CS64-DB63,IF(A64&lt;'Données projet'!$A$140,$CQ$205^A64,IF(A64='Données projet'!$A$140,'Données projet'!$B$140,CT63+CS64-DB63)))</f>
        <v>446.80000000000018</v>
      </c>
      <c r="CU64" s="17">
        <f>CT64*VLOOKUP('Données projet'!$B$13,Paramètres!$A$1:$I$89,3,0)*VLOOKUP('Données projet'!$B$13,Paramètres!$A$1:$I$89,5,0)</f>
        <v>267.18640000000016</v>
      </c>
      <c r="CV64" s="13">
        <f t="shared" si="41"/>
        <v>64.251788801464969</v>
      </c>
      <c r="CW64" s="20">
        <f t="shared" si="13"/>
        <v>577.25484549588498</v>
      </c>
      <c r="CX64" s="59">
        <f t="shared" si="14"/>
        <v>1011.754845495885</v>
      </c>
      <c r="CY64" s="59">
        <f ca="1">AVERAGE(OFFSET($CX$3,0,0,'Données projet'!$E$13+1,1))-AVERAGE(OFFSET($H$3,0,0,'Données projet'!$E$13+1,1))</f>
        <v>380.01315081072897</v>
      </c>
      <c r="CZ64" s="59">
        <f t="shared" si="42"/>
        <v>404.90871625409181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1.8933964665624778</v>
      </c>
      <c r="DG64" s="21">
        <f>EXP(-LN(2)/25)*DG63+(1-EXP(-LN(2)/25))/(LN(2)/25)*Calculateur!DB64*Calculateur!DD64*VLOOKUP('Données projet'!$B$13,Paramètres!$A$1:$I$89,3,0)*0.475*44/12</f>
        <v>9.0346531704338631</v>
      </c>
      <c r="DH64" s="21">
        <f>EXP(-LN(2)/2)*DH63+(1-EXP(-LN(2)/2))/(LN(2)/2)*DB64*DE64*VLOOKUP('Données projet'!$B$13,Paramètres!$A$1:$I$89,3,0)*0.475*44/12</f>
        <v>6.5392129657302137E-4</v>
      </c>
      <c r="DI64" s="22">
        <f t="shared" si="15"/>
        <v>10.928703558292915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108.5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-5.6843418860808015E-14</v>
      </c>
      <c r="DP64" s="17">
        <f>DO64*VLOOKUP('Données projet'!$B$14,Paramètres!$A$1:$I$89,3,0)*VLOOKUP('Données projet'!$B$14,Paramètres!$A$1:$I$89,5,0)</f>
        <v>-5.1431925385259088E-14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320.81451813551064</v>
      </c>
      <c r="DU64" s="59">
        <f t="shared" si="44"/>
        <v>522.80818268773976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0.99343193707971567</v>
      </c>
      <c r="EB64" s="21">
        <f>EXP(-LN(2)/25)*EB63+(1-EXP(-LN(2)/25))/(LN(2)/25)*Calculateur!DW64*Calculateur!DY64*VLOOKUP('Données projet'!$B$14,Paramètres!$A$1:$I$89,3,0)*0.475*44/12</f>
        <v>4.4140660814215718</v>
      </c>
      <c r="EC64" s="21">
        <f>EXP(-LN(2)/2)*EC63+(1-EXP(-LN(2)/2))/(LN(2)/2)*DW64*DZ64*VLOOKUP('Données projet'!$B$14,Paramètres!$A$1:$I$89,3,0)*0.475*44/12</f>
        <v>1.2923523372106261E-4</v>
      </c>
      <c r="ED64" s="22">
        <f t="shared" si="18"/>
        <v>5.4076272537350079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108.5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2.625</v>
      </c>
      <c r="EJ64" s="12">
        <f>IF('Données projet'!$A$192&gt;35,EJ63+EI64-ER63,IF(A64&lt;'Données projet'!$A$192,$EG$205^A64,IF(A64='Données projet'!$A$192,'Données projet'!$B$192,EJ63+EI64-ER63)))</f>
        <v>313.375</v>
      </c>
      <c r="EK64" s="17">
        <f>EJ64*VLOOKUP('Données projet'!$B$15,Paramètres!$A$1:$I$89,3,0)*VLOOKUP('Données projet'!$B$15,Paramètres!$A$1:$I$89,5,0)</f>
        <v>187.39825000000002</v>
      </c>
      <c r="EL64" s="13">
        <f t="shared" si="45"/>
        <v>46.964282095681376</v>
      </c>
      <c r="EM64" s="20">
        <f t="shared" si="19"/>
        <v>408.18141006664501</v>
      </c>
      <c r="EN64" s="59">
        <f t="shared" si="20"/>
        <v>842.68141006664496</v>
      </c>
      <c r="EO64" s="59">
        <f ca="1">AVERAGE(OFFSET($EN$3,0,0,'Données projet'!$E$15+1,1))-AVERAGE(OFFSET($H$3,0,0,'Données projet'!$E$15+1,1))</f>
        <v>228.3393311631487</v>
      </c>
      <c r="EP64" s="59">
        <f t="shared" si="46"/>
        <v>266.26050497804033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3.3621985024672729</v>
      </c>
      <c r="EW64" s="21">
        <f>EXP(-LN(2)/25)*EW63+(1-EXP(-LN(2)/25))/(LN(2)/25)*Calculateur!ER64*Calculateur!ET64*VLOOKUP('Données projet'!$B$15,Paramètres!$A$1:$I$89,3,0)*0.475*44/12</f>
        <v>5.2205583720689299</v>
      </c>
      <c r="EX64" s="21">
        <f>EXP(-LN(2)/2)*EX63+(1-EXP(-LN(2)/2))/(LN(2)/2)*ER64*EU64*VLOOKUP('Données projet'!$B$15,Paramètres!$A$1:$I$89,3,0)*0.475*44/12</f>
        <v>1.1751361102184174E-4</v>
      </c>
      <c r="EY64" s="22">
        <f t="shared" si="21"/>
        <v>8.5828743881472249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108.5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11.5</v>
      </c>
      <c r="FE64" s="12">
        <f>IF('Données projet'!$A$218&gt;35,FE63+FD64-FM63,IF(A64&lt;'Données projet'!$A$218,$FB$205^A64,IF(A64='Données projet'!$A$218,'Données projet'!$B$218,FE63+FD64-FM63)))</f>
        <v>317.49999999999983</v>
      </c>
      <c r="FF64" s="17">
        <f>FE64*VLOOKUP('Données projet'!$B$16,Paramètres!$A$1:$I$89,3,0)*VLOOKUP('Données projet'!$B$16,Paramètres!$A$1:$I$89,5,0)</f>
        <v>181.60999999999993</v>
      </c>
      <c r="FG64" s="13">
        <f t="shared" si="47"/>
        <v>45.680195657252291</v>
      </c>
      <c r="FH64" s="20">
        <f t="shared" si="22"/>
        <v>395.86375743638092</v>
      </c>
      <c r="FI64" s="59">
        <f t="shared" si="23"/>
        <v>830.36375743638087</v>
      </c>
      <c r="FJ64" s="59">
        <f ca="1">AVERAGE(OFFSET($FI$3,0,0,'Données projet'!$E$16+1,1))-AVERAGE(OFFSET($H$3,0,0,'Données projet'!$E$16+1,1))</f>
        <v>242.10913976205194</v>
      </c>
      <c r="FK64" s="59">
        <f t="shared" si="48"/>
        <v>198.24795425321133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4.5882575566129544</v>
      </c>
      <c r="FS64" s="21">
        <f>EXP(-LN(2)/2)*FS63+(1-EXP(-LN(2)/2))/(LN(2)/2)*FM64*FP64*VLOOKUP('Données projet'!$B$16,Paramètres!$A$1:$I$89,3,0)*0.475*44/12</f>
        <v>2.8533473202378343E-4</v>
      </c>
      <c r="FT64" s="22">
        <f t="shared" si="24"/>
        <v>4.5885428913449786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108.5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108.5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30.32171999999996</v>
      </c>
      <c r="D65" s="11">
        <f t="shared" si="32"/>
        <v>9.3935500075491571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168.61570775134891</v>
      </c>
      <c r="H65" s="67">
        <f t="shared" si="1"/>
        <v>467.00409526314803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108.5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4.0999999999999996</v>
      </c>
      <c r="N65" s="13">
        <f>IF('Données projet'!$A$36&gt;35,N64+M65-V64,IF(A65&lt;'Données projet'!$A$36,$K$205^A65,IF(A65='Données projet'!$A$36,'Données projet'!$B$36,N64+M65-V64)))</f>
        <v>241.19999999999973</v>
      </c>
      <c r="O65" s="13">
        <f>N65*VLOOKUP('Données projet'!$B$9,Paramètres!$A$1:$I$89,3,0)*VLOOKUP('Données projet'!$B$9,Paramètres!$A$1:$I$89,5,0)</f>
        <v>195.6614399999998</v>
      </c>
      <c r="P65" s="13">
        <f t="shared" si="33"/>
        <v>48.789469927948474</v>
      </c>
      <c r="Q65" s="20">
        <f t="shared" si="53"/>
        <v>425.75200145784316</v>
      </c>
      <c r="R65" s="59">
        <f t="shared" si="0"/>
        <v>860.25200145784311</v>
      </c>
      <c r="S65" s="59">
        <f ca="1">AVERAGE(OFFSET($R$3,0,0,'Données projet'!$E$9+1,1))-AVERAGE(OFFSET($H$3,0,0,'Données projet'!$E$9+1,1))</f>
        <v>273.89826011924487</v>
      </c>
      <c r="T65" s="59">
        <f t="shared" si="34"/>
        <v>332.17519939974227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3.5028875926737713</v>
      </c>
      <c r="AB65" s="21">
        <f>EXP(-LN(2)/2)*AB64+(1-EXP(-LN(2)/2))/(LN(2)/2)*V65*Y65*VLOOKUP('Données projet'!$B$9,Paramètres!$A$1:$I$89,3,0)*0.475*44/12</f>
        <v>1.6742812106486363E-4</v>
      </c>
      <c r="AC65" s="22">
        <f t="shared" si="3"/>
        <v>3.5030550207948363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108.5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15.5</v>
      </c>
      <c r="AI65" s="13">
        <f>IF('Données projet'!$A$62&gt;35,AI64+AH65-AQ64,IF(A65&lt;'Données projet'!$A$62,$AF$205^A65,IF(A65='Données projet'!$A$62,'Données projet'!$B$62,AI64+AH65-AQ64)))</f>
        <v>322.39999999999986</v>
      </c>
      <c r="AJ65" s="13">
        <f>AI65*VLOOKUP('Données projet'!$B$10,Paramètres!$A$1:$I$89,3,0)*VLOOKUP('Données projet'!$B$10,Paramètres!$A$1:$I$89,5,0)</f>
        <v>150.88319999999993</v>
      </c>
      <c r="AK65" s="13">
        <f t="shared" si="35"/>
        <v>38.779227360583164</v>
      </c>
      <c r="AL65" s="20">
        <f t="shared" si="4"/>
        <v>330.32872765301551</v>
      </c>
      <c r="AM65" s="59">
        <f t="shared" si="5"/>
        <v>764.82872765301545</v>
      </c>
      <c r="AN65" s="59">
        <f ca="1">AVERAGE(OFFSET($AM$3,0,0,'Données projet'!$E$10+1,1))-AVERAGE(OFFSET($H$3,0,0,'Données projet'!$E$10+1,1))</f>
        <v>293.42903587188346</v>
      </c>
      <c r="AO65" s="59">
        <f t="shared" si="36"/>
        <v>267.80827667062124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1.6632294092766344</v>
      </c>
      <c r="AV65" s="21">
        <f>EXP(-LN(2)/25)*AV64+(1-EXP(-LN(2)/25))/(LN(2)/25)*Calculateur!AQ65*Calculateur!AS65*VLOOKUP('Données projet'!$B$10,Paramètres!$A$1:$I$89,3,0)*0.475*44/12</f>
        <v>3.2348449392072207</v>
      </c>
      <c r="AW65" s="21">
        <f>EXP(-LN(2)/2)*AW64+(1-EXP(-LN(2)/2))/(LN(2)/2)*AQ65*AT65*VLOOKUP('Données projet'!$B$10,Paramètres!$A$1:$I$89,3,0)*0.475*44/12</f>
        <v>1.5002710693811023E-4</v>
      </c>
      <c r="AX65" s="21">
        <f t="shared" si="6"/>
        <v>4.898224375590793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108.5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</v>
      </c>
      <c r="BD65" s="12">
        <f>IF('Données projet'!$A$88&gt;35,BD64+BC65-BL64,IF(A65&lt;'Données projet'!$A$88,$BA$205^A65,IF(A65='Données projet'!$A$88,'Données projet'!$B$88,BD64+BC65-BL64)))</f>
        <v>207.00000000000017</v>
      </c>
      <c r="BE65" s="13">
        <f>BD65*VLOOKUP('Données projet'!$B$11,Paramètres!$A$1:$I$89,3,0)*VLOOKUP('Données projet'!$B$11,Paramètres!$A$1:$I$89,5,0)</f>
        <v>187.29360000000014</v>
      </c>
      <c r="BF65" s="13">
        <f t="shared" si="37"/>
        <v>46.941107550760456</v>
      </c>
      <c r="BG65" s="20">
        <f t="shared" si="7"/>
        <v>407.95878231757462</v>
      </c>
      <c r="BH65" s="59">
        <f t="shared" si="8"/>
        <v>842.45878231757456</v>
      </c>
      <c r="BI65" s="59">
        <f ca="1">AVERAGE(OFFSET($BH$3,0,0,'Données projet'!$E$11+1,1))-AVERAGE(OFFSET($H$3,0,0,'Données projet'!$E$11+1,1))</f>
        <v>324.41828402031939</v>
      </c>
      <c r="BJ65" s="59">
        <f t="shared" si="38"/>
        <v>233.01060088065992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1.2790113895255759</v>
      </c>
      <c r="BR65" s="21">
        <f>EXP(-LN(2)/2)*BR64+(1-EXP(-LN(2)/2))/(LN(2)/2)*BL65*BO65*VLOOKUP('Données projet'!$B$11,Paramètres!$A$1:$I$89,3,0)*0.475*44/12</f>
        <v>9.4441953345160328E-5</v>
      </c>
      <c r="BS65" s="22">
        <f t="shared" si="9"/>
        <v>1.279105831478921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108.5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8.5</v>
      </c>
      <c r="BY65" s="12">
        <f>IF('Données projet'!$A$114&gt;35,BY64+BX65-CG64,IF(A65&lt;'Données projet'!$A$114,$BV$205^A65,IF(A65='Données projet'!$A$114,'Données projet'!$B$114,BY64+BX65-CG64)))</f>
        <v>343.00000000000023</v>
      </c>
      <c r="BZ65" s="13">
        <f>BY65*VLOOKUP('Données projet'!$B$12,Paramètres!$A$1:$I$89,3,0)*VLOOKUP('Données projet'!$B$12,Paramètres!$A$1:$I$89,5,0)</f>
        <v>187.27800000000013</v>
      </c>
      <c r="CA65" s="13">
        <f t="shared" si="39"/>
        <v>46.937652831145158</v>
      </c>
      <c r="CB65" s="20">
        <f t="shared" si="10"/>
        <v>407.92559534757805</v>
      </c>
      <c r="CC65" s="59">
        <f t="shared" si="11"/>
        <v>842.42559534757811</v>
      </c>
      <c r="CD65" s="59">
        <f ca="1">AVERAGE(OFFSET($CC$3,0,0,'Données projet'!$E$12+1,1))-AVERAGE(OFFSET($H$3,0,0,'Données projet'!$E$12+1,1))</f>
        <v>279.00060755204919</v>
      </c>
      <c r="CE65" s="59">
        <f t="shared" si="40"/>
        <v>333.91128554211014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3.8739508522664323</v>
      </c>
      <c r="CL65" s="21">
        <f>EXP(-LN(2)/25)*CL64+(1-EXP(-LN(2)/25))/(LN(2)/25)*Calculateur!CG65*Calculateur!CI65*VLOOKUP('Données projet'!$B$12,Paramètres!$A$1:$I$89,3,0)*0.475*44/12</f>
        <v>11.460562856029345</v>
      </c>
      <c r="CM65" s="21">
        <f>EXP(-LN(2)/2)*CM64+(1-EXP(-LN(2)/2))/(LN(2)/2)*CG65*CJ65*VLOOKUP('Données projet'!$B$12,Paramètres!$A$1:$I$89,3,0)*0.475*44/12</f>
        <v>3.2888624171984365E-4</v>
      </c>
      <c r="CN65" s="22">
        <f t="shared" si="12"/>
        <v>15.334842594537497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108.5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11.8</v>
      </c>
      <c r="CT65" s="12">
        <f>IF('Données projet'!$A$140&gt;35,CT64+CS65-DB64,IF(A65&lt;'Données projet'!$A$140,$CQ$205^A65,IF(A65='Données projet'!$A$140,'Données projet'!$B$140,CT64+CS65-DB64)))</f>
        <v>458.60000000000019</v>
      </c>
      <c r="CU65" s="17">
        <f>CT65*VLOOKUP('Données projet'!$B$13,Paramètres!$A$1:$I$89,3,0)*VLOOKUP('Données projet'!$B$13,Paramètres!$A$1:$I$89,5,0)</f>
        <v>274.24280000000016</v>
      </c>
      <c r="CV65" s="13">
        <f t="shared" si="41"/>
        <v>65.748879809090127</v>
      </c>
      <c r="CW65" s="20">
        <f t="shared" si="13"/>
        <v>592.15217566749891</v>
      </c>
      <c r="CX65" s="59">
        <f t="shared" si="14"/>
        <v>1026.6521756674988</v>
      </c>
      <c r="CY65" s="59">
        <f ca="1">AVERAGE(OFFSET($CX$3,0,0,'Données projet'!$E$13+1,1))-AVERAGE(OFFSET($H$3,0,0,'Données projet'!$E$13+1,1))</f>
        <v>380.01315081072897</v>
      </c>
      <c r="CZ65" s="59">
        <f t="shared" si="42"/>
        <v>404.90871625409181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1.8562681167109996</v>
      </c>
      <c r="DG65" s="21">
        <f>EXP(-LN(2)/25)*DG64+(1-EXP(-LN(2)/25))/(LN(2)/25)*Calculateur!DB65*Calculateur!DD65*VLOOKUP('Données projet'!$B$13,Paramètres!$A$1:$I$89,3,0)*0.475*44/12</f>
        <v>8.7876001043765886</v>
      </c>
      <c r="DH65" s="21">
        <f>EXP(-LN(2)/2)*DH64+(1-EXP(-LN(2)/2))/(LN(2)/2)*DB65*DE65*VLOOKUP('Données projet'!$B$13,Paramètres!$A$1:$I$89,3,0)*0.475*44/12</f>
        <v>4.6239218316908287E-4</v>
      </c>
      <c r="DI65" s="22">
        <f t="shared" si="15"/>
        <v>10.644330613270757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108.5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-5.6843418860808015E-14</v>
      </c>
      <c r="DP65" s="17">
        <f>DO65*VLOOKUP('Données projet'!$B$14,Paramètres!$A$1:$I$89,3,0)*VLOOKUP('Données projet'!$B$14,Paramètres!$A$1:$I$89,5,0)</f>
        <v>-5.1431925385259088E-14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320.81451813551064</v>
      </c>
      <c r="DU65" s="59">
        <f t="shared" si="44"/>
        <v>522.80818268773976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0.97395134272723305</v>
      </c>
      <c r="EB65" s="21">
        <f>EXP(-LN(2)/25)*EB64+(1-EXP(-LN(2)/25))/(LN(2)/25)*Calculateur!DW65*Calculateur!DY65*VLOOKUP('Données projet'!$B$14,Paramètres!$A$1:$I$89,3,0)*0.475*44/12</f>
        <v>4.2933632122994521</v>
      </c>
      <c r="EC65" s="21">
        <f>EXP(-LN(2)/2)*EC64+(1-EXP(-LN(2)/2))/(LN(2)/2)*DW65*DZ65*VLOOKUP('Données projet'!$B$14,Paramètres!$A$1:$I$89,3,0)*0.475*44/12</f>
        <v>9.1383110132391748E-5</v>
      </c>
      <c r="ED65" s="22">
        <f t="shared" si="18"/>
        <v>5.2674059381368172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108.5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>
        <f>VLOOKUP(A65,'Données projet'!$A$191:$I$211,2,0)</f>
        <v>316</v>
      </c>
      <c r="EH65" s="12">
        <f>VLOOKUP(A65,'Données projet'!$A$191:$I$211,9,0)</f>
        <v>2.625</v>
      </c>
      <c r="EI65" s="12">
        <f t="array" ref="EI65">INDEX(EH:EH,MIN(IF(ISNUMBER(EH65:EH261),ROW(EH65:EH261),"")))</f>
        <v>2.625</v>
      </c>
      <c r="EJ65" s="12">
        <f>IF('Données projet'!$A$192&gt;35,EJ64+EI65-ER64,IF(A65&lt;'Données projet'!$A$192,$EG$205^A65,IF(A65='Données projet'!$A$192,'Données projet'!$B$192,EJ64+EI65-ER64)))</f>
        <v>316</v>
      </c>
      <c r="EK65" s="17">
        <f>EJ65*VLOOKUP('Données projet'!$B$15,Paramètres!$A$1:$I$89,3,0)*VLOOKUP('Données projet'!$B$15,Paramètres!$A$1:$I$89,5,0)</f>
        <v>188.96800000000002</v>
      </c>
      <c r="EL65" s="13">
        <f t="shared" si="45"/>
        <v>47.311720031947068</v>
      </c>
      <c r="EM65" s="20">
        <f t="shared" si="19"/>
        <v>411.52051238897451</v>
      </c>
      <c r="EN65" s="59">
        <f t="shared" si="20"/>
        <v>846.02051238897457</v>
      </c>
      <c r="EO65" s="59">
        <f ca="1">AVERAGE(OFFSET($EN$3,0,0,'Données projet'!$E$15+1,1))-AVERAGE(OFFSET($H$3,0,0,'Données projet'!$E$15+1,1))</f>
        <v>228.3393311631487</v>
      </c>
      <c r="EP65" s="59">
        <f t="shared" si="46"/>
        <v>266.26050497804033</v>
      </c>
      <c r="EQ65" s="15">
        <f>IF(ISNA(VLOOKUP(A65,'Données projet'!$A$191:$I$211,3,0)),0,VLOOKUP(A65,'Données projet'!$A$191:$I$211,3,0))</f>
        <v>9</v>
      </c>
      <c r="ER65" s="15">
        <f>IF(ISNA(VLOOKUP(A65,'Données projet'!$A$191:$I$211,4,0)),0,VLOOKUP(A65,'Données projet'!$A$191:$I$211,4,0))</f>
        <v>316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3.2962678405724826</v>
      </c>
      <c r="EW65" s="21">
        <f>EXP(-LN(2)/25)*EW64+(1-EXP(-LN(2)/25))/(LN(2)/25)*Calculateur!ER65*Calculateur!ET65*VLOOKUP('Données projet'!$B$15,Paramètres!$A$1:$I$89,3,0)*0.475*44/12</f>
        <v>5.0778019288474718</v>
      </c>
      <c r="EX65" s="21">
        <f>EXP(-LN(2)/2)*EX64+(1-EXP(-LN(2)/2))/(LN(2)/2)*ER65*EU65*VLOOKUP('Données projet'!$B$15,Paramètres!$A$1:$I$89,3,0)*0.475*44/12</f>
        <v>8.309467123526251E-5</v>
      </c>
      <c r="EY65" s="22">
        <f t="shared" si="21"/>
        <v>8.3741528640911884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108.5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11.5</v>
      </c>
      <c r="FE65" s="12">
        <f>IF('Données projet'!$A$218&gt;35,FE64+FD65-FM64,IF(A65&lt;'Données projet'!$A$218,$FB$205^A65,IF(A65='Données projet'!$A$218,'Données projet'!$B$218,FE64+FD65-FM64)))</f>
        <v>328.99999999999983</v>
      </c>
      <c r="FF65" s="17">
        <f>FE65*VLOOKUP('Données projet'!$B$16,Paramètres!$A$1:$I$89,3,0)*VLOOKUP('Données projet'!$B$16,Paramètres!$A$1:$I$89,5,0)</f>
        <v>188.18799999999993</v>
      </c>
      <c r="FG65" s="13">
        <f t="shared" si="47"/>
        <v>47.139122230395245</v>
      </c>
      <c r="FH65" s="20">
        <f t="shared" si="22"/>
        <v>409.86140455127156</v>
      </c>
      <c r="FI65" s="59">
        <f t="shared" si="23"/>
        <v>844.36140455127156</v>
      </c>
      <c r="FJ65" s="59">
        <f ca="1">AVERAGE(OFFSET($FI$3,0,0,'Données projet'!$E$16+1,1))-AVERAGE(OFFSET($H$3,0,0,'Données projet'!$E$16+1,1))</f>
        <v>242.10913976205194</v>
      </c>
      <c r="FK65" s="59">
        <f t="shared" si="48"/>
        <v>198.24795425321133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4.462791412441395</v>
      </c>
      <c r="FS65" s="21">
        <f>EXP(-LN(2)/2)*FS64+(1-EXP(-LN(2)/2))/(LN(2)/2)*FM65*FP65*VLOOKUP('Données projet'!$B$16,Paramètres!$A$1:$I$89,3,0)*0.475*44/12</f>
        <v>2.0176212392206361E-4</v>
      </c>
      <c r="FT65" s="22">
        <f t="shared" si="24"/>
        <v>4.4629931745653169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108.5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108.5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30.810779999999959</v>
      </c>
      <c r="D66" s="11">
        <f t="shared" si="32"/>
        <v>9.5272983258452815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171.25991148867629</v>
      </c>
      <c r="H66" s="67">
        <f t="shared" si="1"/>
        <v>468.08881975084711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108.5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4.0999999999999996</v>
      </c>
      <c r="N66" s="13">
        <f>IF('Données projet'!$A$36&gt;35,N65+M66-V65,IF(A66&lt;'Données projet'!$A$36,$K$205^A66,IF(A66='Données projet'!$A$36,'Données projet'!$B$36,N65+M66-V65)))</f>
        <v>245.29999999999973</v>
      </c>
      <c r="O66" s="13">
        <f>N66*VLOOKUP('Données projet'!$B$9,Paramètres!$A$1:$I$89,3,0)*VLOOKUP('Données projet'!$B$9,Paramètres!$A$1:$I$89,5,0)</f>
        <v>198.9873599999998</v>
      </c>
      <c r="P66" s="13">
        <f t="shared" si="33"/>
        <v>49.521554399108588</v>
      </c>
      <c r="Q66" s="20">
        <f t="shared" si="53"/>
        <v>432.81969257844707</v>
      </c>
      <c r="R66" s="59">
        <f t="shared" si="0"/>
        <v>867.31969257844707</v>
      </c>
      <c r="S66" s="59">
        <f ca="1">AVERAGE(OFFSET($R$3,0,0,'Données projet'!$E$9+1,1))-AVERAGE(OFFSET($H$3,0,0,'Données projet'!$E$9+1,1))</f>
        <v>273.89826011924487</v>
      </c>
      <c r="T66" s="59">
        <f t="shared" si="34"/>
        <v>332.17519939974227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3.4071009472432543</v>
      </c>
      <c r="AB66" s="21">
        <f>EXP(-LN(2)/2)*AB65+(1-EXP(-LN(2)/2))/(LN(2)/2)*V66*Y66*VLOOKUP('Données projet'!$B$9,Paramètres!$A$1:$I$89,3,0)*0.475*44/12</f>
        <v>1.1838955976628733E-4</v>
      </c>
      <c r="AC66" s="22">
        <f t="shared" si="3"/>
        <v>3.4072193368030206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108.5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15.5</v>
      </c>
      <c r="AI66" s="13">
        <f>IF('Données projet'!$A$62&gt;35,AI65+AH66-AQ65,IF(A66&lt;'Données projet'!$A$62,$AF$205^A66,IF(A66='Données projet'!$A$62,'Données projet'!$B$62,AI65+AH66-AQ65)))</f>
        <v>337.89999999999986</v>
      </c>
      <c r="AJ66" s="13">
        <f>AI66*VLOOKUP('Données projet'!$B$10,Paramètres!$A$1:$I$89,3,0)*VLOOKUP('Données projet'!$B$10,Paramètres!$A$1:$I$89,5,0)</f>
        <v>158.13719999999995</v>
      </c>
      <c r="AK66" s="13">
        <f t="shared" si="35"/>
        <v>40.422069728367696</v>
      </c>
      <c r="AL66" s="20">
        <f t="shared" si="4"/>
        <v>345.82406144357361</v>
      </c>
      <c r="AM66" s="59">
        <f t="shared" si="5"/>
        <v>780.32406144357356</v>
      </c>
      <c r="AN66" s="59">
        <f ca="1">AVERAGE(OFFSET($AM$3,0,0,'Données projet'!$E$10+1,1))-AVERAGE(OFFSET($H$3,0,0,'Données projet'!$E$10+1,1))</f>
        <v>293.42903587188346</v>
      </c>
      <c r="AO66" s="59">
        <f t="shared" si="36"/>
        <v>267.80827667062124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1.6306144950304886</v>
      </c>
      <c r="AV66" s="21">
        <f>EXP(-LN(2)/25)*AV65+(1-EXP(-LN(2)/25))/(LN(2)/25)*Calculateur!AQ66*Calculateur!AS66*VLOOKUP('Données projet'!$B$10,Paramètres!$A$1:$I$89,3,0)*0.475*44/12</f>
        <v>3.1463879342314973</v>
      </c>
      <c r="AW66" s="21">
        <f>EXP(-LN(2)/2)*AW65+(1-EXP(-LN(2)/2))/(LN(2)/2)*AQ66*AT66*VLOOKUP('Données projet'!$B$10,Paramètres!$A$1:$I$89,3,0)*0.475*44/12</f>
        <v>1.0608518467773708E-4</v>
      </c>
      <c r="AX66" s="21">
        <f t="shared" si="6"/>
        <v>4.7771085144466632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108.5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</v>
      </c>
      <c r="BD66" s="12">
        <f>IF('Données projet'!$A$88&gt;35,BD65+BC66-BL65,IF(A66&lt;'Données projet'!$A$88,$BA$205^A66,IF(A66='Données projet'!$A$88,'Données projet'!$B$88,BD65+BC66-BL65)))</f>
        <v>214.00000000000017</v>
      </c>
      <c r="BE66" s="13">
        <f>BD66*VLOOKUP('Données projet'!$B$11,Paramètres!$A$1:$I$89,3,0)*VLOOKUP('Données projet'!$B$11,Paramètres!$A$1:$I$89,5,0)</f>
        <v>193.62720000000016</v>
      </c>
      <c r="BF66" s="13">
        <f t="shared" si="37"/>
        <v>48.340990547231236</v>
      </c>
      <c r="BG66" s="20">
        <f t="shared" si="7"/>
        <v>421.42793186976132</v>
      </c>
      <c r="BH66" s="59">
        <f t="shared" si="8"/>
        <v>855.92793186976132</v>
      </c>
      <c r="BI66" s="59">
        <f ca="1">AVERAGE(OFFSET($BH$3,0,0,'Données projet'!$E$11+1,1))-AVERAGE(OFFSET($H$3,0,0,'Données projet'!$E$11+1,1))</f>
        <v>324.41828402031939</v>
      </c>
      <c r="BJ66" s="59">
        <f t="shared" si="38"/>
        <v>233.01060088065992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1.2440367558187133</v>
      </c>
      <c r="BR66" s="21">
        <f>EXP(-LN(2)/2)*BR65+(1-EXP(-LN(2)/2))/(LN(2)/2)*BL66*BO66*VLOOKUP('Données projet'!$B$11,Paramètres!$A$1:$I$89,3,0)*0.475*44/12</f>
        <v>6.6780545638866413E-5</v>
      </c>
      <c r="BS66" s="22">
        <f t="shared" si="9"/>
        <v>1.2441035363643522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108.5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8.5</v>
      </c>
      <c r="BY66" s="12">
        <f>IF('Données projet'!$A$114&gt;35,BY65+BX66-CG65,IF(A66&lt;'Données projet'!$A$114,$BV$205^A66,IF(A66='Données projet'!$A$114,'Données projet'!$B$114,BY65+BX66-CG65)))</f>
        <v>351.50000000000023</v>
      </c>
      <c r="BZ66" s="13">
        <f>BY66*VLOOKUP('Données projet'!$B$12,Paramètres!$A$1:$I$89,3,0)*VLOOKUP('Données projet'!$B$12,Paramètres!$A$1:$I$89,5,0)</f>
        <v>191.91900000000012</v>
      </c>
      <c r="CA66" s="13">
        <f t="shared" si="39"/>
        <v>47.963968046563231</v>
      </c>
      <c r="CB66" s="20">
        <f t="shared" si="10"/>
        <v>417.79616934776453</v>
      </c>
      <c r="CC66" s="59">
        <f t="shared" si="11"/>
        <v>852.29616934776459</v>
      </c>
      <c r="CD66" s="59">
        <f ca="1">AVERAGE(OFFSET($CC$3,0,0,'Données projet'!$E$12+1,1))-AVERAGE(OFFSET($H$3,0,0,'Données projet'!$E$12+1,1))</f>
        <v>279.00060755204919</v>
      </c>
      <c r="CE66" s="59">
        <f t="shared" si="40"/>
        <v>333.91128554211014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3.7979850389301926</v>
      </c>
      <c r="CL66" s="21">
        <f>EXP(-LN(2)/25)*CL65+(1-EXP(-LN(2)/25))/(LN(2)/25)*Calculateur!CG66*Calculateur!CI66*VLOOKUP('Données projet'!$B$12,Paramètres!$A$1:$I$89,3,0)*0.475*44/12</f>
        <v>11.147173162046416</v>
      </c>
      <c r="CM66" s="21">
        <f>EXP(-LN(2)/2)*CM65+(1-EXP(-LN(2)/2))/(LN(2)/2)*CG66*CJ66*VLOOKUP('Données projet'!$B$12,Paramètres!$A$1:$I$89,3,0)*0.475*44/12</f>
        <v>2.3255769175905947E-4</v>
      </c>
      <c r="CN66" s="22">
        <f t="shared" si="12"/>
        <v>14.945390758668369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108.5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11.8</v>
      </c>
      <c r="CT66" s="12">
        <f>IF('Données projet'!$A$140&gt;35,CT65+CS66-DB65,IF(A66&lt;'Données projet'!$A$140,$CQ$205^A66,IF(A66='Données projet'!$A$140,'Données projet'!$B$140,CT65+CS66-DB65)))</f>
        <v>470.4000000000002</v>
      </c>
      <c r="CU66" s="17">
        <f>CT66*VLOOKUP('Données projet'!$B$13,Paramètres!$A$1:$I$89,3,0)*VLOOKUP('Données projet'!$B$13,Paramètres!$A$1:$I$89,5,0)</f>
        <v>281.29920000000016</v>
      </c>
      <c r="CV66" s="13">
        <f t="shared" si="41"/>
        <v>67.241493172476709</v>
      </c>
      <c r="CW66" s="20">
        <f t="shared" si="13"/>
        <v>607.04170727539702</v>
      </c>
      <c r="CX66" s="59">
        <f t="shared" si="14"/>
        <v>1041.5417072753971</v>
      </c>
      <c r="CY66" s="59">
        <f ca="1">AVERAGE(OFFSET($CX$3,0,0,'Données projet'!$E$13+1,1))-AVERAGE(OFFSET($H$3,0,0,'Données projet'!$E$13+1,1))</f>
        <v>380.01315081072897</v>
      </c>
      <c r="CZ66" s="59">
        <f t="shared" si="42"/>
        <v>404.90871625409181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1.8198678311540515</v>
      </c>
      <c r="DG66" s="21">
        <f>EXP(-LN(2)/25)*DG65+(1-EXP(-LN(2)/25))/(LN(2)/25)*Calculateur!DB66*Calculateur!DD66*VLOOKUP('Données projet'!$B$13,Paramètres!$A$1:$I$89,3,0)*0.475*44/12</f>
        <v>8.5473027174026051</v>
      </c>
      <c r="DH66" s="21">
        <f>EXP(-LN(2)/2)*DH65+(1-EXP(-LN(2)/2))/(LN(2)/2)*DB66*DE66*VLOOKUP('Données projet'!$B$13,Paramètres!$A$1:$I$89,3,0)*0.475*44/12</f>
        <v>3.2696064828651068E-4</v>
      </c>
      <c r="DI66" s="22">
        <f t="shared" si="15"/>
        <v>10.367497509204942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108.5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-5.6843418860808015E-14</v>
      </c>
      <c r="DP66" s="17">
        <f>DO66*VLOOKUP('Données projet'!$B$14,Paramètres!$A$1:$I$89,3,0)*VLOOKUP('Données projet'!$B$14,Paramètres!$A$1:$I$89,5,0)</f>
        <v>-5.1431925385259088E-14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320.81451813551064</v>
      </c>
      <c r="DU66" s="59">
        <f t="shared" si="44"/>
        <v>522.80818268773976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0.95485275094801336</v>
      </c>
      <c r="EB66" s="21">
        <f>EXP(-LN(2)/25)*EB65+(1-EXP(-LN(2)/25))/(LN(2)/25)*Calculateur!DW66*Calculateur!DY66*VLOOKUP('Données projet'!$B$14,Paramètres!$A$1:$I$89,3,0)*0.475*44/12</f>
        <v>4.1759609694809647</v>
      </c>
      <c r="EC66" s="21">
        <f>EXP(-LN(2)/2)*EC65+(1-EXP(-LN(2)/2))/(LN(2)/2)*DW66*DZ66*VLOOKUP('Données projet'!$B$14,Paramètres!$A$1:$I$89,3,0)*0.475*44/12</f>
        <v>6.4617616860531305E-5</v>
      </c>
      <c r="ED66" s="22">
        <f t="shared" si="18"/>
        <v>5.1308783380458394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108.5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228.3393311631487</v>
      </c>
      <c r="EP66" s="59">
        <f t="shared" si="46"/>
        <v>266.26050497804033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3.2316300387437162</v>
      </c>
      <c r="EW66" s="21">
        <f>EXP(-LN(2)/25)*EW65+(1-EXP(-LN(2)/25))/(LN(2)/25)*Calculateur!ER66*Calculateur!ET66*VLOOKUP('Données projet'!$B$15,Paramètres!$A$1:$I$89,3,0)*0.475*44/12</f>
        <v>4.9389491680731394</v>
      </c>
      <c r="EX66" s="21">
        <f>EXP(-LN(2)/2)*EX65+(1-EXP(-LN(2)/2))/(LN(2)/2)*ER66*EU66*VLOOKUP('Données projet'!$B$15,Paramètres!$A$1:$I$89,3,0)*0.475*44/12</f>
        <v>5.8756805510920875E-5</v>
      </c>
      <c r="EY66" s="22">
        <f t="shared" si="21"/>
        <v>8.1706379636223669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108.5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11.5</v>
      </c>
      <c r="FE66" s="12">
        <f>IF('Données projet'!$A$218&gt;35,FE65+FD66-FM65,IF(A66&lt;'Données projet'!$A$218,$FB$205^A66,IF(A66='Données projet'!$A$218,'Données projet'!$B$218,FE65+FD66-FM65)))</f>
        <v>340.49999999999983</v>
      </c>
      <c r="FF66" s="17">
        <f>FE66*VLOOKUP('Données projet'!$B$16,Paramètres!$A$1:$I$89,3,0)*VLOOKUP('Données projet'!$B$16,Paramètres!$A$1:$I$89,5,0)</f>
        <v>194.76599999999993</v>
      </c>
      <c r="FG66" s="13">
        <f t="shared" si="47"/>
        <v>48.592123663984928</v>
      </c>
      <c r="FH66" s="20">
        <f t="shared" si="22"/>
        <v>423.84873204810697</v>
      </c>
      <c r="FI66" s="59">
        <f t="shared" si="23"/>
        <v>858.34873204810697</v>
      </c>
      <c r="FJ66" s="59">
        <f ca="1">AVERAGE(OFFSET($FI$3,0,0,'Données projet'!$E$16+1,1))-AVERAGE(OFFSET($H$3,0,0,'Données projet'!$E$16+1,1))</f>
        <v>242.10913976205194</v>
      </c>
      <c r="FK66" s="59">
        <f t="shared" si="48"/>
        <v>198.24795425321133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4.3407561465801843</v>
      </c>
      <c r="FS66" s="21">
        <f>EXP(-LN(2)/2)*FS65+(1-EXP(-LN(2)/2))/(LN(2)/2)*FM66*FP66*VLOOKUP('Données projet'!$B$16,Paramètres!$A$1:$I$89,3,0)*0.475*44/12</f>
        <v>1.4266736601189171E-4</v>
      </c>
      <c r="FT66" s="22">
        <f t="shared" si="24"/>
        <v>4.3408988139461959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108.5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108.5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31.299839999999957</v>
      </c>
      <c r="D67" s="11">
        <f t="shared" si="32"/>
        <v>9.6607997453867274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173.90306698918562</v>
      </c>
      <c r="H67" s="67">
        <f t="shared" si="1"/>
        <v>469.17311422321512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108.5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4.0999999999999996</v>
      </c>
      <c r="N67" s="13">
        <f>IF('Données projet'!$A$36&gt;35,N66+M67-V66,IF(A67&lt;'Données projet'!$A$36,$K$205^A67,IF(A67='Données projet'!$A$36,'Données projet'!$B$36,N66+M67-V66)))</f>
        <v>249.39999999999972</v>
      </c>
      <c r="O67" s="13">
        <f>N67*VLOOKUP('Données projet'!$B$9,Paramètres!$A$1:$I$89,3,0)*VLOOKUP('Données projet'!$B$9,Paramètres!$A$1:$I$89,5,0)</f>
        <v>202.31327999999976</v>
      </c>
      <c r="P67" s="13">
        <f t="shared" si="33"/>
        <v>50.252215888082027</v>
      </c>
      <c r="Q67" s="20">
        <f t="shared" ref="Q67:Q98" si="54">(O67+P67)*0.475*44/12</f>
        <v>439.88490533840906</v>
      </c>
      <c r="R67" s="59">
        <f t="shared" ref="R67:R130" si="55">Q67+(I67+J67)*44/12</f>
        <v>874.384905338409</v>
      </c>
      <c r="S67" s="59">
        <f ca="1">AVERAGE(OFFSET($R$3,0,0,'Données projet'!$E$9+1,1))-AVERAGE(OFFSET($H$3,0,0,'Données projet'!$E$9+1,1))</f>
        <v>273.89826011924487</v>
      </c>
      <c r="T67" s="59">
        <f t="shared" si="34"/>
        <v>332.17519939974227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3.3139335926692359</v>
      </c>
      <c r="AB67" s="21">
        <f>EXP(-LN(2)/2)*AB66+(1-EXP(-LN(2)/2))/(LN(2)/2)*V67*Y67*VLOOKUP('Données projet'!$B$9,Paramètres!$A$1:$I$89,3,0)*0.475*44/12</f>
        <v>8.3714060532431828E-5</v>
      </c>
      <c r="AC67" s="22">
        <f t="shared" si="3"/>
        <v>3.3140173067297685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108.5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15.5</v>
      </c>
      <c r="AI67" s="13">
        <f>IF('Données projet'!$A$62&gt;35,AI66+AH67-AQ66,IF(A67&lt;'Données projet'!$A$62,$AF$205^A67,IF(A67='Données projet'!$A$62,'Données projet'!$B$62,AI66+AH67-AQ66)))</f>
        <v>353.39999999999986</v>
      </c>
      <c r="AJ67" s="13">
        <f>AI67*VLOOKUP('Données projet'!$B$10,Paramètres!$A$1:$I$89,3,0)*VLOOKUP('Données projet'!$B$10,Paramètres!$A$1:$I$89,5,0)</f>
        <v>165.39119999999994</v>
      </c>
      <c r="AK67" s="13">
        <f t="shared" si="35"/>
        <v>42.056160358234834</v>
      </c>
      <c r="AL67" s="20">
        <f t="shared" si="4"/>
        <v>361.30415262392557</v>
      </c>
      <c r="AM67" s="59">
        <f t="shared" si="5"/>
        <v>795.80415262392557</v>
      </c>
      <c r="AN67" s="59">
        <f ca="1">AVERAGE(OFFSET($AM$3,0,0,'Données projet'!$E$10+1,1))-AVERAGE(OFFSET($H$3,0,0,'Données projet'!$E$10+1,1))</f>
        <v>293.42903587188346</v>
      </c>
      <c r="AO67" s="59">
        <f t="shared" si="36"/>
        <v>267.80827667062124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1.5986391393595765</v>
      </c>
      <c r="AV67" s="21">
        <f>EXP(-LN(2)/25)*AV66+(1-EXP(-LN(2)/25))/(LN(2)/25)*Calculateur!AQ67*Calculateur!AS67*VLOOKUP('Données projet'!$B$10,Paramètres!$A$1:$I$89,3,0)*0.475*44/12</f>
        <v>3.0603497907085866</v>
      </c>
      <c r="AW67" s="21">
        <f>EXP(-LN(2)/2)*AW66+(1-EXP(-LN(2)/2))/(LN(2)/2)*AQ67*AT67*VLOOKUP('Données projet'!$B$10,Paramètres!$A$1:$I$89,3,0)*0.475*44/12</f>
        <v>7.5013553469055114E-5</v>
      </c>
      <c r="AX67" s="21">
        <f t="shared" si="6"/>
        <v>4.6590639436216321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108.5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</v>
      </c>
      <c r="BD67" s="12">
        <f>IF('Données projet'!$A$88&gt;35,BD66+BC67-BL66,IF(A67&lt;'Données projet'!$A$88,$BA$205^A67,IF(A67='Données projet'!$A$88,'Données projet'!$B$88,BD66+BC67-BL66)))</f>
        <v>221.00000000000017</v>
      </c>
      <c r="BE67" s="13">
        <f>BD67*VLOOKUP('Données projet'!$B$11,Paramètres!$A$1:$I$89,3,0)*VLOOKUP('Données projet'!$B$11,Paramètres!$A$1:$I$89,5,0)</f>
        <v>199.96080000000015</v>
      </c>
      <c r="BF67" s="13">
        <f t="shared" si="37"/>
        <v>49.735552653569265</v>
      </c>
      <c r="BG67" s="20">
        <f t="shared" si="7"/>
        <v>434.88781420496679</v>
      </c>
      <c r="BH67" s="59">
        <f t="shared" si="8"/>
        <v>869.38781420496684</v>
      </c>
      <c r="BI67" s="59">
        <f ca="1">AVERAGE(OFFSET($BH$3,0,0,'Données projet'!$E$11+1,1))-AVERAGE(OFFSET($H$3,0,0,'Données projet'!$E$11+1,1))</f>
        <v>324.41828402031939</v>
      </c>
      <c r="BJ67" s="59">
        <f t="shared" si="38"/>
        <v>233.01060088065992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1.2100185053098009</v>
      </c>
      <c r="BR67" s="21">
        <f>EXP(-LN(2)/2)*BR66+(1-EXP(-LN(2)/2))/(LN(2)/2)*BL67*BO67*VLOOKUP('Données projet'!$B$11,Paramètres!$A$1:$I$89,3,0)*0.475*44/12</f>
        <v>4.7220976672580164E-5</v>
      </c>
      <c r="BS67" s="22">
        <f t="shared" si="9"/>
        <v>1.2100657262864736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108.5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8.5</v>
      </c>
      <c r="BY67" s="12">
        <f>IF('Données projet'!$A$114&gt;35,BY66+BX67-CG66,IF(A67&lt;'Données projet'!$A$114,$BV$205^A67,IF(A67='Données projet'!$A$114,'Données projet'!$B$114,BY66+BX67-CG66)))</f>
        <v>360.00000000000023</v>
      </c>
      <c r="BZ67" s="13">
        <f>BY67*VLOOKUP('Données projet'!$B$12,Paramètres!$A$1:$I$89,3,0)*VLOOKUP('Données projet'!$B$12,Paramètres!$A$1:$I$89,5,0)</f>
        <v>196.56000000000014</v>
      </c>
      <c r="CA67" s="13">
        <f t="shared" si="39"/>
        <v>48.987398161128134</v>
      </c>
      <c r="CB67" s="20">
        <f t="shared" si="10"/>
        <v>427.66171846396509</v>
      </c>
      <c r="CC67" s="59">
        <f t="shared" si="11"/>
        <v>862.16171846396514</v>
      </c>
      <c r="CD67" s="59">
        <f ca="1">AVERAGE(OFFSET($CC$3,0,0,'Données projet'!$E$12+1,1))-AVERAGE(OFFSET($H$3,0,0,'Données projet'!$E$12+1,1))</f>
        <v>279.00060755204919</v>
      </c>
      <c r="CE67" s="59">
        <f t="shared" si="40"/>
        <v>333.91128554211014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3.7235088688589055</v>
      </c>
      <c r="CL67" s="21">
        <f>EXP(-LN(2)/25)*CL66+(1-EXP(-LN(2)/25))/(LN(2)/25)*Calculateur!CG67*Calculateur!CI67*VLOOKUP('Données projet'!$B$12,Paramètres!$A$1:$I$89,3,0)*0.475*44/12</f>
        <v>10.842353125725896</v>
      </c>
      <c r="CM67" s="21">
        <f>EXP(-LN(2)/2)*CM66+(1-EXP(-LN(2)/2))/(LN(2)/2)*CG67*CJ67*VLOOKUP('Données projet'!$B$12,Paramètres!$A$1:$I$89,3,0)*0.475*44/12</f>
        <v>1.6444312085992185E-4</v>
      </c>
      <c r="CN67" s="22">
        <f t="shared" si="12"/>
        <v>14.566026437705663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108.5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11.8</v>
      </c>
      <c r="CT67" s="12">
        <f>IF('Données projet'!$A$140&gt;35,CT66+CS67-DB66,IF(A67&lt;'Données projet'!$A$140,$CQ$205^A67,IF(A67='Données projet'!$A$140,'Données projet'!$B$140,CT66+CS67-DB66)))</f>
        <v>482.20000000000022</v>
      </c>
      <c r="CU67" s="17">
        <f>CT67*VLOOKUP('Données projet'!$B$13,Paramètres!$A$1:$I$89,3,0)*VLOOKUP('Données projet'!$B$13,Paramètres!$A$1:$I$89,5,0)</f>
        <v>288.35560000000015</v>
      </c>
      <c r="CV67" s="13">
        <f t="shared" si="41"/>
        <v>68.72975413142585</v>
      </c>
      <c r="CW67" s="20">
        <f t="shared" si="13"/>
        <v>621.92365844556696</v>
      </c>
      <c r="CX67" s="59">
        <f t="shared" si="14"/>
        <v>1056.4236584455671</v>
      </c>
      <c r="CY67" s="59">
        <f ca="1">AVERAGE(OFFSET($CX$3,0,0,'Données projet'!$E$13+1,1))-AVERAGE(OFFSET($H$3,0,0,'Données projet'!$E$13+1,1))</f>
        <v>380.01315081072897</v>
      </c>
      <c r="CZ67" s="59">
        <f t="shared" si="42"/>
        <v>404.90871625409181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1.7841813329948932</v>
      </c>
      <c r="DG67" s="21">
        <f>EXP(-LN(2)/25)*DG66+(1-EXP(-LN(2)/25))/(LN(2)/25)*Calculateur!DB67*Calculateur!DD67*VLOOKUP('Données projet'!$B$13,Paramètres!$A$1:$I$89,3,0)*0.475*44/12</f>
        <v>8.3135762751121156</v>
      </c>
      <c r="DH67" s="21">
        <f>EXP(-LN(2)/2)*DH66+(1-EXP(-LN(2)/2))/(LN(2)/2)*DB67*DE67*VLOOKUP('Données projet'!$B$13,Paramètres!$A$1:$I$89,3,0)*0.475*44/12</f>
        <v>2.3119609158454144E-4</v>
      </c>
      <c r="DI67" s="22">
        <f t="shared" si="15"/>
        <v>10.097988804198595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108.5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-5.6843418860808015E-14</v>
      </c>
      <c r="DP67" s="17">
        <f>DO67*VLOOKUP('Données projet'!$B$14,Paramètres!$A$1:$I$89,3,0)*VLOOKUP('Données projet'!$B$14,Paramètres!$A$1:$I$89,5,0)</f>
        <v>-5.1431925385259088E-14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320.81451813551064</v>
      </c>
      <c r="DU67" s="59">
        <f t="shared" si="44"/>
        <v>522.80818268773976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0.9361286709045934</v>
      </c>
      <c r="EB67" s="21">
        <f>EXP(-LN(2)/25)*EB66+(1-EXP(-LN(2)/25))/(LN(2)/25)*Calculateur!DW67*Calculateur!DY67*VLOOKUP('Données projet'!$B$14,Paramètres!$A$1:$I$89,3,0)*0.475*44/12</f>
        <v>4.0617690971662643</v>
      </c>
      <c r="EC67" s="21">
        <f>EXP(-LN(2)/2)*EC66+(1-EXP(-LN(2)/2))/(LN(2)/2)*DW67*DZ67*VLOOKUP('Données projet'!$B$14,Paramètres!$A$1:$I$89,3,0)*0.475*44/12</f>
        <v>4.5691555066195874E-5</v>
      </c>
      <c r="ED67" s="22">
        <f t="shared" si="18"/>
        <v>4.9979434596259242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108.5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228.3393311631487</v>
      </c>
      <c r="EP67" s="59">
        <f t="shared" si="46"/>
        <v>266.26050497804033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3.1682597447836458</v>
      </c>
      <c r="EW67" s="21">
        <f>EXP(-LN(2)/25)*EW66+(1-EXP(-LN(2)/25))/(LN(2)/25)*Calculateur!ER67*Calculateur!ET67*VLOOKUP('Données projet'!$B$15,Paramètres!$A$1:$I$89,3,0)*0.475*44/12</f>
        <v>4.8038933433441304</v>
      </c>
      <c r="EX67" s="21">
        <f>EXP(-LN(2)/2)*EX66+(1-EXP(-LN(2)/2))/(LN(2)/2)*ER67*EU67*VLOOKUP('Données projet'!$B$15,Paramètres!$A$1:$I$89,3,0)*0.475*44/12</f>
        <v>4.1547335617631262E-5</v>
      </c>
      <c r="EY67" s="22">
        <f t="shared" si="21"/>
        <v>7.972194635463393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108.5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11.5</v>
      </c>
      <c r="FE67" s="12">
        <f>IF('Données projet'!$A$218&gt;35,FE66+FD67-FM66,IF(A67&lt;'Données projet'!$A$218,$FB$205^A67,IF(A67='Données projet'!$A$218,'Données projet'!$B$218,FE66+FD67-FM66)))</f>
        <v>351.99999999999983</v>
      </c>
      <c r="FF67" s="17">
        <f>FE67*VLOOKUP('Données projet'!$B$16,Paramètres!$A$1:$I$89,3,0)*VLOOKUP('Données projet'!$B$16,Paramètres!$A$1:$I$89,5,0)</f>
        <v>201.34399999999994</v>
      </c>
      <c r="FG67" s="13">
        <f t="shared" si="47"/>
        <v>50.039423013820937</v>
      </c>
      <c r="FH67" s="20">
        <f t="shared" si="22"/>
        <v>437.82612841573797</v>
      </c>
      <c r="FI67" s="59">
        <f t="shared" si="23"/>
        <v>872.32612841573791</v>
      </c>
      <c r="FJ67" s="59">
        <f ca="1">AVERAGE(OFFSET($FI$3,0,0,'Données projet'!$E$16+1,1))-AVERAGE(OFFSET($H$3,0,0,'Données projet'!$E$16+1,1))</f>
        <v>242.10913976205194</v>
      </c>
      <c r="FK67" s="59">
        <f t="shared" si="48"/>
        <v>198.24795425321133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4.2220579414815047</v>
      </c>
      <c r="FS67" s="21">
        <f>EXP(-LN(2)/2)*FS66+(1-EXP(-LN(2)/2))/(LN(2)/2)*FM67*FP67*VLOOKUP('Données projet'!$B$16,Paramètres!$A$1:$I$89,3,0)*0.475*44/12</f>
        <v>1.008810619610318E-4</v>
      </c>
      <c r="FT67" s="22">
        <f t="shared" si="24"/>
        <v>4.2221588225434656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108.5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108.5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31.788899999999956</v>
      </c>
      <c r="D68" s="11">
        <f t="shared" si="32"/>
        <v>9.7940585694521527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176.54519252293707</v>
      </c>
      <c r="H68" s="67">
        <f t="shared" ref="H68:H131" si="56">(B68+E68+F68)*44/12+(C68+D68)*0.475*44/12</f>
        <v>470.2569861751291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108.5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4.0999999999999996</v>
      </c>
      <c r="N68" s="13">
        <f>IF('Données projet'!$A$36&gt;35,N67+M68-V67,IF(A68&lt;'Données projet'!$A$36,$K$205^A68,IF(A68='Données projet'!$A$36,'Données projet'!$B$36,N67+M68-V67)))</f>
        <v>253.49999999999972</v>
      </c>
      <c r="O68" s="13">
        <f>N68*VLOOKUP('Données projet'!$B$9,Paramètres!$A$1:$I$89,3,0)*VLOOKUP('Données projet'!$B$9,Paramètres!$A$1:$I$89,5,0)</f>
        <v>205.63919999999976</v>
      </c>
      <c r="P68" s="13">
        <f t="shared" si="33"/>
        <v>50.981480488268076</v>
      </c>
      <c r="Q68" s="20">
        <f t="shared" si="54"/>
        <v>446.94768518373309</v>
      </c>
      <c r="R68" s="59">
        <f t="shared" si="55"/>
        <v>881.44768518373303</v>
      </c>
      <c r="S68" s="59">
        <f ca="1">AVERAGE(OFFSET($R$3,0,0,'Données projet'!$E$9+1,1))-AVERAGE(OFFSET($H$3,0,0,'Données projet'!$E$9+1,1))</f>
        <v>273.89826011924487</v>
      </c>
      <c r="T68" s="59">
        <f t="shared" si="34"/>
        <v>332.17519939974227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3.2233139043055021</v>
      </c>
      <c r="AB68" s="21">
        <f>EXP(-LN(2)/2)*AB67+(1-EXP(-LN(2)/2))/(LN(2)/2)*V68*Y68*VLOOKUP('Données projet'!$B$9,Paramètres!$A$1:$I$89,3,0)*0.475*44/12</f>
        <v>5.919477988314367E-5</v>
      </c>
      <c r="AC68" s="22">
        <f t="shared" ref="AC68:AC131" si="57">SUM(Z68:AB68)</f>
        <v>3.2233730990853853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108.5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15.5</v>
      </c>
      <c r="AI68" s="13">
        <f>IF('Données projet'!$A$62&gt;35,AI67+AH68-AQ67,IF(A68&lt;'Données projet'!$A$62,$AF$205^A68,IF(A68='Données projet'!$A$62,'Données projet'!$B$62,AI67+AH68-AQ67)))</f>
        <v>368.89999999999986</v>
      </c>
      <c r="AJ68" s="13">
        <f>AI68*VLOOKUP('Données projet'!$B$10,Paramètres!$A$1:$I$89,3,0)*VLOOKUP('Données projet'!$B$10,Paramètres!$A$1:$I$89,5,0)</f>
        <v>172.64519999999993</v>
      </c>
      <c r="AK68" s="13">
        <f t="shared" si="35"/>
        <v>43.681926966241704</v>
      </c>
      <c r="AL68" s="20">
        <f t="shared" ref="AL68:AL131" si="58">(AJ68+AK68)*0.475*44/12</f>
        <v>376.76974613287081</v>
      </c>
      <c r="AM68" s="59">
        <f t="shared" ref="AM68:AM131" si="59">AL68+(AD68+AE68)*44/12</f>
        <v>811.26974613287075</v>
      </c>
      <c r="AN68" s="59">
        <f ca="1">AVERAGE(OFFSET($AM$3,0,0,'Données projet'!$E$10+1,1))-AVERAGE(OFFSET($H$3,0,0,'Données projet'!$E$10+1,1))</f>
        <v>293.42903587188346</v>
      </c>
      <c r="AO68" s="59">
        <f t="shared" si="36"/>
        <v>267.80827667062124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1.5672908009103297</v>
      </c>
      <c r="AV68" s="21">
        <f>EXP(-LN(2)/25)*AV67+(1-EXP(-LN(2)/25))/(LN(2)/25)*Calculateur!AQ68*Calculateur!AS68*VLOOKUP('Données projet'!$B$10,Paramètres!$A$1:$I$89,3,0)*0.475*44/12</f>
        <v>2.9766643647448592</v>
      </c>
      <c r="AW68" s="21">
        <f>EXP(-LN(2)/2)*AW67+(1-EXP(-LN(2)/2))/(LN(2)/2)*AQ68*AT68*VLOOKUP('Données projet'!$B$10,Paramètres!$A$1:$I$89,3,0)*0.475*44/12</f>
        <v>5.3042592338868538E-5</v>
      </c>
      <c r="AX68" s="21">
        <f t="shared" ref="AX68:AX131" si="60">SUM(AU68:AW68)</f>
        <v>4.5440082082475275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108.5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</v>
      </c>
      <c r="BD68" s="12">
        <f>IF('Données projet'!$A$88&gt;35,BD67+BC68-BL67,IF(A68&lt;'Données projet'!$A$88,$BA$205^A68,IF(A68='Données projet'!$A$88,'Données projet'!$B$88,BD67+BC68-BL67)))</f>
        <v>228.00000000000017</v>
      </c>
      <c r="BE68" s="13">
        <f>BD68*VLOOKUP('Données projet'!$B$11,Paramètres!$A$1:$I$89,3,0)*VLOOKUP('Données projet'!$B$11,Paramètres!$A$1:$I$89,5,0)</f>
        <v>206.29440000000017</v>
      </c>
      <c r="BF68" s="13">
        <f t="shared" si="37"/>
        <v>51.124981739560774</v>
      </c>
      <c r="BG68" s="20">
        <f t="shared" ref="BG68:BG131" si="61">(BE68+BF68)*0.475*44/12</f>
        <v>448.33875652973529</v>
      </c>
      <c r="BH68" s="59">
        <f t="shared" ref="BH68:BH131" si="62">BG68+(AY68+AZ68)*44/12</f>
        <v>882.83875652973529</v>
      </c>
      <c r="BI68" s="59">
        <f ca="1">AVERAGE(OFFSET($BH$3,0,0,'Données projet'!$E$11+1,1))-AVERAGE(OFFSET($H$3,0,0,'Données projet'!$E$11+1,1))</f>
        <v>324.41828402031939</v>
      </c>
      <c r="BJ68" s="59">
        <f t="shared" si="38"/>
        <v>233.01060088065992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1.1769304856499967</v>
      </c>
      <c r="BR68" s="21">
        <f>EXP(-LN(2)/2)*BR67+(1-EXP(-LN(2)/2))/(LN(2)/2)*BL68*BO68*VLOOKUP('Données projet'!$B$11,Paramètres!$A$1:$I$89,3,0)*0.475*44/12</f>
        <v>3.3390272819433207E-5</v>
      </c>
      <c r="BS68" s="22">
        <f t="shared" ref="BS68:BS131" si="63">SUM(BP68:BR68)</f>
        <v>1.176963875922816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108.5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8.5</v>
      </c>
      <c r="BY68" s="12">
        <f>IF('Données projet'!$A$114&gt;35,BY67+BX68-CG67,IF(A68&lt;'Données projet'!$A$114,$BV$205^A68,IF(A68='Données projet'!$A$114,'Données projet'!$B$114,BY67+BX68-CG67)))</f>
        <v>368.50000000000023</v>
      </c>
      <c r="BZ68" s="13">
        <f>BY68*VLOOKUP('Données projet'!$B$12,Paramètres!$A$1:$I$89,3,0)*VLOOKUP('Données projet'!$B$12,Paramètres!$A$1:$I$89,5,0)</f>
        <v>201.20100000000014</v>
      </c>
      <c r="CA68" s="13">
        <f t="shared" si="39"/>
        <v>50.008019134354747</v>
      </c>
      <c r="CB68" s="20">
        <f t="shared" ref="CB68:CB131" si="64">(BZ68+CA68)*0.475*44/12</f>
        <v>437.52237499233479</v>
      </c>
      <c r="CC68" s="59">
        <f t="shared" ref="CC68:CC131" si="65">CB68+(BT68+BU68)*44/12</f>
        <v>872.02237499233479</v>
      </c>
      <c r="CD68" s="59">
        <f ca="1">AVERAGE(OFFSET($CC$3,0,0,'Données projet'!$E$12+1,1))-AVERAGE(OFFSET($H$3,0,0,'Données projet'!$E$12+1,1))</f>
        <v>279.00060755204919</v>
      </c>
      <c r="CE68" s="59">
        <f t="shared" si="40"/>
        <v>333.91128554211014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3.6504931310567383</v>
      </c>
      <c r="CL68" s="21">
        <f>EXP(-LN(2)/25)*CL67+(1-EXP(-LN(2)/25))/(LN(2)/25)*Calculateur!CG68*Calculateur!CI68*VLOOKUP('Données projet'!$B$12,Paramètres!$A$1:$I$89,3,0)*0.475*44/12</f>
        <v>10.545868409328351</v>
      </c>
      <c r="CM68" s="21">
        <f>EXP(-LN(2)/2)*CM67+(1-EXP(-LN(2)/2))/(LN(2)/2)*CG68*CJ68*VLOOKUP('Données projet'!$B$12,Paramètres!$A$1:$I$89,3,0)*0.475*44/12</f>
        <v>1.1627884587952976E-4</v>
      </c>
      <c r="CN68" s="22">
        <f t="shared" ref="CN68:CN131" si="66">SUM(CK68:CM68)</f>
        <v>14.196477819230969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108.5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11.8</v>
      </c>
      <c r="CT68" s="12">
        <f>IF('Données projet'!$A$140&gt;35,CT67+CS68-DB67,IF(A68&lt;'Données projet'!$A$140,$CQ$205^A68,IF(A68='Données projet'!$A$140,'Données projet'!$B$140,CT67+CS68-DB67)))</f>
        <v>494.00000000000023</v>
      </c>
      <c r="CU68" s="17">
        <f>CT68*VLOOKUP('Données projet'!$B$13,Paramètres!$A$1:$I$89,3,0)*VLOOKUP('Données projet'!$B$13,Paramètres!$A$1:$I$89,5,0)</f>
        <v>295.41200000000015</v>
      </c>
      <c r="CV68" s="13">
        <f t="shared" si="41"/>
        <v>70.21378144675117</v>
      </c>
      <c r="CW68" s="20">
        <f t="shared" ref="CW68:CW131" si="67">(CU68+CV68)*0.475*44/12</f>
        <v>636.79823601975852</v>
      </c>
      <c r="CX68" s="59">
        <f t="shared" ref="CX68:CX131" si="68">CW68+(CO68+CP68)*44/12</f>
        <v>1071.2982360197584</v>
      </c>
      <c r="CY68" s="59">
        <f ca="1">AVERAGE(OFFSET($CX$3,0,0,'Données projet'!$E$13+1,1))-AVERAGE(OFFSET($H$3,0,0,'Données projet'!$E$13+1,1))</f>
        <v>380.01315081072897</v>
      </c>
      <c r="CZ68" s="59">
        <f t="shared" si="42"/>
        <v>404.90871625409181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1.7491946252980215</v>
      </c>
      <c r="DG68" s="21">
        <f>EXP(-LN(2)/25)*DG67+(1-EXP(-LN(2)/25))/(LN(2)/25)*Calculateur!DB68*Calculateur!DD68*VLOOKUP('Données projet'!$B$13,Paramètres!$A$1:$I$89,3,0)*0.475*44/12</f>
        <v>8.0862410946771988</v>
      </c>
      <c r="DH68" s="21">
        <f>EXP(-LN(2)/2)*DH67+(1-EXP(-LN(2)/2))/(LN(2)/2)*DB68*DE68*VLOOKUP('Données projet'!$B$13,Paramètres!$A$1:$I$89,3,0)*0.475*44/12</f>
        <v>1.6348032414325534E-4</v>
      </c>
      <c r="DI68" s="22">
        <f t="shared" ref="DI68:DI131" si="69">SUM(DF68:DH68)</f>
        <v>9.8355992002993631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108.5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-5.6843418860808015E-14</v>
      </c>
      <c r="DP68" s="17">
        <f>DO68*VLOOKUP('Données projet'!$B$14,Paramètres!$A$1:$I$89,3,0)*VLOOKUP('Données projet'!$B$14,Paramètres!$A$1:$I$89,5,0)</f>
        <v>-5.1431925385259088E-14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320.81451813551064</v>
      </c>
      <c r="DU68" s="59">
        <f t="shared" si="44"/>
        <v>522.80818268773976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0.91777175865026372</v>
      </c>
      <c r="EB68" s="21">
        <f>EXP(-LN(2)/25)*EB67+(1-EXP(-LN(2)/25))/(LN(2)/25)*Calculateur!DW68*Calculateur!DY68*VLOOKUP('Données projet'!$B$14,Paramètres!$A$1:$I$89,3,0)*0.475*44/12</f>
        <v>3.9506998076050994</v>
      </c>
      <c r="EC68" s="21">
        <f>EXP(-LN(2)/2)*EC67+(1-EXP(-LN(2)/2))/(LN(2)/2)*DW68*DZ68*VLOOKUP('Données projet'!$B$14,Paramètres!$A$1:$I$89,3,0)*0.475*44/12</f>
        <v>3.2308808430265652E-5</v>
      </c>
      <c r="ED68" s="22">
        <f t="shared" ref="ED68:ED131" si="72">SUM(EA68:EC68)</f>
        <v>4.8685038750637935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108.5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228.3393311631487</v>
      </c>
      <c r="EP68" s="59">
        <f t="shared" si="46"/>
        <v>266.26050497804033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3.1061321036360696</v>
      </c>
      <c r="EW68" s="21">
        <f>EXP(-LN(2)/25)*EW67+(1-EXP(-LN(2)/25))/(LN(2)/25)*Calculateur!ER68*Calculateur!ET68*VLOOKUP('Données projet'!$B$15,Paramètres!$A$1:$I$89,3,0)*0.475*44/12</f>
        <v>4.6725306272446137</v>
      </c>
      <c r="EX68" s="21">
        <f>EXP(-LN(2)/2)*EX67+(1-EXP(-LN(2)/2))/(LN(2)/2)*ER68*EU68*VLOOKUP('Données projet'!$B$15,Paramètres!$A$1:$I$89,3,0)*0.475*44/12</f>
        <v>2.9378402755460444E-5</v>
      </c>
      <c r="EY68" s="22">
        <f t="shared" ref="EY68:EY131" si="75">SUM(EV68:EX68)</f>
        <v>7.7786921092834387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108.5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11.5</v>
      </c>
      <c r="FE68" s="12">
        <f>IF('Données projet'!$A$218&gt;35,FE67+FD68-FM67,IF(A68&lt;'Données projet'!$A$218,$FB$205^A68,IF(A68='Données projet'!$A$218,'Données projet'!$B$218,FE67+FD68-FM67)))</f>
        <v>363.49999999999983</v>
      </c>
      <c r="FF68" s="17">
        <f>FE68*VLOOKUP('Données projet'!$B$16,Paramètres!$A$1:$I$89,3,0)*VLOOKUP('Données projet'!$B$16,Paramètres!$A$1:$I$89,5,0)</f>
        <v>207.92199999999988</v>
      </c>
      <c r="FG68" s="13">
        <f t="shared" si="47"/>
        <v>51.481227933751072</v>
      </c>
      <c r="FH68" s="20">
        <f t="shared" ref="FH68:FH131" si="76">(FF68+FG68)*0.475*44/12</f>
        <v>451.7939553179495</v>
      </c>
      <c r="FI68" s="59">
        <f t="shared" ref="FI68:FI131" si="77">FH68+(EZ68+FA68)*44/12</f>
        <v>886.29395531794944</v>
      </c>
      <c r="FJ68" s="59">
        <f ca="1">AVERAGE(OFFSET($FI$3,0,0,'Données projet'!$E$16+1,1))-AVERAGE(OFFSET($H$3,0,0,'Données projet'!$E$16+1,1))</f>
        <v>242.10913976205194</v>
      </c>
      <c r="FK68" s="59">
        <f t="shared" si="48"/>
        <v>198.24795425321133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4.1066055450433154</v>
      </c>
      <c r="FS68" s="21">
        <f>EXP(-LN(2)/2)*FS67+(1-EXP(-LN(2)/2))/(LN(2)/2)*FM68*FP68*VLOOKUP('Données projet'!$B$16,Paramètres!$A$1:$I$89,3,0)*0.475*44/12</f>
        <v>7.1333683005945857E-5</v>
      </c>
      <c r="FT68" s="22">
        <f t="shared" ref="FT68:FT131" si="78">SUM(FQ68:FS68)</f>
        <v>4.1066768787263213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108.5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108.5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32.277959999999958</v>
      </c>
      <c r="D69" s="11">
        <f t="shared" ref="D69:D132" si="86">IFERROR(EXP(-1.0587+0.8836*LN(C69)+0.284),0)</f>
        <v>9.9270789613143755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179.18630576558019</v>
      </c>
      <c r="H69" s="67">
        <f t="shared" si="56"/>
        <v>471.34044285762241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108.5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4.0999999999999996</v>
      </c>
      <c r="N69" s="13">
        <f>IF('Données projet'!$A$36&gt;35,N68+M69-V68,IF(A69&lt;'Données projet'!$A$36,$K$205^A69,IF(A69='Données projet'!$A$36,'Données projet'!$B$36,N68+M69-V68)))</f>
        <v>257.59999999999974</v>
      </c>
      <c r="O69" s="13">
        <f>N69*VLOOKUP('Données projet'!$B$9,Paramètres!$A$1:$I$89,3,0)*VLOOKUP('Données projet'!$B$9,Paramètres!$A$1:$I$89,5,0)</f>
        <v>208.96511999999979</v>
      </c>
      <c r="P69" s="13">
        <f t="shared" ref="P69:P132" si="87">EXP(-1.0587+0.8836*LN(O69)+0.284)</f>
        <v>51.709373400619548</v>
      </c>
      <c r="Q69" s="20">
        <f t="shared" si="54"/>
        <v>454.00807600607862</v>
      </c>
      <c r="R69" s="59">
        <f t="shared" si="55"/>
        <v>888.50807600607868</v>
      </c>
      <c r="S69" s="59">
        <f ca="1">AVERAGE(OFFSET($R$3,0,0,'Données projet'!$E$9+1,1))-AVERAGE(OFFSET($H$3,0,0,'Données projet'!$E$9+1,1))</f>
        <v>273.89826011924487</v>
      </c>
      <c r="T69" s="59">
        <f t="shared" ref="T69:T132" si="88">$T$3</f>
        <v>332.17519939974227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3.1351722160855569</v>
      </c>
      <c r="AB69" s="21">
        <f>EXP(-LN(2)/2)*AB68+(1-EXP(-LN(2)/2))/(LN(2)/2)*V69*Y69*VLOOKUP('Données projet'!$B$9,Paramètres!$A$1:$I$89,3,0)*0.475*44/12</f>
        <v>4.1857030266215921E-5</v>
      </c>
      <c r="AC69" s="22">
        <f t="shared" si="57"/>
        <v>3.1352140731158231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108.5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15.5</v>
      </c>
      <c r="AI69" s="13">
        <f>IF('Données projet'!$A$62&gt;35,AI68+AH69-AQ68,IF(A69&lt;'Données projet'!$A$62,$AF$205^A69,IF(A69='Données projet'!$A$62,'Données projet'!$B$62,AI68+AH69-AQ68)))</f>
        <v>384.39999999999986</v>
      </c>
      <c r="AJ69" s="13">
        <f>AI69*VLOOKUP('Données projet'!$B$10,Paramètres!$A$1:$I$89,3,0)*VLOOKUP('Données projet'!$B$10,Paramètres!$A$1:$I$89,5,0)</f>
        <v>179.89919999999995</v>
      </c>
      <c r="AK69" s="13">
        <f t="shared" ref="AK69:AK132" si="89">EXP(-1.0587+0.8836*LN(AJ69)+0.284)</f>
        <v>45.299759292628586</v>
      </c>
      <c r="AL69" s="20">
        <f t="shared" si="58"/>
        <v>392.22152076799466</v>
      </c>
      <c r="AM69" s="59">
        <f t="shared" si="59"/>
        <v>826.72152076799466</v>
      </c>
      <c r="AN69" s="59">
        <f ca="1">AVERAGE(OFFSET($AM$3,0,0,'Données projet'!$E$10+1,1))-AVERAGE(OFFSET($H$3,0,0,'Données projet'!$E$10+1,1))</f>
        <v>293.42903587188346</v>
      </c>
      <c r="AO69" s="59">
        <f t="shared" ref="AO69:AO132" si="90">$AO$3</f>
        <v>267.80827667062124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1.5365571842574741</v>
      </c>
      <c r="AV69" s="21">
        <f>EXP(-LN(2)/25)*AV68+(1-EXP(-LN(2)/25))/(LN(2)/25)*Calculateur!AQ69*Calculateur!AS69*VLOOKUP('Données projet'!$B$10,Paramètres!$A$1:$I$89,3,0)*0.475*44/12</f>
        <v>2.8952673211549351</v>
      </c>
      <c r="AW69" s="21">
        <f>EXP(-LN(2)/2)*AW68+(1-EXP(-LN(2)/2))/(LN(2)/2)*AQ69*AT69*VLOOKUP('Données projet'!$B$10,Paramètres!$A$1:$I$89,3,0)*0.475*44/12</f>
        <v>3.7506776734527557E-5</v>
      </c>
      <c r="AX69" s="21">
        <f t="shared" si="60"/>
        <v>4.4318620121891437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108.5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</v>
      </c>
      <c r="BD69" s="12">
        <f>IF('Données projet'!$A$88&gt;35,BD68+BC69-BL68,IF(A69&lt;'Données projet'!$A$88,$BA$205^A69,IF(A69='Données projet'!$A$88,'Données projet'!$B$88,BD68+BC69-BL68)))</f>
        <v>235.00000000000017</v>
      </c>
      <c r="BE69" s="13">
        <f>BD69*VLOOKUP('Données projet'!$B$11,Paramètres!$A$1:$I$89,3,0)*VLOOKUP('Données projet'!$B$11,Paramètres!$A$1:$I$89,5,0)</f>
        <v>212.62800000000016</v>
      </c>
      <c r="BF69" s="13">
        <f t="shared" ref="BF69:BF132" si="91">EXP(-1.0587+0.8836*LN(BE69)+0.284)</f>
        <v>52.509453483719085</v>
      </c>
      <c r="BG69" s="20">
        <f t="shared" si="61"/>
        <v>461.78106481747767</v>
      </c>
      <c r="BH69" s="59">
        <f t="shared" si="62"/>
        <v>896.28106481747773</v>
      </c>
      <c r="BI69" s="59">
        <f ca="1">AVERAGE(OFFSET($BH$3,0,0,'Données projet'!$E$11+1,1))-AVERAGE(OFFSET($H$3,0,0,'Données projet'!$E$11+1,1))</f>
        <v>324.41828402031939</v>
      </c>
      <c r="BJ69" s="59">
        <f t="shared" ref="BJ69:BJ132" si="92">$BJ$3</f>
        <v>233.01060088065992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1.1447472596278132</v>
      </c>
      <c r="BR69" s="21">
        <f>EXP(-LN(2)/2)*BR68+(1-EXP(-LN(2)/2))/(LN(2)/2)*BL69*BO69*VLOOKUP('Données projet'!$B$11,Paramètres!$A$1:$I$89,3,0)*0.475*44/12</f>
        <v>2.3610488336290082E-5</v>
      </c>
      <c r="BS69" s="22">
        <f t="shared" si="63"/>
        <v>1.1447708701161494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108.5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8.5</v>
      </c>
      <c r="BY69" s="12">
        <f>IF('Données projet'!$A$114&gt;35,BY68+BX69-CG68,IF(A69&lt;'Données projet'!$A$114,$BV$205^A69,IF(A69='Données projet'!$A$114,'Données projet'!$B$114,BY68+BX69-CG68)))</f>
        <v>377.00000000000023</v>
      </c>
      <c r="BZ69" s="13">
        <f>BY69*VLOOKUP('Données projet'!$B$12,Paramètres!$A$1:$I$89,3,0)*VLOOKUP('Données projet'!$B$12,Paramètres!$A$1:$I$89,5,0)</f>
        <v>205.84200000000013</v>
      </c>
      <c r="CA69" s="13">
        <f t="shared" ref="CA69:CA132" si="93">EXP(-1.0587+0.8836*LN(BZ69)+0.284)</f>
        <v>51.02590322155848</v>
      </c>
      <c r="CB69" s="20">
        <f t="shared" si="64"/>
        <v>447.37826477754788</v>
      </c>
      <c r="CC69" s="59">
        <f t="shared" si="65"/>
        <v>881.87826477754788</v>
      </c>
      <c r="CD69" s="59">
        <f ca="1">AVERAGE(OFFSET($CC$3,0,0,'Données projet'!$E$12+1,1))-AVERAGE(OFFSET($H$3,0,0,'Données projet'!$E$12+1,1))</f>
        <v>279.00060755204919</v>
      </c>
      <c r="CE69" s="59">
        <f t="shared" ref="CE69:CE132" si="94">$CE$3</f>
        <v>333.91128554211014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3.5789091873376688</v>
      </c>
      <c r="CL69" s="21">
        <f>EXP(-LN(2)/25)*CL68+(1-EXP(-LN(2)/25))/(LN(2)/25)*Calculateur!CG69*Calculateur!CI69*VLOOKUP('Données projet'!$B$12,Paramètres!$A$1:$I$89,3,0)*0.475*44/12</f>
        <v>10.25749108309215</v>
      </c>
      <c r="CM69" s="21">
        <f>EXP(-LN(2)/2)*CM68+(1-EXP(-LN(2)/2))/(LN(2)/2)*CG69*CJ69*VLOOKUP('Données projet'!$B$12,Paramètres!$A$1:$I$89,3,0)*0.475*44/12</f>
        <v>8.222156042996094E-5</v>
      </c>
      <c r="CN69" s="22">
        <f t="shared" si="66"/>
        <v>13.836482491990248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108.5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11.8</v>
      </c>
      <c r="CT69" s="12">
        <f>IF('Données projet'!$A$140&gt;35,CT68+CS69-DB68,IF(A69&lt;'Données projet'!$A$140,$CQ$205^A69,IF(A69='Données projet'!$A$140,'Données projet'!$B$140,CT68+CS69-DB68)))</f>
        <v>505.80000000000024</v>
      </c>
      <c r="CU69" s="17">
        <f>CT69*VLOOKUP('Données projet'!$B$13,Paramètres!$A$1:$I$89,3,0)*VLOOKUP('Données projet'!$B$13,Paramètres!$A$1:$I$89,5,0)</f>
        <v>302.46840000000014</v>
      </c>
      <c r="CV69" s="13">
        <f t="shared" ref="CV69:CV132" si="95">EXP(-1.0587+0.8836*LN(CU69)+0.284)</f>
        <v>71.693687882090799</v>
      </c>
      <c r="CW69" s="20">
        <f t="shared" si="67"/>
        <v>651.66563639464164</v>
      </c>
      <c r="CX69" s="59">
        <f t="shared" si="68"/>
        <v>1086.1656363946418</v>
      </c>
      <c r="CY69" s="59">
        <f ca="1">AVERAGE(OFFSET($CX$3,0,0,'Données projet'!$E$13+1,1))-AVERAGE(OFFSET($H$3,0,0,'Données projet'!$E$13+1,1))</f>
        <v>380.01315081072897</v>
      </c>
      <c r="CZ69" s="59">
        <f t="shared" ref="CZ69:CZ132" si="96">$CZ$3</f>
        <v>404.90871625409181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1.7148939855993008</v>
      </c>
      <c r="DG69" s="21">
        <f>EXP(-LN(2)/25)*DG68+(1-EXP(-LN(2)/25))/(LN(2)/25)*Calculateur!DB69*Calculateur!DD69*VLOOKUP('Données projet'!$B$13,Paramètres!$A$1:$I$89,3,0)*0.475*44/12</f>
        <v>7.8651224067063126</v>
      </c>
      <c r="DH69" s="21">
        <f>EXP(-LN(2)/2)*DH68+(1-EXP(-LN(2)/2))/(LN(2)/2)*DB69*DE69*VLOOKUP('Données projet'!$B$13,Paramètres!$A$1:$I$89,3,0)*0.475*44/12</f>
        <v>1.1559804579227072E-4</v>
      </c>
      <c r="DI69" s="22">
        <f t="shared" si="69"/>
        <v>9.5801319903514042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108.5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-5.6843418860808015E-14</v>
      </c>
      <c r="DP69" s="17">
        <f>DO69*VLOOKUP('Données projet'!$B$14,Paramètres!$A$1:$I$89,3,0)*VLOOKUP('Données projet'!$B$14,Paramètres!$A$1:$I$89,5,0)</f>
        <v>-5.1431925385259088E-14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320.81451813551064</v>
      </c>
      <c r="DU69" s="59">
        <f t="shared" ref="DU69:DU132" si="98">$DU$3</f>
        <v>522.80818268773976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0.89977481424863059</v>
      </c>
      <c r="EB69" s="21">
        <f>EXP(-LN(2)/25)*EB68+(1-EXP(-LN(2)/25))/(LN(2)/25)*Calculateur!DW69*Calculateur!DY69*VLOOKUP('Données projet'!$B$14,Paramètres!$A$1:$I$89,3,0)*0.475*44/12</f>
        <v>3.8426677136078644</v>
      </c>
      <c r="EC69" s="21">
        <f>EXP(-LN(2)/2)*EC68+(1-EXP(-LN(2)/2))/(LN(2)/2)*DW69*DZ69*VLOOKUP('Données projet'!$B$14,Paramètres!$A$1:$I$89,3,0)*0.475*44/12</f>
        <v>2.2845777533097937E-5</v>
      </c>
      <c r="ED69" s="22">
        <f t="shared" si="72"/>
        <v>4.7424653736340279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108.5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228.3393311631487</v>
      </c>
      <c r="EP69" s="59">
        <f t="shared" ref="EP69:EP132" si="100">$EP$3</f>
        <v>266.26050497804033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3.0452227476372777</v>
      </c>
      <c r="EW69" s="21">
        <f>EXP(-LN(2)/25)*EW68+(1-EXP(-LN(2)/25))/(LN(2)/25)*Calculateur!ER69*Calculateur!ET69*VLOOKUP('Données projet'!$B$15,Paramètres!$A$1:$I$89,3,0)*0.475*44/12</f>
        <v>4.5447600315249028</v>
      </c>
      <c r="EX69" s="21">
        <f>EXP(-LN(2)/2)*EX68+(1-EXP(-LN(2)/2))/(LN(2)/2)*ER69*EU69*VLOOKUP('Données projet'!$B$15,Paramètres!$A$1:$I$89,3,0)*0.475*44/12</f>
        <v>2.0773667808815634E-5</v>
      </c>
      <c r="EY69" s="22">
        <f t="shared" si="75"/>
        <v>7.5900035528299901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108.5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11.5</v>
      </c>
      <c r="FE69" s="12">
        <f>IF('Données projet'!$A$218&gt;35,FE68+FD69-FM68,IF(A69&lt;'Données projet'!$A$218,$FB$205^A69,IF(A69='Données projet'!$A$218,'Données projet'!$B$218,FE68+FD69-FM68)))</f>
        <v>374.99999999999983</v>
      </c>
      <c r="FF69" s="17">
        <f>FE69*VLOOKUP('Données projet'!$B$16,Paramètres!$A$1:$I$89,3,0)*VLOOKUP('Données projet'!$B$16,Paramètres!$A$1:$I$89,5,0)</f>
        <v>214.49999999999989</v>
      </c>
      <c r="FG69" s="13">
        <f t="shared" ref="FG69:FG132" si="101">EXP(-1.0587+0.8836*LN(FF69)+0.284)</f>
        <v>52.917732192436588</v>
      </c>
      <c r="FH69" s="20">
        <f t="shared" si="76"/>
        <v>465.75255023516019</v>
      </c>
      <c r="FI69" s="59">
        <f t="shared" si="77"/>
        <v>900.25255023516024</v>
      </c>
      <c r="FJ69" s="59">
        <f ca="1">AVERAGE(OFFSET($FI$3,0,0,'Données projet'!$E$16+1,1))-AVERAGE(OFFSET($H$3,0,0,'Données projet'!$E$16+1,1))</f>
        <v>242.10913976205194</v>
      </c>
      <c r="FK69" s="59">
        <f t="shared" ref="FK69:FK132" si="102">$FK$3</f>
        <v>198.24795425321133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3.9943102004571061</v>
      </c>
      <c r="FS69" s="21">
        <f>EXP(-LN(2)/2)*FS68+(1-EXP(-LN(2)/2))/(LN(2)/2)*FM69*FP69*VLOOKUP('Données projet'!$B$16,Paramètres!$A$1:$I$89,3,0)*0.475*44/12</f>
        <v>5.0440530980515902E-5</v>
      </c>
      <c r="FT69" s="22">
        <f t="shared" si="78"/>
        <v>3.9943606409880865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108.5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108.5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32.76701999999996</v>
      </c>
      <c r="D70" s="11">
        <f t="shared" si="86"/>
        <v>10.059864950846345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181.82642382640014</v>
      </c>
      <c r="H70" s="67">
        <f t="shared" si="56"/>
        <v>472.42349128939065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108.5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4.0999999999999996</v>
      </c>
      <c r="N70" s="13">
        <f>IF('Données projet'!$A$36&gt;35,N69+M70-V69,IF(A70&lt;'Données projet'!$A$36,$K$205^A70,IF(A70='Données projet'!$A$36,'Données projet'!$B$36,N69+M70-V69)))</f>
        <v>261.69999999999976</v>
      </c>
      <c r="O70" s="13">
        <f>N70*VLOOKUP('Données projet'!$B$9,Paramètres!$A$1:$I$89,3,0)*VLOOKUP('Données projet'!$B$9,Paramètres!$A$1:$I$89,5,0)</f>
        <v>212.29103999999984</v>
      </c>
      <c r="P70" s="13">
        <f t="shared" si="87"/>
        <v>52.435918977875581</v>
      </c>
      <c r="Q70" s="20">
        <f t="shared" si="54"/>
        <v>461.06612021979964</v>
      </c>
      <c r="R70" s="59">
        <f t="shared" si="55"/>
        <v>895.56612021979959</v>
      </c>
      <c r="S70" s="59">
        <f ca="1">AVERAGE(OFFSET($R$3,0,0,'Données projet'!$E$9+1,1))-AVERAGE(OFFSET($H$3,0,0,'Données projet'!$E$9+1,1))</f>
        <v>273.89826011924487</v>
      </c>
      <c r="T70" s="59">
        <f t="shared" si="88"/>
        <v>332.17519939974227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3.049440766965156</v>
      </c>
      <c r="AB70" s="21">
        <f>EXP(-LN(2)/2)*AB69+(1-EXP(-LN(2)/2))/(LN(2)/2)*V70*Y70*VLOOKUP('Données projet'!$B$9,Paramètres!$A$1:$I$89,3,0)*0.475*44/12</f>
        <v>2.9597389941571842E-5</v>
      </c>
      <c r="AC70" s="22">
        <f t="shared" si="57"/>
        <v>3.0494703643550976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108.5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15.5</v>
      </c>
      <c r="AI70" s="13">
        <f>IF('Données projet'!$A$62&gt;35,AI69+AH70-AQ69,IF(A70&lt;'Données projet'!$A$62,$AF$205^A70,IF(A70='Données projet'!$A$62,'Données projet'!$B$62,AI69+AH70-AQ69)))</f>
        <v>399.89999999999986</v>
      </c>
      <c r="AJ70" s="13">
        <f>AI70*VLOOKUP('Données projet'!$B$10,Paramètres!$A$1:$I$89,3,0)*VLOOKUP('Données projet'!$B$10,Paramètres!$A$1:$I$89,5,0)</f>
        <v>187.15319999999994</v>
      </c>
      <c r="AK70" s="13">
        <f t="shared" si="89"/>
        <v>46.9100138680691</v>
      </c>
      <c r="AL70" s="20">
        <f t="shared" si="58"/>
        <v>407.66009748688685</v>
      </c>
      <c r="AM70" s="59">
        <f t="shared" si="59"/>
        <v>842.1600974868868</v>
      </c>
      <c r="AN70" s="59">
        <f ca="1">AVERAGE(OFFSET($AM$3,0,0,'Données projet'!$E$10+1,1))-AVERAGE(OFFSET($H$3,0,0,'Données projet'!$E$10+1,1))</f>
        <v>293.42903587188346</v>
      </c>
      <c r="AO70" s="59">
        <f t="shared" si="90"/>
        <v>267.80827667062124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1.5064262350815258</v>
      </c>
      <c r="AV70" s="21">
        <f>EXP(-LN(2)/25)*AV69+(1-EXP(-LN(2)/25))/(LN(2)/25)*Calculateur!AQ70*Calculateur!AS70*VLOOKUP('Données projet'!$B$10,Paramètres!$A$1:$I$89,3,0)*0.475*44/12</f>
        <v>2.8160960840024623</v>
      </c>
      <c r="AW70" s="21">
        <f>EXP(-LN(2)/2)*AW69+(1-EXP(-LN(2)/2))/(LN(2)/2)*AQ70*AT70*VLOOKUP('Données projet'!$B$10,Paramètres!$A$1:$I$89,3,0)*0.475*44/12</f>
        <v>2.6521296169434269E-5</v>
      </c>
      <c r="AX70" s="21">
        <f t="shared" si="60"/>
        <v>4.3225488403801577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108.5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</v>
      </c>
      <c r="BD70" s="12">
        <f>IF('Données projet'!$A$88&gt;35,BD69+BC70-BL69,IF(A70&lt;'Données projet'!$A$88,$BA$205^A70,IF(A70='Données projet'!$A$88,'Données projet'!$B$88,BD69+BC70-BL69)))</f>
        <v>242.00000000000017</v>
      </c>
      <c r="BE70" s="13">
        <f>BD70*VLOOKUP('Données projet'!$B$11,Paramètres!$A$1:$I$89,3,0)*VLOOKUP('Données projet'!$B$11,Paramètres!$A$1:$I$89,5,0)</f>
        <v>218.96160000000017</v>
      </c>
      <c r="BF70" s="13">
        <f t="shared" si="91"/>
        <v>53.889132503707479</v>
      </c>
      <c r="BG70" s="20">
        <f t="shared" si="61"/>
        <v>475.2150257772908</v>
      </c>
      <c r="BH70" s="59">
        <f t="shared" si="62"/>
        <v>909.71502577729075</v>
      </c>
      <c r="BI70" s="59">
        <f ca="1">AVERAGE(OFFSET($BH$3,0,0,'Données projet'!$E$11+1,1))-AVERAGE(OFFSET($H$3,0,0,'Données projet'!$E$11+1,1))</f>
        <v>324.41828402031939</v>
      </c>
      <c r="BJ70" s="59">
        <f t="shared" si="92"/>
        <v>233.01060088065992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1.1134440856136487</v>
      </c>
      <c r="BR70" s="21">
        <f>EXP(-LN(2)/2)*BR69+(1-EXP(-LN(2)/2))/(LN(2)/2)*BL70*BO70*VLOOKUP('Données projet'!$B$11,Paramètres!$A$1:$I$89,3,0)*0.475*44/12</f>
        <v>1.6695136409716603E-5</v>
      </c>
      <c r="BS70" s="22">
        <f t="shared" si="63"/>
        <v>1.1134607807500585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108.5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8.5</v>
      </c>
      <c r="BY70" s="12">
        <f>IF('Données projet'!$A$114&gt;35,BY69+BX70-CG69,IF(A70&lt;'Données projet'!$A$114,$BV$205^A70,IF(A70='Données projet'!$A$114,'Données projet'!$B$114,BY69+BX70-CG69)))</f>
        <v>385.50000000000023</v>
      </c>
      <c r="BZ70" s="13">
        <f>BY70*VLOOKUP('Données projet'!$B$12,Paramètres!$A$1:$I$89,3,0)*VLOOKUP('Données projet'!$B$12,Paramètres!$A$1:$I$89,5,0)</f>
        <v>210.48300000000012</v>
      </c>
      <c r="CA70" s="13">
        <f t="shared" si="93"/>
        <v>52.041119233873296</v>
      </c>
      <c r="CB70" s="20">
        <f t="shared" si="64"/>
        <v>457.22950766566288</v>
      </c>
      <c r="CC70" s="59">
        <f t="shared" si="65"/>
        <v>891.72950766566282</v>
      </c>
      <c r="CD70" s="59">
        <f ca="1">AVERAGE(OFFSET($CC$3,0,0,'Données projet'!$E$12+1,1))-AVERAGE(OFFSET($H$3,0,0,'Données projet'!$E$12+1,1))</f>
        <v>279.00060755204919</v>
      </c>
      <c r="CE70" s="59">
        <f t="shared" si="94"/>
        <v>333.91128554211014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3.5087289610930359</v>
      </c>
      <c r="CL70" s="21">
        <f>EXP(-LN(2)/25)*CL69+(1-EXP(-LN(2)/25))/(LN(2)/25)*Calculateur!CG70*Calculateur!CI70*VLOOKUP('Données projet'!$B$12,Paramètres!$A$1:$I$89,3,0)*0.475*44/12</f>
        <v>9.9769994500069821</v>
      </c>
      <c r="CM70" s="21">
        <f>EXP(-LN(2)/2)*CM69+(1-EXP(-LN(2)/2))/(LN(2)/2)*CG70*CJ70*VLOOKUP('Données projet'!$B$12,Paramètres!$A$1:$I$89,3,0)*0.475*44/12</f>
        <v>5.8139422939764889E-5</v>
      </c>
      <c r="CN70" s="22">
        <f t="shared" si="66"/>
        <v>13.485786550522958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108.5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11.8</v>
      </c>
      <c r="CT70" s="12">
        <f>IF('Données projet'!$A$140&gt;35,CT69+CS70-DB69,IF(A70&lt;'Données projet'!$A$140,$CQ$205^A70,IF(A70='Données projet'!$A$140,'Données projet'!$B$140,CT69+CS70-DB69)))</f>
        <v>517.60000000000025</v>
      </c>
      <c r="CU70" s="17">
        <f>CT70*VLOOKUP('Données projet'!$B$13,Paramètres!$A$1:$I$89,3,0)*VLOOKUP('Données projet'!$B$13,Paramètres!$A$1:$I$89,5,0)</f>
        <v>309.52480000000014</v>
      </c>
      <c r="CV70" s="13">
        <f t="shared" si="95"/>
        <v>73.169580639491755</v>
      </c>
      <c r="CW70" s="20">
        <f t="shared" si="67"/>
        <v>666.52604628044833</v>
      </c>
      <c r="CX70" s="59">
        <f t="shared" si="68"/>
        <v>1101.0260462804483</v>
      </c>
      <c r="CY70" s="59">
        <f ca="1">AVERAGE(OFFSET($CX$3,0,0,'Données projet'!$E$13+1,1))-AVERAGE(OFFSET($H$3,0,0,'Données projet'!$E$13+1,1))</f>
        <v>380.01315081072897</v>
      </c>
      <c r="CZ70" s="59">
        <f t="shared" si="96"/>
        <v>404.90871625409181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1.6812659605237477</v>
      </c>
      <c r="DG70" s="21">
        <f>EXP(-LN(2)/25)*DG69+(1-EXP(-LN(2)/25))/(LN(2)/25)*Calculateur!DB70*Calculateur!DD70*VLOOKUP('Données projet'!$B$13,Paramètres!$A$1:$I$89,3,0)*0.475*44/12</f>
        <v>7.6500502208861167</v>
      </c>
      <c r="DH70" s="21">
        <f>EXP(-LN(2)/2)*DH69+(1-EXP(-LN(2)/2))/(LN(2)/2)*DB70*DE70*VLOOKUP('Données projet'!$B$13,Paramètres!$A$1:$I$89,3,0)*0.475*44/12</f>
        <v>8.1740162071627671E-5</v>
      </c>
      <c r="DI70" s="22">
        <f t="shared" si="69"/>
        <v>9.331397921571936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108.5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-5.6843418860808015E-14</v>
      </c>
      <c r="DP70" s="17">
        <f>DO70*VLOOKUP('Données projet'!$B$14,Paramètres!$A$1:$I$89,3,0)*VLOOKUP('Données projet'!$B$14,Paramètres!$A$1:$I$89,5,0)</f>
        <v>-5.1431925385259088E-14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320.81451813551064</v>
      </c>
      <c r="DU70" s="59">
        <f t="shared" si="98"/>
        <v>522.80818268773976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0.8821307789496613</v>
      </c>
      <c r="EB70" s="21">
        <f>EXP(-LN(2)/25)*EB69+(1-EXP(-LN(2)/25))/(LN(2)/25)*Calculateur!DW70*Calculateur!DY70*VLOOKUP('Données projet'!$B$14,Paramètres!$A$1:$I$89,3,0)*0.475*44/12</f>
        <v>3.7375897629021448</v>
      </c>
      <c r="EC70" s="21">
        <f>EXP(-LN(2)/2)*EC69+(1-EXP(-LN(2)/2))/(LN(2)/2)*DW70*DZ70*VLOOKUP('Données projet'!$B$14,Paramètres!$A$1:$I$89,3,0)*0.475*44/12</f>
        <v>1.6154404215132826E-5</v>
      </c>
      <c r="ED70" s="22">
        <f t="shared" si="72"/>
        <v>4.6197366962560213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108.5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228.3393311631487</v>
      </c>
      <c r="EP70" s="59">
        <f t="shared" si="100"/>
        <v>266.26050497804033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2.9855077869585833</v>
      </c>
      <c r="EW70" s="21">
        <f>EXP(-LN(2)/25)*EW69+(1-EXP(-LN(2)/25))/(LN(2)/25)*Calculateur!ER70*Calculateur!ET70*VLOOKUP('Données projet'!$B$15,Paramètres!$A$1:$I$89,3,0)*0.475*44/12</f>
        <v>4.4204833294643118</v>
      </c>
      <c r="EX70" s="21">
        <f>EXP(-LN(2)/2)*EX69+(1-EXP(-LN(2)/2))/(LN(2)/2)*ER70*EU70*VLOOKUP('Données projet'!$B$15,Paramètres!$A$1:$I$89,3,0)*0.475*44/12</f>
        <v>1.4689201377730224E-5</v>
      </c>
      <c r="EY70" s="22">
        <f t="shared" si="75"/>
        <v>7.4060058056242726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108.5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11.5</v>
      </c>
      <c r="FE70" s="12">
        <f>IF('Données projet'!$A$218&gt;35,FE69+FD70-FM69,IF(A70&lt;'Données projet'!$A$218,$FB$205^A70,IF(A70='Données projet'!$A$218,'Données projet'!$B$218,FE69+FD70-FM69)))</f>
        <v>386.49999999999983</v>
      </c>
      <c r="FF70" s="17">
        <f>FE70*VLOOKUP('Données projet'!$B$16,Paramètres!$A$1:$I$89,3,0)*VLOOKUP('Données projet'!$B$16,Paramètres!$A$1:$I$89,5,0)</f>
        <v>221.07799999999989</v>
      </c>
      <c r="FG70" s="13">
        <f t="shared" si="101"/>
        <v>54.349116998834056</v>
      </c>
      <c r="FH70" s="20">
        <f t="shared" si="76"/>
        <v>479.70222877296902</v>
      </c>
      <c r="FI70" s="59">
        <f t="shared" si="77"/>
        <v>914.20222877296897</v>
      </c>
      <c r="FJ70" s="59">
        <f ca="1">AVERAGE(OFFSET($FI$3,0,0,'Données projet'!$E$16+1,1))-AVERAGE(OFFSET($H$3,0,0,'Données projet'!$E$16+1,1))</f>
        <v>242.10913976205194</v>
      </c>
      <c r="FK70" s="59">
        <f t="shared" si="102"/>
        <v>198.24795425321133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3.8850855779739621</v>
      </c>
      <c r="FS70" s="21">
        <f>EXP(-LN(2)/2)*FS69+(1-EXP(-LN(2)/2))/(LN(2)/2)*FM70*FP70*VLOOKUP('Données projet'!$B$16,Paramètres!$A$1:$I$89,3,0)*0.475*44/12</f>
        <v>3.5666841502972929E-5</v>
      </c>
      <c r="FT70" s="22">
        <f t="shared" si="78"/>
        <v>3.8851212448154651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108.5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108.5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33.256079999999962</v>
      </c>
      <c r="D71" s="11">
        <f t="shared" si="86"/>
        <v>10.192420440721552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184.46556327464225</v>
      </c>
      <c r="H71" s="67">
        <f t="shared" si="56"/>
        <v>473.50613826758996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108.5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4.0999999999999996</v>
      </c>
      <c r="N71" s="13">
        <f>IF('Données projet'!$A$36&gt;35,N70+M71-V70,IF(A71&lt;'Données projet'!$A$36,$K$205^A71,IF(A71='Données projet'!$A$36,'Données projet'!$B$36,N70+M71-V70)))</f>
        <v>265.79999999999978</v>
      </c>
      <c r="O71" s="13">
        <f>N71*VLOOKUP('Données projet'!$B$9,Paramètres!$A$1:$I$89,3,0)*VLOOKUP('Données projet'!$B$9,Paramètres!$A$1:$I$89,5,0)</f>
        <v>215.61695999999984</v>
      </c>
      <c r="P71" s="13">
        <f t="shared" si="87"/>
        <v>53.161140765943969</v>
      </c>
      <c r="Q71" s="20">
        <f t="shared" si="54"/>
        <v>468.12185883401872</v>
      </c>
      <c r="R71" s="59">
        <f t="shared" si="55"/>
        <v>902.62185883401867</v>
      </c>
      <c r="S71" s="59">
        <f ca="1">AVERAGE(OFFSET($R$3,0,0,'Données projet'!$E$9+1,1))-AVERAGE(OFFSET($H$3,0,0,'Données projet'!$E$9+1,1))</f>
        <v>273.89826011924487</v>
      </c>
      <c r="T71" s="59">
        <f t="shared" si="88"/>
        <v>332.17519939974227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2.9660536488293734</v>
      </c>
      <c r="AB71" s="21">
        <f>EXP(-LN(2)/2)*AB70+(1-EXP(-LN(2)/2))/(LN(2)/2)*V71*Y71*VLOOKUP('Données projet'!$B$9,Paramètres!$A$1:$I$89,3,0)*0.475*44/12</f>
        <v>2.0928515133107964E-5</v>
      </c>
      <c r="AC71" s="22">
        <f t="shared" si="57"/>
        <v>2.9660745773445063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108.5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15.5</v>
      </c>
      <c r="AI71" s="13">
        <f>IF('Données projet'!$A$62&gt;35,AI70+AH71-AQ70,IF(A71&lt;'Données projet'!$A$62,$AF$205^A71,IF(A71='Données projet'!$A$62,'Données projet'!$B$62,AI70+AH71-AQ70)))</f>
        <v>415.39999999999986</v>
      </c>
      <c r="AJ71" s="13">
        <f>AI71*VLOOKUP('Données projet'!$B$10,Paramètres!$A$1:$I$89,3,0)*VLOOKUP('Données projet'!$B$10,Paramètres!$A$1:$I$89,5,0)</f>
        <v>194.40719999999996</v>
      </c>
      <c r="AK71" s="13">
        <f t="shared" si="89"/>
        <v>48.513018020179601</v>
      </c>
      <c r="AL71" s="20">
        <f t="shared" si="58"/>
        <v>423.08604638514606</v>
      </c>
      <c r="AM71" s="59">
        <f t="shared" si="59"/>
        <v>857.58604638514612</v>
      </c>
      <c r="AN71" s="59">
        <f ca="1">AVERAGE(OFFSET($AM$3,0,0,'Données projet'!$E$10+1,1))-AVERAGE(OFFSET($H$3,0,0,'Données projet'!$E$10+1,1))</f>
        <v>293.42903587188346</v>
      </c>
      <c r="AO71" s="59">
        <f t="shared" si="90"/>
        <v>267.80827667062124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1.4768861354408536</v>
      </c>
      <c r="AV71" s="21">
        <f>EXP(-LN(2)/25)*AV70+(1-EXP(-LN(2)/25))/(LN(2)/25)*Calculateur!AQ71*Calculateur!AS71*VLOOKUP('Données projet'!$B$10,Paramètres!$A$1:$I$89,3,0)*0.475*44/12</f>
        <v>2.739089788493358</v>
      </c>
      <c r="AW71" s="21">
        <f>EXP(-LN(2)/2)*AW70+(1-EXP(-LN(2)/2))/(LN(2)/2)*AQ71*AT71*VLOOKUP('Données projet'!$B$10,Paramètres!$A$1:$I$89,3,0)*0.475*44/12</f>
        <v>1.8753388367263778E-5</v>
      </c>
      <c r="AX71" s="21">
        <f t="shared" si="60"/>
        <v>4.2159946773225787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108.5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</v>
      </c>
      <c r="BD71" s="12">
        <f>IF('Données projet'!$A$88&gt;35,BD70+BC71-BL70,IF(A71&lt;'Données projet'!$A$88,$BA$205^A71,IF(A71='Données projet'!$A$88,'Données projet'!$B$88,BD70+BC71-BL70)))</f>
        <v>249.00000000000017</v>
      </c>
      <c r="BE71" s="13">
        <f>BD71*VLOOKUP('Données projet'!$B$11,Paramètres!$A$1:$I$89,3,0)*VLOOKUP('Données projet'!$B$11,Paramètres!$A$1:$I$89,5,0)</f>
        <v>225.29520000000016</v>
      </c>
      <c r="BF71" s="13">
        <f t="shared" si="91"/>
        <v>55.264173352293128</v>
      </c>
      <c r="BG71" s="20">
        <f t="shared" si="61"/>
        <v>488.64090858857736</v>
      </c>
      <c r="BH71" s="59">
        <f t="shared" si="62"/>
        <v>923.1409085885773</v>
      </c>
      <c r="BI71" s="59">
        <f ca="1">AVERAGE(OFFSET($BH$3,0,0,'Données projet'!$E$11+1,1))-AVERAGE(OFFSET($H$3,0,0,'Données projet'!$E$11+1,1))</f>
        <v>324.41828402031939</v>
      </c>
      <c r="BJ71" s="59">
        <f t="shared" si="92"/>
        <v>233.01060088065992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1.0829968985390639</v>
      </c>
      <c r="BR71" s="21">
        <f>EXP(-LN(2)/2)*BR70+(1-EXP(-LN(2)/2))/(LN(2)/2)*BL71*BO71*VLOOKUP('Données projet'!$B$11,Paramètres!$A$1:$I$89,3,0)*0.475*44/12</f>
        <v>1.1805244168145041E-5</v>
      </c>
      <c r="BS71" s="22">
        <f t="shared" si="63"/>
        <v>1.0830087037832321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108.5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8.5</v>
      </c>
      <c r="BY71" s="12">
        <f>IF('Données projet'!$A$114&gt;35,BY70+BX71-CG70,IF(A71&lt;'Données projet'!$A$114,$BV$205^A71,IF(A71='Données projet'!$A$114,'Données projet'!$B$114,BY70+BX71-CG70)))</f>
        <v>394.00000000000023</v>
      </c>
      <c r="BZ71" s="13">
        <f>BY71*VLOOKUP('Données projet'!$B$12,Paramètres!$A$1:$I$89,3,0)*VLOOKUP('Données projet'!$B$12,Paramètres!$A$1:$I$89,5,0)</f>
        <v>215.12400000000014</v>
      </c>
      <c r="CA71" s="13">
        <f t="shared" si="93"/>
        <v>53.053732774689799</v>
      </c>
      <c r="CB71" s="20">
        <f t="shared" si="64"/>
        <v>467.07621791591828</v>
      </c>
      <c r="CC71" s="59">
        <f t="shared" si="65"/>
        <v>901.57621791591828</v>
      </c>
      <c r="CD71" s="59">
        <f ca="1">AVERAGE(OFFSET($CC$3,0,0,'Données projet'!$E$12+1,1))-AVERAGE(OFFSET($H$3,0,0,'Données projet'!$E$12+1,1))</f>
        <v>279.00060755204919</v>
      </c>
      <c r="CE71" s="59">
        <f t="shared" si="94"/>
        <v>333.91128554211014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3.4399249262793492</v>
      </c>
      <c r="CL71" s="21">
        <f>EXP(-LN(2)/25)*CL70+(1-EXP(-LN(2)/25))/(LN(2)/25)*Calculateur!CG71*Calculateur!CI71*VLOOKUP('Données projet'!$B$12,Paramètres!$A$1:$I$89,3,0)*0.475*44/12</f>
        <v>9.7041778753789423</v>
      </c>
      <c r="CM71" s="21">
        <f>EXP(-LN(2)/2)*CM70+(1-EXP(-LN(2)/2))/(LN(2)/2)*CG71*CJ71*VLOOKUP('Données projet'!$B$12,Paramètres!$A$1:$I$89,3,0)*0.475*44/12</f>
        <v>4.1110780214980477E-5</v>
      </c>
      <c r="CN71" s="22">
        <f t="shared" si="66"/>
        <v>13.144143912438507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108.5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11.8</v>
      </c>
      <c r="CT71" s="12">
        <f>IF('Données projet'!$A$140&gt;35,CT70+CS71-DB70,IF(A71&lt;'Données projet'!$A$140,$CQ$205^A71,IF(A71='Données projet'!$A$140,'Données projet'!$B$140,CT70+CS71-DB70)))</f>
        <v>529.4000000000002</v>
      </c>
      <c r="CU71" s="17">
        <f>CT71*VLOOKUP('Données projet'!$B$13,Paramètres!$A$1:$I$89,3,0)*VLOOKUP('Données projet'!$B$13,Paramètres!$A$1:$I$89,5,0)</f>
        <v>316.58120000000014</v>
      </c>
      <c r="CV71" s="13">
        <f t="shared" si="95"/>
        <v>74.641561754153898</v>
      </c>
      <c r="CW71" s="20">
        <f t="shared" si="67"/>
        <v>681.37964338848485</v>
      </c>
      <c r="CX71" s="59">
        <f t="shared" si="68"/>
        <v>1115.879643388485</v>
      </c>
      <c r="CY71" s="59">
        <f ca="1">AVERAGE(OFFSET($CX$3,0,0,'Données projet'!$E$13+1,1))-AVERAGE(OFFSET($H$3,0,0,'Données projet'!$E$13+1,1))</f>
        <v>380.01315081072897</v>
      </c>
      <c r="CZ71" s="59">
        <f t="shared" si="96"/>
        <v>404.90871625409181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1.648297360508856</v>
      </c>
      <c r="DG71" s="21">
        <f>EXP(-LN(2)/25)*DG70+(1-EXP(-LN(2)/25))/(LN(2)/25)*Calculateur!DB71*Calculateur!DD71*VLOOKUP('Données projet'!$B$13,Paramètres!$A$1:$I$89,3,0)*0.475*44/12</f>
        <v>7.4408591952973291</v>
      </c>
      <c r="DH71" s="21">
        <f>EXP(-LN(2)/2)*DH70+(1-EXP(-LN(2)/2))/(LN(2)/2)*DB71*DE71*VLOOKUP('Données projet'!$B$13,Paramètres!$A$1:$I$89,3,0)*0.475*44/12</f>
        <v>5.7799022896135359E-5</v>
      </c>
      <c r="DI71" s="22">
        <f t="shared" si="69"/>
        <v>9.08921435482908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108.5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-5.6843418860808015E-14</v>
      </c>
      <c r="DP71" s="17">
        <f>DO71*VLOOKUP('Données projet'!$B$14,Paramètres!$A$1:$I$89,3,0)*VLOOKUP('Données projet'!$B$14,Paramètres!$A$1:$I$89,5,0)</f>
        <v>-5.1431925385259088E-14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320.81451813551064</v>
      </c>
      <c r="DU71" s="59">
        <f t="shared" si="98"/>
        <v>522.80818268773976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0.86483273242110592</v>
      </c>
      <c r="EB71" s="21">
        <f>EXP(-LN(2)/25)*EB70+(1-EXP(-LN(2)/25))/(LN(2)/25)*Calculateur!DW71*Calculateur!DY71*VLOOKUP('Données projet'!$B$14,Paramètres!$A$1:$I$89,3,0)*0.475*44/12</f>
        <v>3.6353851742842824</v>
      </c>
      <c r="EC71" s="21">
        <f>EXP(-LN(2)/2)*EC70+(1-EXP(-LN(2)/2))/(LN(2)/2)*DW71*DZ71*VLOOKUP('Données projet'!$B$14,Paramètres!$A$1:$I$89,3,0)*0.475*44/12</f>
        <v>1.1422888766548968E-5</v>
      </c>
      <c r="ED71" s="22">
        <f t="shared" si="72"/>
        <v>4.5002293295941547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108.5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228.3393311631487</v>
      </c>
      <c r="EP71" s="59">
        <f t="shared" si="100"/>
        <v>266.26050497804033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2.9269638002362686</v>
      </c>
      <c r="EW71" s="21">
        <f>EXP(-LN(2)/25)*EW70+(1-EXP(-LN(2)/25))/(LN(2)/25)*Calculateur!ER71*Calculateur!ET71*VLOOKUP('Données projet'!$B$15,Paramètres!$A$1:$I$89,3,0)*0.475*44/12</f>
        <v>4.2996049803569951</v>
      </c>
      <c r="EX71" s="21">
        <f>EXP(-LN(2)/2)*EX70+(1-EXP(-LN(2)/2))/(LN(2)/2)*ER71*EU71*VLOOKUP('Données projet'!$B$15,Paramètres!$A$1:$I$89,3,0)*0.475*44/12</f>
        <v>1.0386833904407819E-5</v>
      </c>
      <c r="EY71" s="22">
        <f t="shared" si="75"/>
        <v>7.2265791674271673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108.5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11.5</v>
      </c>
      <c r="FE71" s="12">
        <f>IF('Données projet'!$A$218&gt;35,FE70+FD71-FM70,IF(A71&lt;'Données projet'!$A$218,$FB$205^A71,IF(A71='Données projet'!$A$218,'Données projet'!$B$218,FE70+FD71-FM70)))</f>
        <v>397.99999999999983</v>
      </c>
      <c r="FF71" s="17">
        <f>FE71*VLOOKUP('Données projet'!$B$16,Paramètres!$A$1:$I$89,3,0)*VLOOKUP('Données projet'!$B$16,Paramètres!$A$1:$I$89,5,0)</f>
        <v>227.65599999999989</v>
      </c>
      <c r="FG71" s="13">
        <f t="shared" si="101"/>
        <v>55.775552165489593</v>
      </c>
      <c r="FH71" s="20">
        <f t="shared" si="76"/>
        <v>493.64328668822753</v>
      </c>
      <c r="FI71" s="59">
        <f t="shared" si="77"/>
        <v>928.14328668822759</v>
      </c>
      <c r="FJ71" s="59">
        <f ca="1">AVERAGE(OFFSET($FI$3,0,0,'Données projet'!$E$16+1,1))-AVERAGE(OFFSET($H$3,0,0,'Données projet'!$E$16+1,1))</f>
        <v>242.10913976205194</v>
      </c>
      <c r="FK71" s="59">
        <f t="shared" si="102"/>
        <v>198.24795425321133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3.7788477085364929</v>
      </c>
      <c r="FS71" s="21">
        <f>EXP(-LN(2)/2)*FS70+(1-EXP(-LN(2)/2))/(LN(2)/2)*FM71*FP71*VLOOKUP('Données projet'!$B$16,Paramètres!$A$1:$I$89,3,0)*0.475*44/12</f>
        <v>2.5220265490257951E-5</v>
      </c>
      <c r="FT71" s="22">
        <f t="shared" si="78"/>
        <v>3.7788729288019831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108.5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108.5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33.745139999999964</v>
      </c>
      <c r="D72" s="11">
        <f t="shared" si="86"/>
        <v>10.324749212239373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187.10374016424421</v>
      </c>
      <c r="H72" s="67">
        <f t="shared" si="56"/>
        <v>474.5883903779835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108.5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4.0999999999999996</v>
      </c>
      <c r="N72" s="13">
        <f>IF('Données projet'!$A$36&gt;35,N71+M72-V71,IF(A72&lt;'Données projet'!$A$36,$K$205^A72,IF(A72='Données projet'!$A$36,'Données projet'!$B$36,N71+M72-V71)))</f>
        <v>269.89999999999981</v>
      </c>
      <c r="O72" s="13">
        <f>N72*VLOOKUP('Données projet'!$B$9,Paramètres!$A$1:$I$89,3,0)*VLOOKUP('Données projet'!$B$9,Paramètres!$A$1:$I$89,5,0)</f>
        <v>218.94287999999986</v>
      </c>
      <c r="P72" s="13">
        <f t="shared" si="87"/>
        <v>53.885061542657262</v>
      </c>
      <c r="Q72" s="20">
        <f t="shared" si="54"/>
        <v>475.17533152012783</v>
      </c>
      <c r="R72" s="59">
        <f t="shared" si="55"/>
        <v>909.67533152012788</v>
      </c>
      <c r="S72" s="59">
        <f ca="1">AVERAGE(OFFSET($R$3,0,0,'Données projet'!$E$9+1,1))-AVERAGE(OFFSET($H$3,0,0,'Données projet'!$E$9+1,1))</f>
        <v>273.89826011924487</v>
      </c>
      <c r="T72" s="59">
        <f t="shared" si="88"/>
        <v>332.17519939974227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2.8849467558241519</v>
      </c>
      <c r="AB72" s="21">
        <f>EXP(-LN(2)/2)*AB71+(1-EXP(-LN(2)/2))/(LN(2)/2)*V72*Y72*VLOOKUP('Données projet'!$B$9,Paramètres!$A$1:$I$89,3,0)*0.475*44/12</f>
        <v>1.4798694970785923E-5</v>
      </c>
      <c r="AC72" s="22">
        <f t="shared" si="57"/>
        <v>2.8849615545191227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108.5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15.5</v>
      </c>
      <c r="AI72" s="13">
        <f>IF('Données projet'!$A$62&gt;35,AI71+AH72-AQ71,IF(A72&lt;'Données projet'!$A$62,$AF$205^A72,IF(A72='Données projet'!$A$62,'Données projet'!$B$62,AI71+AH72-AQ71)))</f>
        <v>430.89999999999986</v>
      </c>
      <c r="AJ72" s="13">
        <f>AI72*VLOOKUP('Données projet'!$B$10,Paramètres!$A$1:$I$89,3,0)*VLOOKUP('Données projet'!$B$10,Paramètres!$A$1:$I$89,5,0)</f>
        <v>201.66119999999992</v>
      </c>
      <c r="AK72" s="13">
        <f t="shared" si="89"/>
        <v>50.109073265229782</v>
      </c>
      <c r="AL72" s="20">
        <f t="shared" si="58"/>
        <v>438.49989260360843</v>
      </c>
      <c r="AM72" s="59">
        <f t="shared" si="59"/>
        <v>872.99989260360849</v>
      </c>
      <c r="AN72" s="59">
        <f ca="1">AVERAGE(OFFSET($AM$3,0,0,'Données projet'!$E$10+1,1))-AVERAGE(OFFSET($H$3,0,0,'Données projet'!$E$10+1,1))</f>
        <v>293.42903587188346</v>
      </c>
      <c r="AO72" s="59">
        <f t="shared" si="90"/>
        <v>267.80827667062124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1.4479252991364533</v>
      </c>
      <c r="AV72" s="21">
        <f>EXP(-LN(2)/25)*AV71+(1-EXP(-LN(2)/25))/(LN(2)/25)*Calculateur!AQ72*Calculateur!AS72*VLOOKUP('Données projet'!$B$10,Paramètres!$A$1:$I$89,3,0)*0.475*44/12</f>
        <v>2.6641892341845357</v>
      </c>
      <c r="AW72" s="21">
        <f>EXP(-LN(2)/2)*AW71+(1-EXP(-LN(2)/2))/(LN(2)/2)*AQ72*AT72*VLOOKUP('Données projet'!$B$10,Paramètres!$A$1:$I$89,3,0)*0.475*44/12</f>
        <v>1.3260648084717135E-5</v>
      </c>
      <c r="AX72" s="21">
        <f t="shared" si="60"/>
        <v>4.1121277939690737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108.5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</v>
      </c>
      <c r="BD72" s="12">
        <f>IF('Données projet'!$A$88&gt;35,BD71+BC72-BL71,IF(A72&lt;'Données projet'!$A$88,$BA$205^A72,IF(A72='Données projet'!$A$88,'Données projet'!$B$88,BD71+BC72-BL71)))</f>
        <v>256.00000000000017</v>
      </c>
      <c r="BE72" s="13">
        <f>BD72*VLOOKUP('Données projet'!$B$11,Paramètres!$A$1:$I$89,3,0)*VLOOKUP('Données projet'!$B$11,Paramètres!$A$1:$I$89,5,0)</f>
        <v>231.62880000000013</v>
      </c>
      <c r="BF72" s="13">
        <f t="shared" si="91"/>
        <v>56.63472139815827</v>
      </c>
      <c r="BG72" s="20">
        <f t="shared" si="61"/>
        <v>502.0589664351258</v>
      </c>
      <c r="BH72" s="59">
        <f t="shared" si="62"/>
        <v>936.55896643512574</v>
      </c>
      <c r="BI72" s="59">
        <f ca="1">AVERAGE(OFFSET($BH$3,0,0,'Données projet'!$E$11+1,1))-AVERAGE(OFFSET($H$3,0,0,'Données projet'!$E$11+1,1))</f>
        <v>324.41828402031939</v>
      </c>
      <c r="BJ72" s="59">
        <f t="shared" si="92"/>
        <v>233.01060088065992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1.0533822913961814</v>
      </c>
      <c r="BR72" s="21">
        <f>EXP(-LN(2)/2)*BR71+(1-EXP(-LN(2)/2))/(LN(2)/2)*BL72*BO72*VLOOKUP('Données projet'!$B$11,Paramètres!$A$1:$I$89,3,0)*0.475*44/12</f>
        <v>8.3475682048583016E-6</v>
      </c>
      <c r="BS72" s="22">
        <f t="shared" si="63"/>
        <v>1.0533906389643863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108.5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8.5</v>
      </c>
      <c r="BY72" s="12">
        <f>IF('Données projet'!$A$114&gt;35,BY71+BX72-CG71,IF(A72&lt;'Données projet'!$A$114,$BV$205^A72,IF(A72='Données projet'!$A$114,'Données projet'!$B$114,BY71+BX72-CG71)))</f>
        <v>402.50000000000023</v>
      </c>
      <c r="BZ72" s="13">
        <f>BY72*VLOOKUP('Données projet'!$B$12,Paramètres!$A$1:$I$89,3,0)*VLOOKUP('Données projet'!$B$12,Paramètres!$A$1:$I$89,5,0)</f>
        <v>219.76500000000013</v>
      </c>
      <c r="CA72" s="13">
        <f t="shared" si="93"/>
        <v>54.063806455114872</v>
      </c>
      <c r="CB72" s="20">
        <f t="shared" si="64"/>
        <v>476.91850457599202</v>
      </c>
      <c r="CC72" s="59">
        <f t="shared" si="65"/>
        <v>911.41850457599207</v>
      </c>
      <c r="CD72" s="59">
        <f ca="1">AVERAGE(OFFSET($CC$3,0,0,'Données projet'!$E$12+1,1))-AVERAGE(OFFSET($H$3,0,0,'Données projet'!$E$12+1,1))</f>
        <v>279.00060755204919</v>
      </c>
      <c r="CE72" s="59">
        <f t="shared" si="94"/>
        <v>333.91128554211014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3.3724700966220413</v>
      </c>
      <c r="CL72" s="21">
        <f>EXP(-LN(2)/25)*CL71+(1-EXP(-LN(2)/25))/(LN(2)/25)*Calculateur!CG72*Calculateur!CI72*VLOOKUP('Données projet'!$B$12,Paramètres!$A$1:$I$89,3,0)*0.475*44/12</f>
        <v>9.4388166210561693</v>
      </c>
      <c r="CM72" s="21">
        <f>EXP(-LN(2)/2)*CM71+(1-EXP(-LN(2)/2))/(LN(2)/2)*CG72*CJ72*VLOOKUP('Données projet'!$B$12,Paramètres!$A$1:$I$89,3,0)*0.475*44/12</f>
        <v>2.9069711469882448E-5</v>
      </c>
      <c r="CN72" s="22">
        <f t="shared" si="66"/>
        <v>12.811315787389681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108.5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11.8</v>
      </c>
      <c r="CT72" s="12">
        <f>IF('Données projet'!$A$140&gt;35,CT71+CS72-DB71,IF(A72&lt;'Données projet'!$A$140,$CQ$205^A72,IF(A72='Données projet'!$A$140,'Données projet'!$B$140,CT71+CS72-DB71)))</f>
        <v>541.20000000000016</v>
      </c>
      <c r="CU72" s="17">
        <f>CT72*VLOOKUP('Données projet'!$B$13,Paramètres!$A$1:$I$89,3,0)*VLOOKUP('Données projet'!$B$13,Paramètres!$A$1:$I$89,5,0)</f>
        <v>323.63760000000013</v>
      </c>
      <c r="CV72" s="13">
        <f t="shared" si="95"/>
        <v>76.109728452986261</v>
      </c>
      <c r="CW72" s="20">
        <f t="shared" si="67"/>
        <v>696.22659705561784</v>
      </c>
      <c r="CX72" s="59">
        <f t="shared" si="68"/>
        <v>1130.7265970556177</v>
      </c>
      <c r="CY72" s="59">
        <f ca="1">AVERAGE(OFFSET($CX$3,0,0,'Données projet'!$E$13+1,1))-AVERAGE(OFFSET($H$3,0,0,'Données projet'!$E$13+1,1))</f>
        <v>380.01315081072897</v>
      </c>
      <c r="CZ72" s="59">
        <f t="shared" si="96"/>
        <v>404.90871625409181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1.6159752546313959</v>
      </c>
      <c r="DG72" s="21">
        <f>EXP(-LN(2)/25)*DG71+(1-EXP(-LN(2)/25))/(LN(2)/25)*Calculateur!DB72*Calculateur!DD72*VLOOKUP('Données projet'!$B$13,Paramètres!$A$1:$I$89,3,0)*0.475*44/12</f>
        <v>7.2373885093041448</v>
      </c>
      <c r="DH72" s="21">
        <f>EXP(-LN(2)/2)*DH71+(1-EXP(-LN(2)/2))/(LN(2)/2)*DB72*DE72*VLOOKUP('Données projet'!$B$13,Paramètres!$A$1:$I$89,3,0)*0.475*44/12</f>
        <v>4.0870081035813835E-5</v>
      </c>
      <c r="DI72" s="22">
        <f t="shared" si="69"/>
        <v>8.8534046340165755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108.5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-5.6843418860808015E-14</v>
      </c>
      <c r="DP72" s="17">
        <f>DO72*VLOOKUP('Données projet'!$B$14,Paramètres!$A$1:$I$89,3,0)*VLOOKUP('Données projet'!$B$14,Paramètres!$A$1:$I$89,5,0)</f>
        <v>-5.1431925385259088E-14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320.81451813551064</v>
      </c>
      <c r="DU72" s="59">
        <f t="shared" si="98"/>
        <v>522.80818268773976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0.84787389003420888</v>
      </c>
      <c r="EB72" s="21">
        <f>EXP(-LN(2)/25)*EB71+(1-EXP(-LN(2)/25))/(LN(2)/25)*Calculateur!DW72*Calculateur!DY72*VLOOKUP('Données projet'!$B$14,Paramètres!$A$1:$I$89,3,0)*0.475*44/12</f>
        <v>3.5359753755168812</v>
      </c>
      <c r="EC72" s="21">
        <f>EXP(-LN(2)/2)*EC71+(1-EXP(-LN(2)/2))/(LN(2)/2)*DW72*DZ72*VLOOKUP('Données projet'!$B$14,Paramètres!$A$1:$I$89,3,0)*0.475*44/12</f>
        <v>8.0772021075664131E-6</v>
      </c>
      <c r="ED72" s="22">
        <f t="shared" si="72"/>
        <v>4.3838573427531973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108.5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228.3393311631487</v>
      </c>
      <c r="EP72" s="59">
        <f t="shared" si="100"/>
        <v>266.26050497804033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2.8695678253852726</v>
      </c>
      <c r="EW72" s="21">
        <f>EXP(-LN(2)/25)*EW71+(1-EXP(-LN(2)/25))/(LN(2)/25)*Calculateur!ER72*Calculateur!ET72*VLOOKUP('Données projet'!$B$15,Paramètres!$A$1:$I$89,3,0)*0.475*44/12</f>
        <v>4.1820320560627344</v>
      </c>
      <c r="EX72" s="21">
        <f>EXP(-LN(2)/2)*EX71+(1-EXP(-LN(2)/2))/(LN(2)/2)*ER72*EU72*VLOOKUP('Données projet'!$B$15,Paramètres!$A$1:$I$89,3,0)*0.475*44/12</f>
        <v>7.3446006888651128E-6</v>
      </c>
      <c r="EY72" s="22">
        <f t="shared" si="75"/>
        <v>7.0516072260486959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108.5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11.5</v>
      </c>
      <c r="FE72" s="12">
        <f>IF('Données projet'!$A$218&gt;35,FE71+FD72-FM71,IF(A72&lt;'Données projet'!$A$218,$FB$205^A72,IF(A72='Données projet'!$A$218,'Données projet'!$B$218,FE71+FD72-FM71)))</f>
        <v>409.49999999999983</v>
      </c>
      <c r="FF72" s="17">
        <f>FE72*VLOOKUP('Données projet'!$B$16,Paramètres!$A$1:$I$89,3,0)*VLOOKUP('Données projet'!$B$16,Paramètres!$A$1:$I$89,5,0)</f>
        <v>234.2339999999999</v>
      </c>
      <c r="FG72" s="13">
        <f t="shared" si="101"/>
        <v>57.197197133603439</v>
      </c>
      <c r="FH72" s="20">
        <f t="shared" si="76"/>
        <v>507.57600167435913</v>
      </c>
      <c r="FI72" s="59">
        <f t="shared" si="77"/>
        <v>942.07600167435908</v>
      </c>
      <c r="FJ72" s="59">
        <f ca="1">AVERAGE(OFFSET($FI$3,0,0,'Données projet'!$E$16+1,1))-AVERAGE(OFFSET($H$3,0,0,'Données projet'!$E$16+1,1))</f>
        <v>242.10913976205194</v>
      </c>
      <c r="FK72" s="59">
        <f t="shared" si="102"/>
        <v>198.24795425321133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3.675514919225598</v>
      </c>
      <c r="FS72" s="21">
        <f>EXP(-LN(2)/2)*FS71+(1-EXP(-LN(2)/2))/(LN(2)/2)*FM72*FP72*VLOOKUP('Données projet'!$B$16,Paramètres!$A$1:$I$89,3,0)*0.475*44/12</f>
        <v>1.7833420751486464E-5</v>
      </c>
      <c r="FT72" s="22">
        <f t="shared" si="78"/>
        <v>3.6755327526463497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108.5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108.5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34.234199999999966</v>
      </c>
      <c r="D73" s="11">
        <f t="shared" si="86"/>
        <v>10.456854930803082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189.74097005709368</v>
      </c>
      <c r="H73" s="67">
        <f t="shared" si="56"/>
        <v>475.67025400448193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108.5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274</v>
      </c>
      <c r="L73" s="12">
        <f>VLOOKUP(A73,'Données projet'!$A$35:$I$55,9,0)</f>
        <v>4.0999999999999996</v>
      </c>
      <c r="M73" s="12">
        <f t="array" ref="M73">INDEX(L:L,MIN(IF(ISNUMBER(L73:L269),ROW(L73:L269),"")))</f>
        <v>4.0999999999999996</v>
      </c>
      <c r="N73" s="13">
        <f>IF('Données projet'!$A$36&gt;35,N72+M73-V72,IF(A73&lt;'Données projet'!$A$36,$K$205^A73,IF(A73='Données projet'!$A$36,'Données projet'!$B$36,N72+M73-V72)))</f>
        <v>273.99999999999983</v>
      </c>
      <c r="O73" s="13">
        <f>N73*VLOOKUP('Données projet'!$B$9,Paramètres!$A$1:$I$89,3,0)*VLOOKUP('Données projet'!$B$9,Paramètres!$A$1:$I$89,5,0)</f>
        <v>222.26879999999986</v>
      </c>
      <c r="P73" s="13">
        <f t="shared" si="87"/>
        <v>54.607703354107656</v>
      </c>
      <c r="Q73" s="20">
        <f t="shared" si="54"/>
        <v>482.22657667507048</v>
      </c>
      <c r="R73" s="59">
        <f t="shared" si="55"/>
        <v>916.72657667507042</v>
      </c>
      <c r="S73" s="59">
        <f ca="1">AVERAGE(OFFSET($R$3,0,0,'Données projet'!$E$9+1,1))-AVERAGE(OFFSET($H$3,0,0,'Données projet'!$E$9+1,1))</f>
        <v>273.89826011924487</v>
      </c>
      <c r="T73" s="59">
        <f t="shared" si="88"/>
        <v>332.17519939974227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2.8060577350733844</v>
      </c>
      <c r="AB73" s="21">
        <f>EXP(-LN(2)/2)*AB72+(1-EXP(-LN(2)/2))/(LN(2)/2)*V73*Y73*VLOOKUP('Données projet'!$B$9,Paramètres!$A$1:$I$89,3,0)*0.475*44/12</f>
        <v>1.0464257566553984E-5</v>
      </c>
      <c r="AC73" s="22">
        <f t="shared" si="57"/>
        <v>2.8060681993309511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108.5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446.4</v>
      </c>
      <c r="AG73" s="12">
        <f>VLOOKUP(A73,'Données projet'!$A$61:$I$81,9,0)</f>
        <v>15.5</v>
      </c>
      <c r="AH73" s="12">
        <f t="array" ref="AH73">INDEX(AG:AG,MIN(IF(ISNUMBER(AG73:AG269),ROW(AG73:AG269),"")))</f>
        <v>15.5</v>
      </c>
      <c r="AI73" s="13">
        <f>IF('Données projet'!$A$62&gt;35,AI72+AH73-AQ72,IF(A73&lt;'Données projet'!$A$62,$AF$205^A73,IF(A73='Données projet'!$A$62,'Données projet'!$B$62,AI72+AH73-AQ72)))</f>
        <v>446.39999999999986</v>
      </c>
      <c r="AJ73" s="13">
        <f>AI73*VLOOKUP('Données projet'!$B$10,Paramètres!$A$1:$I$89,3,0)*VLOOKUP('Données projet'!$B$10,Paramètres!$A$1:$I$89,5,0)</f>
        <v>208.91519999999994</v>
      </c>
      <c r="AK73" s="13">
        <f t="shared" si="89"/>
        <v>51.698458198123326</v>
      </c>
      <c r="AL73" s="20">
        <f t="shared" si="58"/>
        <v>453.90212136173136</v>
      </c>
      <c r="AM73" s="59">
        <f t="shared" si="59"/>
        <v>888.40212136173136</v>
      </c>
      <c r="AN73" s="59">
        <f ca="1">AVERAGE(OFFSET($AM$3,0,0,'Données projet'!$E$10+1,1))-AVERAGE(OFFSET($H$3,0,0,'Données projet'!$E$10+1,1))</f>
        <v>293.42903587188346</v>
      </c>
      <c r="AO73" s="59">
        <f t="shared" si="90"/>
        <v>267.80827667062124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83.4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1.4195323671676163</v>
      </c>
      <c r="AV73" s="21">
        <f>EXP(-LN(2)/25)*AV72+(1-EXP(-LN(2)/25))/(LN(2)/25)*Calculateur!AQ73*Calculateur!AS73*VLOOKUP('Données projet'!$B$10,Paramètres!$A$1:$I$89,3,0)*0.475*44/12</f>
        <v>2.5913368394721368</v>
      </c>
      <c r="AW73" s="21">
        <f>EXP(-LN(2)/2)*AW72+(1-EXP(-LN(2)/2))/(LN(2)/2)*AQ73*AT73*VLOOKUP('Données projet'!$B$10,Paramètres!$A$1:$I$89,3,0)*0.475*44/12</f>
        <v>9.3766941836318892E-6</v>
      </c>
      <c r="AX73" s="21">
        <f t="shared" si="60"/>
        <v>4.0108785833339367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108.5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7</v>
      </c>
      <c r="BC73" s="12">
        <f t="array" ref="BC73">INDEX(BB:BB,MIN(IF(ISNUMBER(BB73:BB269),ROW(BB73:BB269),"")))</f>
        <v>7</v>
      </c>
      <c r="BD73" s="12">
        <f>IF('Données projet'!$A$88&gt;35,BD72+BC73-BL72,IF(A73&lt;'Données projet'!$A$88,$BA$205^A73,IF(A73='Données projet'!$A$88,'Données projet'!$B$88,BD72+BC73-BL72)))</f>
        <v>263.00000000000017</v>
      </c>
      <c r="BE73" s="13">
        <f>BD73*VLOOKUP('Données projet'!$B$11,Paramètres!$A$1:$I$89,3,0)*VLOOKUP('Données projet'!$B$11,Paramètres!$A$1:$I$89,5,0)</f>
        <v>237.96240000000012</v>
      </c>
      <c r="BF73" s="13">
        <f t="shared" si="91"/>
        <v>58.000913607663399</v>
      </c>
      <c r="BG73" s="20">
        <f t="shared" si="61"/>
        <v>515.46943786668055</v>
      </c>
      <c r="BH73" s="59">
        <f t="shared" si="62"/>
        <v>949.96943786668055</v>
      </c>
      <c r="BI73" s="59">
        <f ca="1">AVERAGE(OFFSET($BH$3,0,0,'Données projet'!$E$11+1,1))-AVERAGE(OFFSET($H$3,0,0,'Données projet'!$E$11+1,1))</f>
        <v>324.41828402031939</v>
      </c>
      <c r="BJ73" s="59">
        <f t="shared" si="92"/>
        <v>233.01060088065992</v>
      </c>
      <c r="BK73" s="15">
        <f>IF(ISNA(VLOOKUP(A73,'Données projet'!$A$87:$I$107,3,0)),0,VLOOKUP(A73,'Données projet'!$A$87:$I$107,3,0))</f>
        <v>5</v>
      </c>
      <c r="BL73" s="15">
        <f>IF(ISNA(VLOOKUP(A73,'Données projet'!$A$87:$I$107,4,0)),0,VLOOKUP(A73,'Données projet'!$A$87:$I$107,4,0))</f>
        <v>42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1.0245774972429857</v>
      </c>
      <c r="BR73" s="21">
        <f>EXP(-LN(2)/2)*BR72+(1-EXP(-LN(2)/2))/(LN(2)/2)*BL73*BO73*VLOOKUP('Données projet'!$B$11,Paramètres!$A$1:$I$89,3,0)*0.475*44/12</f>
        <v>5.9026220840725205E-6</v>
      </c>
      <c r="BS73" s="22">
        <f t="shared" si="63"/>
        <v>1.0245833998650697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108.5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411</v>
      </c>
      <c r="BW73" s="12">
        <f>VLOOKUP(A73,'Données projet'!$A$113:$I$133,9,0)</f>
        <v>8.5</v>
      </c>
      <c r="BX73" s="12">
        <f t="array" ref="BX73">INDEX(BW:BW,MIN(IF(ISNUMBER(BW73:BW269),ROW(BW73:BW269),"")))</f>
        <v>8.5</v>
      </c>
      <c r="BY73" s="12">
        <f>IF('Données projet'!$A$114&gt;35,BY72+BX73-CG72,IF(A73&lt;'Données projet'!$A$114,$BV$205^A73,IF(A73='Données projet'!$A$114,'Données projet'!$B$114,BY72+BX73-CG72)))</f>
        <v>411.00000000000023</v>
      </c>
      <c r="BZ73" s="13">
        <f>BY73*VLOOKUP('Données projet'!$B$12,Paramètres!$A$1:$I$89,3,0)*VLOOKUP('Données projet'!$B$12,Paramètres!$A$1:$I$89,5,0)</f>
        <v>224.40600000000012</v>
      </c>
      <c r="CA73" s="13">
        <f t="shared" si="93"/>
        <v>55.071400090717127</v>
      </c>
      <c r="CB73" s="20">
        <f t="shared" si="64"/>
        <v>486.75647182466588</v>
      </c>
      <c r="CC73" s="59">
        <f t="shared" si="65"/>
        <v>921.25647182466582</v>
      </c>
      <c r="CD73" s="59">
        <f ca="1">AVERAGE(OFFSET($CC$3,0,0,'Données projet'!$E$12+1,1))-AVERAGE(OFFSET($H$3,0,0,'Données projet'!$E$12+1,1))</f>
        <v>279.00060755204919</v>
      </c>
      <c r="CE73" s="59">
        <f t="shared" si="94"/>
        <v>333.91128554211014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52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3.3063380150309296</v>
      </c>
      <c r="CL73" s="21">
        <f>EXP(-LN(2)/25)*CL72+(1-EXP(-LN(2)/25))/(LN(2)/25)*Calculateur!CG73*Calculateur!CI73*VLOOKUP('Données projet'!$B$12,Paramètres!$A$1:$I$89,3,0)*0.475*44/12</f>
        <v>9.1807116841875942</v>
      </c>
      <c r="CM73" s="21">
        <f>EXP(-LN(2)/2)*CM72+(1-EXP(-LN(2)/2))/(LN(2)/2)*CG73*CJ73*VLOOKUP('Données projet'!$B$12,Paramètres!$A$1:$I$89,3,0)*0.475*44/12</f>
        <v>2.0555390107490242E-5</v>
      </c>
      <c r="CN73" s="22">
        <f t="shared" si="66"/>
        <v>12.487070254608632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108.5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553</v>
      </c>
      <c r="CR73" s="12">
        <f>VLOOKUP(A73,'Données projet'!$A$139:$I$159,9,0)</f>
        <v>11.8</v>
      </c>
      <c r="CS73" s="12">
        <f t="array" ref="CS73">INDEX(CR:CR,MIN(IF(ISNUMBER(CR73:CR269),ROW(CR73:CR269),"")))</f>
        <v>11.8</v>
      </c>
      <c r="CT73" s="12">
        <f>IF('Données projet'!$A$140&gt;35,CT72+CS73-DB72,IF(A73&lt;'Données projet'!$A$140,$CQ$205^A73,IF(A73='Données projet'!$A$140,'Données projet'!$B$140,CT72+CS73-DB72)))</f>
        <v>553.00000000000011</v>
      </c>
      <c r="CU73" s="17">
        <f>CT73*VLOOKUP('Données projet'!$B$13,Paramètres!$A$1:$I$89,3,0)*VLOOKUP('Données projet'!$B$13,Paramètres!$A$1:$I$89,5,0)</f>
        <v>330.69400000000007</v>
      </c>
      <c r="CV73" s="13">
        <f t="shared" si="95"/>
        <v>77.574173481011158</v>
      </c>
      <c r="CW73" s="20">
        <f t="shared" si="67"/>
        <v>711.06706881276114</v>
      </c>
      <c r="CX73" s="59">
        <f t="shared" si="68"/>
        <v>1145.5670688127611</v>
      </c>
      <c r="CY73" s="59">
        <f ca="1">AVERAGE(OFFSET($CX$3,0,0,'Données projet'!$E$13+1,1))-AVERAGE(OFFSET($H$3,0,0,'Données projet'!$E$13+1,1))</f>
        <v>380.01315081072897</v>
      </c>
      <c r="CZ73" s="59">
        <f t="shared" si="96"/>
        <v>404.90871625409181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55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1.5842869655356548</v>
      </c>
      <c r="DG73" s="21">
        <f>EXP(-LN(2)/25)*DG72+(1-EXP(-LN(2)/25))/(LN(2)/25)*Calculateur!DB73*Calculateur!DD73*VLOOKUP('Données projet'!$B$13,Paramètres!$A$1:$I$89,3,0)*0.475*44/12</f>
        <v>7.0394817399195029</v>
      </c>
      <c r="DH73" s="21">
        <f>EXP(-LN(2)/2)*DH72+(1-EXP(-LN(2)/2))/(LN(2)/2)*DB73*DE73*VLOOKUP('Données projet'!$B$13,Paramètres!$A$1:$I$89,3,0)*0.475*44/12</f>
        <v>2.889951144806768E-5</v>
      </c>
      <c r="DI73" s="22">
        <f t="shared" si="69"/>
        <v>8.6237976049666063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108.5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-5.6843418860808015E-14</v>
      </c>
      <c r="DP73" s="17">
        <f>DO73*VLOOKUP('Données projet'!$B$14,Paramètres!$A$1:$I$89,3,0)*VLOOKUP('Données projet'!$B$14,Paramètres!$A$1:$I$89,5,0)</f>
        <v>-5.1431925385259088E-14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320.81451813551064</v>
      </c>
      <c r="DU73" s="59">
        <f t="shared" si="98"/>
        <v>522.80818268773976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0.83124760020264643</v>
      </c>
      <c r="EB73" s="21">
        <f>EXP(-LN(2)/25)*EB72+(1-EXP(-LN(2)/25))/(LN(2)/25)*Calculateur!DW73*Calculateur!DY73*VLOOKUP('Données projet'!$B$14,Paramètres!$A$1:$I$89,3,0)*0.475*44/12</f>
        <v>3.4392839429245088</v>
      </c>
      <c r="EC73" s="21">
        <f>EXP(-LN(2)/2)*EC72+(1-EXP(-LN(2)/2))/(LN(2)/2)*DW73*DZ73*VLOOKUP('Données projet'!$B$14,Paramètres!$A$1:$I$89,3,0)*0.475*44/12</f>
        <v>5.7114443832744842E-6</v>
      </c>
      <c r="ED73" s="22">
        <f t="shared" si="72"/>
        <v>4.2705372545715381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108.5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228.3393311631487</v>
      </c>
      <c r="EP73" s="59">
        <f t="shared" si="100"/>
        <v>266.26050497804033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2.8132973505930168</v>
      </c>
      <c r="EW73" s="21">
        <f>EXP(-LN(2)/25)*EW72+(1-EXP(-LN(2)/25))/(LN(2)/25)*Calculateur!ER73*Calculateur!ET73*VLOOKUP('Données projet'!$B$15,Paramètres!$A$1:$I$89,3,0)*0.475*44/12</f>
        <v>4.0676741695661915</v>
      </c>
      <c r="EX73" s="21">
        <f>EXP(-LN(2)/2)*EX72+(1-EXP(-LN(2)/2))/(LN(2)/2)*ER73*EU73*VLOOKUP('Données projet'!$B$15,Paramètres!$A$1:$I$89,3,0)*0.475*44/12</f>
        <v>5.1934169522039103E-6</v>
      </c>
      <c r="EY73" s="22">
        <f t="shared" si="75"/>
        <v>6.8809767135761613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108.5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421</v>
      </c>
      <c r="FC73" s="12">
        <f>VLOOKUP(A73,'Données projet'!$A$217:$I$237,9,0)</f>
        <v>11.5</v>
      </c>
      <c r="FD73" s="12">
        <f t="array" ref="FD73">INDEX(FC:FC,MIN(IF(ISNUMBER(FC73:FC269),ROW(FC73:FC269),"")))</f>
        <v>11.5</v>
      </c>
      <c r="FE73" s="12">
        <f>IF('Données projet'!$A$218&gt;35,FE72+FD73-FM72,IF(A73&lt;'Données projet'!$A$218,$FB$205^A73,IF(A73='Données projet'!$A$218,'Données projet'!$B$218,FE72+FD73-FM72)))</f>
        <v>420.99999999999983</v>
      </c>
      <c r="FF73" s="17">
        <f>FE73*VLOOKUP('Données projet'!$B$16,Paramètres!$A$1:$I$89,3,0)*VLOOKUP('Données projet'!$B$16,Paramètres!$A$1:$I$89,5,0)</f>
        <v>240.8119999999999</v>
      </c>
      <c r="FG73" s="13">
        <f t="shared" si="101"/>
        <v>58.614201879710158</v>
      </c>
      <c r="FH73" s="20">
        <f t="shared" si="76"/>
        <v>521.50063494049505</v>
      </c>
      <c r="FI73" s="59">
        <f t="shared" si="77"/>
        <v>956.00063494049505</v>
      </c>
      <c r="FJ73" s="59">
        <f ca="1">AVERAGE(OFFSET($FI$3,0,0,'Données projet'!$E$16+1,1))-AVERAGE(OFFSET($H$3,0,0,'Données projet'!$E$16+1,1))</f>
        <v>242.10913976205194</v>
      </c>
      <c r="FK73" s="59">
        <f t="shared" si="102"/>
        <v>198.24795425321133</v>
      </c>
      <c r="FL73" s="15">
        <f>IF(ISNA(VLOOKUP(A73,'Données projet'!$A$217:$I$237,3,0)),0,VLOOKUP(A73,'Données projet'!$A$217:$I$237,3,0))</f>
        <v>6</v>
      </c>
      <c r="FM73" s="15">
        <f>IF(ISNA(VLOOKUP(A73,'Données projet'!$A$217:$I$237,4,0)),0,VLOOKUP(A73,'Données projet'!$A$217:$I$237,4,0))</f>
        <v>63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3.5750077704724448</v>
      </c>
      <c r="FS73" s="21">
        <f>EXP(-LN(2)/2)*FS72+(1-EXP(-LN(2)/2))/(LN(2)/2)*FM73*FP73*VLOOKUP('Données projet'!$B$16,Paramètres!$A$1:$I$89,3,0)*0.475*44/12</f>
        <v>1.2610132745128975E-5</v>
      </c>
      <c r="FT73" s="22">
        <f t="shared" si="78"/>
        <v>3.5750203806051899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108.5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108.5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34.723259999999968</v>
      </c>
      <c r="D74" s="11">
        <f t="shared" si="86"/>
        <v>10.588741151075963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192.37726804491888</v>
      </c>
      <c r="H74" s="67">
        <f t="shared" si="56"/>
        <v>476.75173533812392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108.5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3.1</v>
      </c>
      <c r="N74" s="13">
        <f>IF('Données projet'!$A$36&gt;35,N73+M74-V73,IF(A74&lt;'Données projet'!$A$36,$K$205^A74,IF(A74='Données projet'!$A$36,'Données projet'!$B$36,N73+M74-V73)))</f>
        <v>256.09999999999985</v>
      </c>
      <c r="O74" s="13">
        <f>N74*VLOOKUP('Données projet'!$B$9,Paramètres!$A$1:$I$89,3,0)*VLOOKUP('Données projet'!$B$9,Paramètres!$A$1:$I$89,5,0)</f>
        <v>207.74831999999992</v>
      </c>
      <c r="P74" s="13">
        <f t="shared" si="87"/>
        <v>51.443228678039006</v>
      </c>
      <c r="Q74" s="20">
        <f t="shared" si="54"/>
        <v>451.42528061425111</v>
      </c>
      <c r="R74" s="59">
        <f t="shared" si="55"/>
        <v>885.92528061425105</v>
      </c>
      <c r="S74" s="59">
        <f ca="1">AVERAGE(OFFSET($R$3,0,0,'Données projet'!$E$9+1,1))-AVERAGE(OFFSET($H$3,0,0,'Données projet'!$E$9+1,1))</f>
        <v>273.89826011924487</v>
      </c>
      <c r="T74" s="59">
        <f t="shared" si="88"/>
        <v>332.17519939974227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2.7293259387436399</v>
      </c>
      <c r="AB74" s="21">
        <f>EXP(-LN(2)/2)*AB73+(1-EXP(-LN(2)/2))/(LN(2)/2)*V74*Y74*VLOOKUP('Données projet'!$B$9,Paramètres!$A$1:$I$89,3,0)*0.475*44/12</f>
        <v>7.3993474853929621E-6</v>
      </c>
      <c r="AC74" s="22">
        <f t="shared" si="57"/>
        <v>2.7293333380911253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108.5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17</v>
      </c>
      <c r="AI74" s="13">
        <f>IF('Données projet'!$A$62&gt;35,AI73+AH74-AQ73,IF(A74&lt;'Données projet'!$A$62,$AF$205^A74,IF(A74='Données projet'!$A$62,'Données projet'!$B$62,AI73+AH74-AQ73)))</f>
        <v>379.99999999999989</v>
      </c>
      <c r="AJ74" s="13">
        <f>AI74*VLOOKUP('Données projet'!$B$10,Paramètres!$A$1:$I$89,3,0)*VLOOKUP('Données projet'!$B$10,Paramètres!$A$1:$I$89,5,0)</f>
        <v>177.83999999999995</v>
      </c>
      <c r="AK74" s="13">
        <f t="shared" si="89"/>
        <v>44.841288830609102</v>
      </c>
      <c r="AL74" s="20">
        <f t="shared" si="58"/>
        <v>387.83657804664409</v>
      </c>
      <c r="AM74" s="59">
        <f t="shared" si="59"/>
        <v>822.33657804664404</v>
      </c>
      <c r="AN74" s="59">
        <f ca="1">AVERAGE(OFFSET($AM$3,0,0,'Données projet'!$E$10+1,1))-AVERAGE(OFFSET($H$3,0,0,'Données projet'!$E$10+1,1))</f>
        <v>293.42903587188346</v>
      </c>
      <c r="AO74" s="59">
        <f t="shared" si="90"/>
        <v>267.80827667062124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1.3916962032767097</v>
      </c>
      <c r="AV74" s="21">
        <f>EXP(-LN(2)/25)*AV73+(1-EXP(-LN(2)/25))/(LN(2)/25)*Calculateur!AQ74*Calculateur!AS74*VLOOKUP('Données projet'!$B$10,Paramètres!$A$1:$I$89,3,0)*0.475*44/12</f>
        <v>2.5204765973242895</v>
      </c>
      <c r="AW74" s="21">
        <f>EXP(-LN(2)/2)*AW73+(1-EXP(-LN(2)/2))/(LN(2)/2)*AQ74*AT74*VLOOKUP('Données projet'!$B$10,Paramètres!$A$1:$I$89,3,0)*0.475*44/12</f>
        <v>6.6303240423585673E-6</v>
      </c>
      <c r="AX74" s="21">
        <f t="shared" si="60"/>
        <v>3.9121794309250415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108.5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6.1</v>
      </c>
      <c r="BD74" s="12">
        <f>IF('Données projet'!$A$88&gt;35,BD73+BC74-BL73,IF(A74&lt;'Données projet'!$A$88,$BA$205^A74,IF(A74='Données projet'!$A$88,'Données projet'!$B$88,BD73+BC74-BL73)))</f>
        <v>227.10000000000019</v>
      </c>
      <c r="BE74" s="13">
        <f>BD74*VLOOKUP('Données projet'!$B$11,Paramètres!$A$1:$I$89,3,0)*VLOOKUP('Données projet'!$B$11,Paramètres!$A$1:$I$89,5,0)</f>
        <v>205.48008000000016</v>
      </c>
      <c r="BF74" s="13">
        <f t="shared" si="91"/>
        <v>50.94662215818515</v>
      </c>
      <c r="BG74" s="20">
        <f t="shared" si="61"/>
        <v>446.6098395921727</v>
      </c>
      <c r="BH74" s="59">
        <f t="shared" si="62"/>
        <v>881.10983959217265</v>
      </c>
      <c r="BI74" s="59">
        <f ca="1">AVERAGE(OFFSET($BH$3,0,0,'Données projet'!$E$11+1,1))-AVERAGE(OFFSET($H$3,0,0,'Données projet'!$E$11+1,1))</f>
        <v>324.41828402031939</v>
      </c>
      <c r="BJ74" s="59">
        <f t="shared" si="92"/>
        <v>233.01060088065992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0.99656037170068745</v>
      </c>
      <c r="BR74" s="21">
        <f>EXP(-LN(2)/2)*BR73+(1-EXP(-LN(2)/2))/(LN(2)/2)*BL74*BO74*VLOOKUP('Données projet'!$B$11,Paramètres!$A$1:$I$89,3,0)*0.475*44/12</f>
        <v>4.1737841024291508E-6</v>
      </c>
      <c r="BS74" s="22">
        <f t="shared" si="63"/>
        <v>0.9965645454847899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108.5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7.4</v>
      </c>
      <c r="BY74" s="12">
        <f>IF('Données projet'!$A$114&gt;35,BY73+BX74-CG73,IF(A74&lt;'Données projet'!$A$114,$BV$205^A74,IF(A74='Données projet'!$A$114,'Données projet'!$B$114,BY73+BX74-CG73)))</f>
        <v>366.4000000000002</v>
      </c>
      <c r="BZ74" s="13">
        <f>BY74*VLOOKUP('Données projet'!$B$12,Paramètres!$A$1:$I$89,3,0)*VLOOKUP('Données projet'!$B$12,Paramètres!$A$1:$I$89,5,0)</f>
        <v>200.05440000000013</v>
      </c>
      <c r="CA74" s="13">
        <f t="shared" si="93"/>
        <v>49.756123009618236</v>
      </c>
      <c r="CB74" s="20">
        <f t="shared" si="64"/>
        <v>435.08666090841865</v>
      </c>
      <c r="CC74" s="59">
        <f t="shared" si="65"/>
        <v>869.58666090841871</v>
      </c>
      <c r="CD74" s="59">
        <f ca="1">AVERAGE(OFFSET($CC$3,0,0,'Données projet'!$E$12+1,1))-AVERAGE(OFFSET($H$3,0,0,'Données projet'!$E$12+1,1))</f>
        <v>279.00060755204919</v>
      </c>
      <c r="CE74" s="59">
        <f t="shared" si="94"/>
        <v>333.91128554211014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3.2415027432232328</v>
      </c>
      <c r="CL74" s="21">
        <f>EXP(-LN(2)/25)*CL73+(1-EXP(-LN(2)/25))/(LN(2)/25)*Calculateur!CG74*Calculateur!CI74*VLOOKUP('Données projet'!$B$12,Paramètres!$A$1:$I$89,3,0)*0.475*44/12</f>
        <v>8.9296646403908397</v>
      </c>
      <c r="CM74" s="21">
        <f>EXP(-LN(2)/2)*CM73+(1-EXP(-LN(2)/2))/(LN(2)/2)*CG74*CJ74*VLOOKUP('Données projet'!$B$12,Paramètres!$A$1:$I$89,3,0)*0.475*44/12</f>
        <v>1.4534855734941227E-5</v>
      </c>
      <c r="CN74" s="22">
        <f t="shared" si="66"/>
        <v>12.171181918469808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108.5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9.4</v>
      </c>
      <c r="CT74" s="12">
        <f>IF('Données projet'!$A$140&gt;35,CT73+CS74-DB73,IF(A74&lt;'Données projet'!$A$140,$CQ$205^A74,IF(A74='Données projet'!$A$140,'Données projet'!$B$140,CT73+CS74-DB73)))</f>
        <v>507.40000000000009</v>
      </c>
      <c r="CU74" s="17">
        <f>CT74*VLOOKUP('Données projet'!$B$13,Paramètres!$A$1:$I$89,3,0)*VLOOKUP('Données projet'!$B$13,Paramètres!$A$1:$I$89,5,0)</f>
        <v>303.42520000000007</v>
      </c>
      <c r="CV74" s="13">
        <f t="shared" si="95"/>
        <v>71.89404183566603</v>
      </c>
      <c r="CW74" s="20">
        <f t="shared" si="67"/>
        <v>653.6810128637851</v>
      </c>
      <c r="CX74" s="59">
        <f t="shared" si="68"/>
        <v>1088.1810128637851</v>
      </c>
      <c r="CY74" s="59">
        <f ca="1">AVERAGE(OFFSET($CX$3,0,0,'Données projet'!$E$13+1,1))-AVERAGE(OFFSET($H$3,0,0,'Données projet'!$E$13+1,1))</f>
        <v>380.01315081072897</v>
      </c>
      <c r="CZ74" s="59">
        <f t="shared" si="96"/>
        <v>404.90871625409181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1.5532200644611336</v>
      </c>
      <c r="DG74" s="21">
        <f>EXP(-LN(2)/25)*DG73+(1-EXP(-LN(2)/25))/(LN(2)/25)*Calculateur!DB74*Calculateur!DD74*VLOOKUP('Données projet'!$B$13,Paramètres!$A$1:$I$89,3,0)*0.475*44/12</f>
        <v>6.8469867415511487</v>
      </c>
      <c r="DH74" s="21">
        <f>EXP(-LN(2)/2)*DH73+(1-EXP(-LN(2)/2))/(LN(2)/2)*DB74*DE74*VLOOKUP('Données projet'!$B$13,Paramètres!$A$1:$I$89,3,0)*0.475*44/12</f>
        <v>2.0435040517906918E-5</v>
      </c>
      <c r="DI74" s="22">
        <f t="shared" si="69"/>
        <v>8.4002272410528001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108.5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-5.6843418860808015E-14</v>
      </c>
      <c r="DP74" s="17">
        <f>DO74*VLOOKUP('Données projet'!$B$14,Paramètres!$A$1:$I$89,3,0)*VLOOKUP('Données projet'!$B$14,Paramètres!$A$1:$I$89,5,0)</f>
        <v>-5.1431925385259088E-14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320.81451813551064</v>
      </c>
      <c r="DU74" s="59">
        <f t="shared" si="98"/>
        <v>522.80818268773976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0.81494734177364547</v>
      </c>
      <c r="EB74" s="21">
        <f>EXP(-LN(2)/25)*EB73+(1-EXP(-LN(2)/25))/(LN(2)/25)*Calculateur!DW74*Calculateur!DY74*VLOOKUP('Données projet'!$B$14,Paramètres!$A$1:$I$89,3,0)*0.475*44/12</f>
        <v>3.3452365426411563</v>
      </c>
      <c r="EC74" s="21">
        <f>EXP(-LN(2)/2)*EC73+(1-EXP(-LN(2)/2))/(LN(2)/2)*DW74*DZ74*VLOOKUP('Données projet'!$B$14,Paramètres!$A$1:$I$89,3,0)*0.475*44/12</f>
        <v>4.0386010537832066E-6</v>
      </c>
      <c r="ED74" s="22">
        <f t="shared" si="72"/>
        <v>4.1601879230158554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108.5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228.3393311631487</v>
      </c>
      <c r="EP74" s="59">
        <f t="shared" si="100"/>
        <v>266.26050497804033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2.7581303054898365</v>
      </c>
      <c r="EW74" s="21">
        <f>EXP(-LN(2)/25)*EW73+(1-EXP(-LN(2)/25))/(LN(2)/25)*Calculateur!ER74*Calculateur!ET74*VLOOKUP('Données projet'!$B$15,Paramètres!$A$1:$I$89,3,0)*0.475*44/12</f>
        <v>3.9564434054897162</v>
      </c>
      <c r="EX74" s="21">
        <f>EXP(-LN(2)/2)*EX73+(1-EXP(-LN(2)/2))/(LN(2)/2)*ER74*EU74*VLOOKUP('Données projet'!$B$15,Paramètres!$A$1:$I$89,3,0)*0.475*44/12</f>
        <v>3.6723003444325572E-6</v>
      </c>
      <c r="EY74" s="22">
        <f t="shared" si="75"/>
        <v>6.7145773832798969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108.5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9.5</v>
      </c>
      <c r="FE74" s="12">
        <f>IF('Données projet'!$A$218&gt;35,FE73+FD74-FM73,IF(A74&lt;'Données projet'!$A$218,$FB$205^A74,IF(A74='Données projet'!$A$218,'Données projet'!$B$218,FE73+FD74-FM73)))</f>
        <v>367.49999999999983</v>
      </c>
      <c r="FF74" s="17">
        <f>FE74*VLOOKUP('Données projet'!$B$16,Paramètres!$A$1:$I$89,3,0)*VLOOKUP('Données projet'!$B$16,Paramètres!$A$1:$I$89,5,0)</f>
        <v>210.20999999999992</v>
      </c>
      <c r="FG74" s="13">
        <f t="shared" si="101"/>
        <v>51.981473312002848</v>
      </c>
      <c r="FH74" s="20">
        <f t="shared" si="76"/>
        <v>456.65014935173809</v>
      </c>
      <c r="FI74" s="59">
        <f t="shared" si="77"/>
        <v>891.15014935173804</v>
      </c>
      <c r="FJ74" s="59">
        <f ca="1">AVERAGE(OFFSET($FI$3,0,0,'Données projet'!$E$16+1,1))-AVERAGE(OFFSET($H$3,0,0,'Données projet'!$E$16+1,1))</f>
        <v>242.10913976205194</v>
      </c>
      <c r="FK74" s="59">
        <f t="shared" si="102"/>
        <v>198.24795425321133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3.4772489949873879</v>
      </c>
      <c r="FS74" s="21">
        <f>EXP(-LN(2)/2)*FS73+(1-EXP(-LN(2)/2))/(LN(2)/2)*FM74*FP74*VLOOKUP('Données projet'!$B$16,Paramètres!$A$1:$I$89,3,0)*0.475*44/12</f>
        <v>8.9167103757432322E-6</v>
      </c>
      <c r="FT74" s="22">
        <f t="shared" si="78"/>
        <v>3.4772579116977638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108.5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108.5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35.21231999999997</v>
      </c>
      <c r="D75" s="11">
        <f t="shared" si="86"/>
        <v>10.720411321838652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195.01264876991138</v>
      </c>
      <c r="H75" s="67">
        <f t="shared" si="56"/>
        <v>477.83284038553558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108.5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3.1</v>
      </c>
      <c r="N75" s="13">
        <f>IF('Données projet'!$A$36&gt;35,N74+M75-V74,IF(A75&lt;'Données projet'!$A$36,$K$205^A75,IF(A75='Données projet'!$A$36,'Données projet'!$B$36,N74+M75-V74)))</f>
        <v>259.19999999999987</v>
      </c>
      <c r="O75" s="13">
        <f>N75*VLOOKUP('Données projet'!$B$9,Paramètres!$A$1:$I$89,3,0)*VLOOKUP('Données projet'!$B$9,Paramètres!$A$1:$I$89,5,0)</f>
        <v>210.2630399999999</v>
      </c>
      <c r="P75" s="13">
        <f t="shared" si="87"/>
        <v>51.993062367907982</v>
      </c>
      <c r="Q75" s="20">
        <f t="shared" si="54"/>
        <v>456.7627116241062</v>
      </c>
      <c r="R75" s="59">
        <f t="shared" si="55"/>
        <v>891.26271162410626</v>
      </c>
      <c r="S75" s="59">
        <f ca="1">AVERAGE(OFFSET($R$3,0,0,'Données projet'!$E$9+1,1))-AVERAGE(OFFSET($H$3,0,0,'Données projet'!$E$9+1,1))</f>
        <v>273.89826011924487</v>
      </c>
      <c r="T75" s="59">
        <f t="shared" si="88"/>
        <v>332.17519939974227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2.654692377419682</v>
      </c>
      <c r="AB75" s="21">
        <f>EXP(-LN(2)/2)*AB74+(1-EXP(-LN(2)/2))/(LN(2)/2)*V75*Y75*VLOOKUP('Données projet'!$B$9,Paramètres!$A$1:$I$89,3,0)*0.475*44/12</f>
        <v>5.2321287832769927E-6</v>
      </c>
      <c r="AC75" s="22">
        <f t="shared" si="57"/>
        <v>2.6546976095484651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108.5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17</v>
      </c>
      <c r="AI75" s="13">
        <f>IF('Données projet'!$A$62&gt;35,AI74+AH75-AQ74,IF(A75&lt;'Données projet'!$A$62,$AF$205^A75,IF(A75='Données projet'!$A$62,'Données projet'!$B$62,AI74+AH75-AQ74)))</f>
        <v>396.99999999999989</v>
      </c>
      <c r="AJ75" s="13">
        <f>AI75*VLOOKUP('Données projet'!$B$10,Paramètres!$A$1:$I$89,3,0)*VLOOKUP('Données projet'!$B$10,Paramètres!$A$1:$I$89,5,0)</f>
        <v>185.79599999999996</v>
      </c>
      <c r="AK75" s="13">
        <f t="shared" si="89"/>
        <v>46.60930127448345</v>
      </c>
      <c r="AL75" s="20">
        <f t="shared" si="58"/>
        <v>404.77256638639187</v>
      </c>
      <c r="AM75" s="59">
        <f t="shared" si="59"/>
        <v>839.27256638639187</v>
      </c>
      <c r="AN75" s="59">
        <f ca="1">AVERAGE(OFFSET($AM$3,0,0,'Données projet'!$E$10+1,1))-AVERAGE(OFFSET($H$3,0,0,'Données projet'!$E$10+1,1))</f>
        <v>293.42903587188346</v>
      </c>
      <c r="AO75" s="59">
        <f t="shared" si="90"/>
        <v>267.80827667062124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1.3644058895813205</v>
      </c>
      <c r="AV75" s="21">
        <f>EXP(-LN(2)/25)*AV74+(1-EXP(-LN(2)/25))/(LN(2)/25)*Calculateur!AQ75*Calculateur!AS75*VLOOKUP('Données projet'!$B$10,Paramètres!$A$1:$I$89,3,0)*0.475*44/12</f>
        <v>2.4515540322243532</v>
      </c>
      <c r="AW75" s="21">
        <f>EXP(-LN(2)/2)*AW74+(1-EXP(-LN(2)/2))/(LN(2)/2)*AQ75*AT75*VLOOKUP('Données projet'!$B$10,Paramètres!$A$1:$I$89,3,0)*0.475*44/12</f>
        <v>4.6883470918159446E-6</v>
      </c>
      <c r="AX75" s="21">
        <f t="shared" si="60"/>
        <v>3.8159646101527658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108.5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6.1</v>
      </c>
      <c r="BD75" s="12">
        <f>IF('Données projet'!$A$88&gt;35,BD74+BC75-BL74,IF(A75&lt;'Données projet'!$A$88,$BA$205^A75,IF(A75='Données projet'!$A$88,'Données projet'!$B$88,BD74+BC75-BL74)))</f>
        <v>233.20000000000019</v>
      </c>
      <c r="BE75" s="13">
        <f>BD75*VLOOKUP('Données projet'!$B$11,Paramètres!$A$1:$I$89,3,0)*VLOOKUP('Données projet'!$B$11,Paramètres!$A$1:$I$89,5,0)</f>
        <v>210.99936000000014</v>
      </c>
      <c r="BF75" s="13">
        <f t="shared" si="91"/>
        <v>52.153910623486667</v>
      </c>
      <c r="BG75" s="20">
        <f t="shared" si="61"/>
        <v>458.32527966923953</v>
      </c>
      <c r="BH75" s="59">
        <f t="shared" si="62"/>
        <v>892.82527966923953</v>
      </c>
      <c r="BI75" s="59">
        <f ca="1">AVERAGE(OFFSET($BH$3,0,0,'Données projet'!$E$11+1,1))-AVERAGE(OFFSET($H$3,0,0,'Données projet'!$E$11+1,1))</f>
        <v>324.41828402031939</v>
      </c>
      <c r="BJ75" s="59">
        <f t="shared" si="92"/>
        <v>233.01060088065992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0.9693093759296999</v>
      </c>
      <c r="BR75" s="21">
        <f>EXP(-LN(2)/2)*BR74+(1-EXP(-LN(2)/2))/(LN(2)/2)*BL75*BO75*VLOOKUP('Données projet'!$B$11,Paramètres!$A$1:$I$89,3,0)*0.475*44/12</f>
        <v>2.9513110420362603E-6</v>
      </c>
      <c r="BS75" s="22">
        <f t="shared" si="63"/>
        <v>0.9693123272407419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108.5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7.4</v>
      </c>
      <c r="BY75" s="12">
        <f>IF('Données projet'!$A$114&gt;35,BY74+BX75-CG74,IF(A75&lt;'Données projet'!$A$114,$BV$205^A75,IF(A75='Données projet'!$A$114,'Données projet'!$B$114,BY74+BX75-CG74)))</f>
        <v>373.80000000000018</v>
      </c>
      <c r="BZ75" s="13">
        <f>BY75*VLOOKUP('Données projet'!$B$12,Paramètres!$A$1:$I$89,3,0)*VLOOKUP('Données projet'!$B$12,Paramètres!$A$1:$I$89,5,0)</f>
        <v>204.09480000000011</v>
      </c>
      <c r="CA75" s="13">
        <f t="shared" si="93"/>
        <v>50.643016586252969</v>
      </c>
      <c r="CB75" s="20">
        <f t="shared" si="64"/>
        <v>443.66836388772407</v>
      </c>
      <c r="CC75" s="59">
        <f t="shared" si="65"/>
        <v>878.16836388772413</v>
      </c>
      <c r="CD75" s="59">
        <f ca="1">AVERAGE(OFFSET($CC$3,0,0,'Données projet'!$E$12+1,1))-AVERAGE(OFFSET($H$3,0,0,'Données projet'!$E$12+1,1))</f>
        <v>279.00060755204919</v>
      </c>
      <c r="CE75" s="59">
        <f t="shared" si="94"/>
        <v>333.91128554211014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3.1779388515500742</v>
      </c>
      <c r="CL75" s="21">
        <f>EXP(-LN(2)/25)*CL74+(1-EXP(-LN(2)/25))/(LN(2)/25)*Calculateur!CG75*Calculateur!CI75*VLOOKUP('Données projet'!$B$12,Paramètres!$A$1:$I$89,3,0)*0.475*44/12</f>
        <v>8.6854824912086972</v>
      </c>
      <c r="CM75" s="21">
        <f>EXP(-LN(2)/2)*CM74+(1-EXP(-LN(2)/2))/(LN(2)/2)*CG75*CJ75*VLOOKUP('Données projet'!$B$12,Paramètres!$A$1:$I$89,3,0)*0.475*44/12</f>
        <v>1.0277695053745123E-5</v>
      </c>
      <c r="CN75" s="22">
        <f t="shared" si="66"/>
        <v>11.863431620453825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108.5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9.4</v>
      </c>
      <c r="CT75" s="12">
        <f>IF('Données projet'!$A$140&gt;35,CT74+CS75-DB74,IF(A75&lt;'Données projet'!$A$140,$CQ$205^A75,IF(A75='Données projet'!$A$140,'Données projet'!$B$140,CT74+CS75-DB74)))</f>
        <v>516.80000000000007</v>
      </c>
      <c r="CU75" s="17">
        <f>CT75*VLOOKUP('Données projet'!$B$13,Paramètres!$A$1:$I$89,3,0)*VLOOKUP('Données projet'!$B$13,Paramètres!$A$1:$I$89,5,0)</f>
        <v>309.04640000000006</v>
      </c>
      <c r="CV75" s="13">
        <f t="shared" si="95"/>
        <v>73.069644842674492</v>
      </c>
      <c r="CW75" s="20">
        <f t="shared" si="67"/>
        <v>665.51877810099154</v>
      </c>
      <c r="CX75" s="59">
        <f t="shared" si="68"/>
        <v>1100.0187781009915</v>
      </c>
      <c r="CY75" s="59">
        <f ca="1">AVERAGE(OFFSET($CX$3,0,0,'Données projet'!$E$13+1,1))-AVERAGE(OFFSET($H$3,0,0,'Données projet'!$E$13+1,1))</f>
        <v>380.01315081072897</v>
      </c>
      <c r="CZ75" s="59">
        <f t="shared" si="96"/>
        <v>404.90871625409181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1.522762366367745</v>
      </c>
      <c r="DG75" s="21">
        <f>EXP(-LN(2)/25)*DG74+(1-EXP(-LN(2)/25))/(LN(2)/25)*Calculateur!DB75*Calculateur!DD75*VLOOKUP('Données projet'!$B$13,Paramètres!$A$1:$I$89,3,0)*0.475*44/12</f>
        <v>6.6597555290360484</v>
      </c>
      <c r="DH75" s="21">
        <f>EXP(-LN(2)/2)*DH74+(1-EXP(-LN(2)/2))/(LN(2)/2)*DB75*DE75*VLOOKUP('Données projet'!$B$13,Paramètres!$A$1:$I$89,3,0)*0.475*44/12</f>
        <v>1.444975572403384E-5</v>
      </c>
      <c r="DI75" s="22">
        <f t="shared" si="69"/>
        <v>8.1825323451595171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108.5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-5.6843418860808015E-14</v>
      </c>
      <c r="DP75" s="17">
        <f>DO75*VLOOKUP('Données projet'!$B$14,Paramètres!$A$1:$I$89,3,0)*VLOOKUP('Données projet'!$B$14,Paramètres!$A$1:$I$89,5,0)</f>
        <v>-5.1431925385259088E-14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320.81451813551064</v>
      </c>
      <c r="DU75" s="59">
        <f t="shared" si="98"/>
        <v>522.80818268773976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0.79896672147026127</v>
      </c>
      <c r="EB75" s="21">
        <f>EXP(-LN(2)/25)*EB74+(1-EXP(-LN(2)/25))/(LN(2)/25)*Calculateur!DW75*Calculateur!DY75*VLOOKUP('Données projet'!$B$14,Paramètres!$A$1:$I$89,3,0)*0.475*44/12</f>
        <v>3.25376087346429</v>
      </c>
      <c r="EC75" s="21">
        <f>EXP(-LN(2)/2)*EC74+(1-EXP(-LN(2)/2))/(LN(2)/2)*DW75*DZ75*VLOOKUP('Données projet'!$B$14,Paramètres!$A$1:$I$89,3,0)*0.475*44/12</f>
        <v>2.8557221916372421E-6</v>
      </c>
      <c r="ED75" s="22">
        <f t="shared" si="72"/>
        <v>4.0527304506567434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108.5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228.3393311631487</v>
      </c>
      <c r="EP75" s="59">
        <f t="shared" si="100"/>
        <v>266.26050497804033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2.7040450524925546</v>
      </c>
      <c r="EW75" s="21">
        <f>EXP(-LN(2)/25)*EW74+(1-EXP(-LN(2)/25))/(LN(2)/25)*Calculateur!ER75*Calculateur!ET75*VLOOKUP('Données projet'!$B$15,Paramètres!$A$1:$I$89,3,0)*0.475*44/12</f>
        <v>3.8482542525062837</v>
      </c>
      <c r="EX75" s="21">
        <f>EXP(-LN(2)/2)*EX74+(1-EXP(-LN(2)/2))/(LN(2)/2)*ER75*EU75*VLOOKUP('Données projet'!$B$15,Paramètres!$A$1:$I$89,3,0)*0.475*44/12</f>
        <v>2.5967084761019555E-6</v>
      </c>
      <c r="EY75" s="22">
        <f t="shared" si="75"/>
        <v>6.5523019017073141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108.5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9.5</v>
      </c>
      <c r="FE75" s="12">
        <f>IF('Données projet'!$A$218&gt;35,FE74+FD75-FM74,IF(A75&lt;'Données projet'!$A$218,$FB$205^A75,IF(A75='Données projet'!$A$218,'Données projet'!$B$218,FE74+FD75-FM74)))</f>
        <v>376.99999999999983</v>
      </c>
      <c r="FF75" s="17">
        <f>FE75*VLOOKUP('Données projet'!$B$16,Paramètres!$A$1:$I$89,3,0)*VLOOKUP('Données projet'!$B$16,Paramètres!$A$1:$I$89,5,0)</f>
        <v>215.64399999999992</v>
      </c>
      <c r="FG75" s="13">
        <f t="shared" si="101"/>
        <v>53.167031516025823</v>
      </c>
      <c r="FH75" s="20">
        <f t="shared" si="76"/>
        <v>468.17921322374485</v>
      </c>
      <c r="FI75" s="59">
        <f t="shared" si="77"/>
        <v>902.67921322374491</v>
      </c>
      <c r="FJ75" s="59">
        <f ca="1">AVERAGE(OFFSET($FI$3,0,0,'Données projet'!$E$16+1,1))-AVERAGE(OFFSET($H$3,0,0,'Données projet'!$E$16+1,1))</f>
        <v>242.10913976205194</v>
      </c>
      <c r="FK75" s="59">
        <f t="shared" si="102"/>
        <v>198.24795425321133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3.3821634383588806</v>
      </c>
      <c r="FS75" s="21">
        <f>EXP(-LN(2)/2)*FS74+(1-EXP(-LN(2)/2))/(LN(2)/2)*FM75*FP75*VLOOKUP('Données projet'!$B$16,Paramètres!$A$1:$I$89,3,0)*0.475*44/12</f>
        <v>6.3050663725644877E-6</v>
      </c>
      <c r="FT75" s="22">
        <f t="shared" si="78"/>
        <v>3.3821697434252531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108.5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108.5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35.701379999999972</v>
      </c>
      <c r="D76" s="11">
        <f t="shared" si="86"/>
        <v>10.851868790569005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197.64712644417003</v>
      </c>
      <c r="H76" s="67">
        <f t="shared" si="56"/>
        <v>478.91357497690763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108.5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3.1</v>
      </c>
      <c r="N76" s="13">
        <f>IF('Données projet'!$A$36&gt;35,N75+M76-V75,IF(A76&lt;'Données projet'!$A$36,$K$205^A76,IF(A76='Données projet'!$A$36,'Données projet'!$B$36,N75+M76-V75)))</f>
        <v>262.2999999999999</v>
      </c>
      <c r="O76" s="13">
        <f>N76*VLOOKUP('Données projet'!$B$9,Paramètres!$A$1:$I$89,3,0)*VLOOKUP('Données projet'!$B$9,Paramètres!$A$1:$I$89,5,0)</f>
        <v>212.77775999999994</v>
      </c>
      <c r="P76" s="13">
        <f t="shared" si="87"/>
        <v>52.542131131270303</v>
      </c>
      <c r="Q76" s="20">
        <f t="shared" si="54"/>
        <v>462.09881038696238</v>
      </c>
      <c r="R76" s="59">
        <f t="shared" si="55"/>
        <v>896.59881038696244</v>
      </c>
      <c r="S76" s="59">
        <f ca="1">AVERAGE(OFFSET($R$3,0,0,'Données projet'!$E$9+1,1))-AVERAGE(OFFSET($H$3,0,0,'Données projet'!$E$9+1,1))</f>
        <v>273.89826011924487</v>
      </c>
      <c r="T76" s="59">
        <f t="shared" si="88"/>
        <v>332.17519939974227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2.5820996747549358</v>
      </c>
      <c r="AB76" s="21">
        <f>EXP(-LN(2)/2)*AB75+(1-EXP(-LN(2)/2))/(LN(2)/2)*V76*Y76*VLOOKUP('Données projet'!$B$9,Paramètres!$A$1:$I$89,3,0)*0.475*44/12</f>
        <v>3.6996737426964819E-6</v>
      </c>
      <c r="AC76" s="22">
        <f t="shared" si="57"/>
        <v>2.5821033744286783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108.5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17</v>
      </c>
      <c r="AI76" s="13">
        <f>IF('Données projet'!$A$62&gt;35,AI75+AH76-AQ75,IF(A76&lt;'Données projet'!$A$62,$AF$205^A76,IF(A76='Données projet'!$A$62,'Données projet'!$B$62,AI75+AH76-AQ75)))</f>
        <v>413.99999999999989</v>
      </c>
      <c r="AJ76" s="13">
        <f>AI76*VLOOKUP('Données projet'!$B$10,Paramètres!$A$1:$I$89,3,0)*VLOOKUP('Données projet'!$B$10,Paramètres!$A$1:$I$89,5,0)</f>
        <v>193.75199999999995</v>
      </c>
      <c r="AK76" s="13">
        <f t="shared" si="89"/>
        <v>48.36852035537607</v>
      </c>
      <c r="AL76" s="20">
        <f t="shared" si="58"/>
        <v>421.69323961894656</v>
      </c>
      <c r="AM76" s="59">
        <f t="shared" si="59"/>
        <v>856.19323961894656</v>
      </c>
      <c r="AN76" s="59">
        <f ca="1">AVERAGE(OFFSET($AM$3,0,0,'Données projet'!$E$10+1,1))-AVERAGE(OFFSET($H$3,0,0,'Données projet'!$E$10+1,1))</f>
        <v>293.42903587188346</v>
      </c>
      <c r="AO76" s="59">
        <f t="shared" si="90"/>
        <v>267.80827667062124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1.33765072229205</v>
      </c>
      <c r="AV76" s="21">
        <f>EXP(-LN(2)/25)*AV75+(1-EXP(-LN(2)/25))/(LN(2)/25)*Calculateur!AQ76*Calculateur!AS76*VLOOKUP('Données projet'!$B$10,Paramètres!$A$1:$I$89,3,0)*0.475*44/12</f>
        <v>2.3845161582915546</v>
      </c>
      <c r="AW76" s="21">
        <f>EXP(-LN(2)/2)*AW75+(1-EXP(-LN(2)/2))/(LN(2)/2)*AQ76*AT76*VLOOKUP('Données projet'!$B$10,Paramètres!$A$1:$I$89,3,0)*0.475*44/12</f>
        <v>3.3151620211792836E-6</v>
      </c>
      <c r="AX76" s="21">
        <f t="shared" si="60"/>
        <v>3.7221701957456261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108.5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6.1</v>
      </c>
      <c r="BD76" s="12">
        <f>IF('Données projet'!$A$88&gt;35,BD75+BC76-BL75,IF(A76&lt;'Données projet'!$A$88,$BA$205^A76,IF(A76='Données projet'!$A$88,'Données projet'!$B$88,BD75+BC76-BL75)))</f>
        <v>239.30000000000018</v>
      </c>
      <c r="BE76" s="13">
        <f>BD76*VLOOKUP('Données projet'!$B$11,Paramètres!$A$1:$I$89,3,0)*VLOOKUP('Données projet'!$B$11,Paramètres!$A$1:$I$89,5,0)</f>
        <v>216.51864000000015</v>
      </c>
      <c r="BF76" s="13">
        <f t="shared" si="91"/>
        <v>53.357528323079173</v>
      </c>
      <c r="BG76" s="20">
        <f t="shared" si="61"/>
        <v>470.03432649602973</v>
      </c>
      <c r="BH76" s="59">
        <f t="shared" si="62"/>
        <v>904.53432649602973</v>
      </c>
      <c r="BI76" s="59">
        <f ca="1">AVERAGE(OFFSET($BH$3,0,0,'Données projet'!$E$11+1,1))-AVERAGE(OFFSET($H$3,0,0,'Données projet'!$E$11+1,1))</f>
        <v>324.41828402031939</v>
      </c>
      <c r="BJ76" s="59">
        <f t="shared" si="92"/>
        <v>233.01060088065992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0.94280356007113753</v>
      </c>
      <c r="BR76" s="21">
        <f>EXP(-LN(2)/2)*BR75+(1-EXP(-LN(2)/2))/(LN(2)/2)*BL76*BO76*VLOOKUP('Données projet'!$B$11,Paramètres!$A$1:$I$89,3,0)*0.475*44/12</f>
        <v>2.0868920512145754E-6</v>
      </c>
      <c r="BS76" s="22">
        <f t="shared" si="63"/>
        <v>0.94280564696318869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108.5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7.4</v>
      </c>
      <c r="BY76" s="12">
        <f>IF('Données projet'!$A$114&gt;35,BY75+BX76-CG75,IF(A76&lt;'Données projet'!$A$114,$BV$205^A76,IF(A76='Données projet'!$A$114,'Données projet'!$B$114,BY75+BX76-CG75)))</f>
        <v>381.20000000000016</v>
      </c>
      <c r="BZ76" s="13">
        <f>BY76*VLOOKUP('Données projet'!$B$12,Paramètres!$A$1:$I$89,3,0)*VLOOKUP('Données projet'!$B$12,Paramètres!$A$1:$I$89,5,0)</f>
        <v>208.13520000000011</v>
      </c>
      <c r="CA76" s="13">
        <f t="shared" si="93"/>
        <v>51.527868675898425</v>
      </c>
      <c r="CB76" s="20">
        <f t="shared" si="64"/>
        <v>452.24651127718994</v>
      </c>
      <c r="CC76" s="59">
        <f t="shared" si="65"/>
        <v>886.74651127718994</v>
      </c>
      <c r="CD76" s="59">
        <f ca="1">AVERAGE(OFFSET($CC$3,0,0,'Données projet'!$E$12+1,1))-AVERAGE(OFFSET($H$3,0,0,'Données projet'!$E$12+1,1))</f>
        <v>279.00060755204919</v>
      </c>
      <c r="CE76" s="59">
        <f t="shared" si="94"/>
        <v>333.91128554211014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3.1156214090224803</v>
      </c>
      <c r="CL76" s="21">
        <f>EXP(-LN(2)/25)*CL75+(1-EXP(-LN(2)/25))/(LN(2)/25)*Calculateur!CG76*Calculateur!CI76*VLOOKUP('Données projet'!$B$12,Paramètres!$A$1:$I$89,3,0)*0.475*44/12</f>
        <v>8.4479775157369215</v>
      </c>
      <c r="CM76" s="21">
        <f>EXP(-LN(2)/2)*CM75+(1-EXP(-LN(2)/2))/(LN(2)/2)*CG76*CJ76*VLOOKUP('Données projet'!$B$12,Paramètres!$A$1:$I$89,3,0)*0.475*44/12</f>
        <v>7.2674278674706145E-6</v>
      </c>
      <c r="CN76" s="22">
        <f t="shared" si="66"/>
        <v>11.563606192187269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108.5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9.4</v>
      </c>
      <c r="CT76" s="12">
        <f>IF('Données projet'!$A$140&gt;35,CT75+CS76-DB75,IF(A76&lt;'Données projet'!$A$140,$CQ$205^A76,IF(A76='Données projet'!$A$140,'Données projet'!$B$140,CT75+CS76-DB75)))</f>
        <v>526.20000000000005</v>
      </c>
      <c r="CU76" s="17">
        <f>CT76*VLOOKUP('Données projet'!$B$13,Paramètres!$A$1:$I$89,3,0)*VLOOKUP('Données projet'!$B$13,Paramètres!$A$1:$I$89,5,0)</f>
        <v>314.66760000000005</v>
      </c>
      <c r="CV76" s="13">
        <f t="shared" si="95"/>
        <v>74.24276137137872</v>
      </c>
      <c r="CW76" s="20">
        <f t="shared" si="67"/>
        <v>677.35221272181798</v>
      </c>
      <c r="CX76" s="59">
        <f t="shared" si="68"/>
        <v>1111.852212721818</v>
      </c>
      <c r="CY76" s="59">
        <f ca="1">AVERAGE(OFFSET($CX$3,0,0,'Données projet'!$E$13+1,1))-AVERAGE(OFFSET($H$3,0,0,'Données projet'!$E$13+1,1))</f>
        <v>380.01315081072897</v>
      </c>
      <c r="CZ76" s="59">
        <f t="shared" si="96"/>
        <v>404.90871625409181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1.4929019251566062</v>
      </c>
      <c r="DG76" s="21">
        <f>EXP(-LN(2)/25)*DG75+(1-EXP(-LN(2)/25))/(LN(2)/25)*Calculateur!DB76*Calculateur!DD76*VLOOKUP('Données projet'!$B$13,Paramètres!$A$1:$I$89,3,0)*0.475*44/12</f>
        <v>6.4776441638732356</v>
      </c>
      <c r="DH76" s="21">
        <f>EXP(-LN(2)/2)*DH75+(1-EXP(-LN(2)/2))/(LN(2)/2)*DB76*DE76*VLOOKUP('Données projet'!$B$13,Paramètres!$A$1:$I$89,3,0)*0.475*44/12</f>
        <v>1.0217520258953459E-5</v>
      </c>
      <c r="DI76" s="22">
        <f t="shared" si="69"/>
        <v>7.9705563065501011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108.5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-5.6843418860808015E-14</v>
      </c>
      <c r="DP76" s="17">
        <f>DO76*VLOOKUP('Données projet'!$B$14,Paramètres!$A$1:$I$89,3,0)*VLOOKUP('Données projet'!$B$14,Paramètres!$A$1:$I$89,5,0)</f>
        <v>-5.1431925385259088E-14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320.81451813551064</v>
      </c>
      <c r="DU76" s="59">
        <f t="shared" si="98"/>
        <v>522.80818268773976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0.78329947138381051</v>
      </c>
      <c r="EB76" s="21">
        <f>EXP(-LN(2)/25)*EB75+(1-EXP(-LN(2)/25))/(LN(2)/25)*Calculateur!DW76*Calculateur!DY76*VLOOKUP('Données projet'!$B$14,Paramètres!$A$1:$I$89,3,0)*0.475*44/12</f>
        <v>3.1647866112715612</v>
      </c>
      <c r="EC76" s="21">
        <f>EXP(-LN(2)/2)*EC75+(1-EXP(-LN(2)/2))/(LN(2)/2)*DW76*DZ76*VLOOKUP('Données projet'!$B$14,Paramètres!$A$1:$I$89,3,0)*0.475*44/12</f>
        <v>2.0193005268916033E-6</v>
      </c>
      <c r="ED76" s="22">
        <f t="shared" si="72"/>
        <v>3.9480881019558987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108.5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228.3393311631487</v>
      </c>
      <c r="EP76" s="59">
        <f t="shared" si="100"/>
        <v>266.26050497804033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2.6510203783178024</v>
      </c>
      <c r="EW76" s="21">
        <f>EXP(-LN(2)/25)*EW75+(1-EXP(-LN(2)/25))/(LN(2)/25)*Calculateur!ER76*Calculateur!ET76*VLOOKUP('Données projet'!$B$15,Paramètres!$A$1:$I$89,3,0)*0.475*44/12</f>
        <v>3.7430235376006036</v>
      </c>
      <c r="EX76" s="21">
        <f>EXP(-LN(2)/2)*EX75+(1-EXP(-LN(2)/2))/(LN(2)/2)*ER76*EU76*VLOOKUP('Données projet'!$B$15,Paramètres!$A$1:$I$89,3,0)*0.475*44/12</f>
        <v>1.8361501722162788E-6</v>
      </c>
      <c r="EY76" s="22">
        <f t="shared" si="75"/>
        <v>6.3940457520685783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108.5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9.5</v>
      </c>
      <c r="FE76" s="12">
        <f>IF('Données projet'!$A$218&gt;35,FE75+FD76-FM75,IF(A76&lt;'Données projet'!$A$218,$FB$205^A76,IF(A76='Données projet'!$A$218,'Données projet'!$B$218,FE75+FD76-FM75)))</f>
        <v>386.49999999999983</v>
      </c>
      <c r="FF76" s="17">
        <f>FE76*VLOOKUP('Données projet'!$B$16,Paramètres!$A$1:$I$89,3,0)*VLOOKUP('Données projet'!$B$16,Paramètres!$A$1:$I$89,5,0)</f>
        <v>221.07799999999989</v>
      </c>
      <c r="FG76" s="13">
        <f t="shared" si="101"/>
        <v>54.349116998834056</v>
      </c>
      <c r="FH76" s="20">
        <f t="shared" si="76"/>
        <v>479.70222877296902</v>
      </c>
      <c r="FI76" s="59">
        <f t="shared" si="77"/>
        <v>914.20222877296897</v>
      </c>
      <c r="FJ76" s="59">
        <f ca="1">AVERAGE(OFFSET($FI$3,0,0,'Données projet'!$E$16+1,1))-AVERAGE(OFFSET($H$3,0,0,'Données projet'!$E$16+1,1))</f>
        <v>242.10913976205194</v>
      </c>
      <c r="FK76" s="59">
        <f t="shared" si="102"/>
        <v>198.24795425321133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3.2896780012767119</v>
      </c>
      <c r="FS76" s="21">
        <f>EXP(-LN(2)/2)*FS75+(1-EXP(-LN(2)/2))/(LN(2)/2)*FM76*FP76*VLOOKUP('Données projet'!$B$16,Paramètres!$A$1:$I$89,3,0)*0.475*44/12</f>
        <v>4.4583551878716161E-6</v>
      </c>
      <c r="FT76" s="22">
        <f t="shared" si="78"/>
        <v>3.2896824596318996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108.5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108.5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36.190439999999974</v>
      </c>
      <c r="D77" s="11">
        <f t="shared" si="86"/>
        <v>10.983116807763796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200.28071486804973</v>
      </c>
      <c r="H77" s="67">
        <f t="shared" si="56"/>
        <v>479.99394477352189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108.5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3.1</v>
      </c>
      <c r="N77" s="13">
        <f>IF('Données projet'!$A$36&gt;35,N76+M77-V76,IF(A77&lt;'Données projet'!$A$36,$K$205^A77,IF(A77='Données projet'!$A$36,'Données projet'!$B$36,N76+M77-V76)))</f>
        <v>265.39999999999992</v>
      </c>
      <c r="O77" s="13">
        <f>N77*VLOOKUP('Données projet'!$B$9,Paramètres!$A$1:$I$89,3,0)*VLOOKUP('Données projet'!$B$9,Paramètres!$A$1:$I$89,5,0)</f>
        <v>215.29247999999993</v>
      </c>
      <c r="P77" s="13">
        <f t="shared" si="87"/>
        <v>53.090445054256215</v>
      </c>
      <c r="Q77" s="20">
        <f t="shared" si="54"/>
        <v>467.43359446949609</v>
      </c>
      <c r="R77" s="59">
        <f t="shared" si="55"/>
        <v>901.93359446949603</v>
      </c>
      <c r="S77" s="59">
        <f ca="1">AVERAGE(OFFSET($R$3,0,0,'Données projet'!$E$9+1,1))-AVERAGE(OFFSET($H$3,0,0,'Données projet'!$E$9+1,1))</f>
        <v>273.89826011924487</v>
      </c>
      <c r="T77" s="59">
        <f t="shared" si="88"/>
        <v>332.17519939974227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2.5114920233620417</v>
      </c>
      <c r="AB77" s="21">
        <f>EXP(-LN(2)/2)*AB76+(1-EXP(-LN(2)/2))/(LN(2)/2)*V77*Y77*VLOOKUP('Données projet'!$B$9,Paramètres!$A$1:$I$89,3,0)*0.475*44/12</f>
        <v>2.6160643916384968E-6</v>
      </c>
      <c r="AC77" s="22">
        <f t="shared" si="57"/>
        <v>2.5114946394264335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108.5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17</v>
      </c>
      <c r="AI77" s="13">
        <f>IF('Données projet'!$A$62&gt;35,AI76+AH77-AQ76,IF(A77&lt;'Données projet'!$A$62,$AF$205^A77,IF(A77='Données projet'!$A$62,'Données projet'!$B$62,AI76+AH77-AQ76)))</f>
        <v>430.99999999999989</v>
      </c>
      <c r="AJ77" s="13">
        <f>AI77*VLOOKUP('Données projet'!$B$10,Paramètres!$A$1:$I$89,3,0)*VLOOKUP('Données projet'!$B$10,Paramètres!$A$1:$I$89,5,0)</f>
        <v>201.70799999999994</v>
      </c>
      <c r="AK77" s="13">
        <f t="shared" si="89"/>
        <v>50.119348451854243</v>
      </c>
      <c r="AL77" s="20">
        <f t="shared" si="58"/>
        <v>438.59929855364607</v>
      </c>
      <c r="AM77" s="59">
        <f t="shared" si="59"/>
        <v>873.09929855364612</v>
      </c>
      <c r="AN77" s="59">
        <f ca="1">AVERAGE(OFFSET($AM$3,0,0,'Données projet'!$E$10+1,1))-AVERAGE(OFFSET($H$3,0,0,'Données projet'!$E$10+1,1))</f>
        <v>293.42903587188346</v>
      </c>
      <c r="AO77" s="59">
        <f t="shared" si="90"/>
        <v>267.80827667062124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1.3114202075142813</v>
      </c>
      <c r="AV77" s="21">
        <f>EXP(-LN(2)/25)*AV76+(1-EXP(-LN(2)/25))/(LN(2)/25)*Calculateur!AQ77*Calculateur!AS77*VLOOKUP('Données projet'!$B$10,Paramètres!$A$1:$I$89,3,0)*0.475*44/12</f>
        <v>2.319311438546817</v>
      </c>
      <c r="AW77" s="21">
        <f>EXP(-LN(2)/2)*AW76+(1-EXP(-LN(2)/2))/(LN(2)/2)*AQ77*AT77*VLOOKUP('Données projet'!$B$10,Paramètres!$A$1:$I$89,3,0)*0.475*44/12</f>
        <v>2.3441735459079723E-6</v>
      </c>
      <c r="AX77" s="21">
        <f t="shared" si="60"/>
        <v>3.6307339902346443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108.5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6.1</v>
      </c>
      <c r="BD77" s="12">
        <f>IF('Données projet'!$A$88&gt;35,BD76+BC77-BL76,IF(A77&lt;'Données projet'!$A$88,$BA$205^A77,IF(A77='Données projet'!$A$88,'Données projet'!$B$88,BD76+BC77-BL76)))</f>
        <v>245.40000000000018</v>
      </c>
      <c r="BE77" s="13">
        <f>BD77*VLOOKUP('Données projet'!$B$11,Paramètres!$A$1:$I$89,3,0)*VLOOKUP('Données projet'!$B$11,Paramètres!$A$1:$I$89,5,0)</f>
        <v>222.03792000000013</v>
      </c>
      <c r="BF77" s="13">
        <f t="shared" si="91"/>
        <v>54.5575795882731</v>
      </c>
      <c r="BG77" s="20">
        <f t="shared" si="61"/>
        <v>481.7371617829092</v>
      </c>
      <c r="BH77" s="59">
        <f t="shared" si="62"/>
        <v>916.2371617829092</v>
      </c>
      <c r="BI77" s="59">
        <f ca="1">AVERAGE(OFFSET($BH$3,0,0,'Données projet'!$E$11+1,1))-AVERAGE(OFFSET($H$3,0,0,'Données projet'!$E$11+1,1))</f>
        <v>324.41828402031939</v>
      </c>
      <c r="BJ77" s="59">
        <f t="shared" si="92"/>
        <v>233.01060088065992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0.91702254714110787</v>
      </c>
      <c r="BR77" s="21">
        <f>EXP(-LN(2)/2)*BR76+(1-EXP(-LN(2)/2))/(LN(2)/2)*BL77*BO77*VLOOKUP('Données projet'!$B$11,Paramètres!$A$1:$I$89,3,0)*0.475*44/12</f>
        <v>1.4756555210181301E-6</v>
      </c>
      <c r="BS77" s="22">
        <f t="shared" si="63"/>
        <v>0.91702402279662887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108.5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7.4</v>
      </c>
      <c r="BY77" s="12">
        <f>IF('Données projet'!$A$114&gt;35,BY76+BX77-CG76,IF(A77&lt;'Données projet'!$A$114,$BV$205^A77,IF(A77='Données projet'!$A$114,'Données projet'!$B$114,BY76+BX77-CG76)))</f>
        <v>388.60000000000014</v>
      </c>
      <c r="BZ77" s="13">
        <f>BY77*VLOOKUP('Données projet'!$B$12,Paramètres!$A$1:$I$89,3,0)*VLOOKUP('Données projet'!$B$12,Paramètres!$A$1:$I$89,5,0)</f>
        <v>212.17560000000006</v>
      </c>
      <c r="CA77" s="13">
        <f t="shared" si="93"/>
        <v>52.410723477279205</v>
      </c>
      <c r="CB77" s="20">
        <f t="shared" si="64"/>
        <v>460.82118005626143</v>
      </c>
      <c r="CC77" s="59">
        <f t="shared" si="65"/>
        <v>895.32118005626148</v>
      </c>
      <c r="CD77" s="59">
        <f ca="1">AVERAGE(OFFSET($CC$3,0,0,'Données projet'!$E$12+1,1))-AVERAGE(OFFSET($H$3,0,0,'Données projet'!$E$12+1,1))</f>
        <v>279.00060755204919</v>
      </c>
      <c r="CE77" s="59">
        <f t="shared" si="94"/>
        <v>333.91128554211014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3.0545259735329657</v>
      </c>
      <c r="CL77" s="21">
        <f>EXP(-LN(2)/25)*CL76+(1-EXP(-LN(2)/25))/(LN(2)/25)*Calculateur!CG77*Calculateur!CI77*VLOOKUP('Données projet'!$B$12,Paramètres!$A$1:$I$89,3,0)*0.475*44/12</f>
        <v>8.2169671263092656</v>
      </c>
      <c r="CM77" s="21">
        <f>EXP(-LN(2)/2)*CM76+(1-EXP(-LN(2)/2))/(LN(2)/2)*CG77*CJ77*VLOOKUP('Données projet'!$B$12,Paramètres!$A$1:$I$89,3,0)*0.475*44/12</f>
        <v>5.1388475268725622E-6</v>
      </c>
      <c r="CN77" s="22">
        <f t="shared" si="66"/>
        <v>11.271498238689759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108.5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9.4</v>
      </c>
      <c r="CT77" s="12">
        <f>IF('Données projet'!$A$140&gt;35,CT76+CS77-DB76,IF(A77&lt;'Données projet'!$A$140,$CQ$205^A77,IF(A77='Données projet'!$A$140,'Données projet'!$B$140,CT76+CS77-DB76)))</f>
        <v>535.6</v>
      </c>
      <c r="CU77" s="17">
        <f>CT77*VLOOKUP('Données projet'!$B$13,Paramètres!$A$1:$I$89,3,0)*VLOOKUP('Données projet'!$B$13,Paramètres!$A$1:$I$89,5,0)</f>
        <v>320.28880000000004</v>
      </c>
      <c r="CV77" s="13">
        <f t="shared" si="95"/>
        <v>75.413440964132491</v>
      </c>
      <c r="CW77" s="20">
        <f t="shared" si="67"/>
        <v>689.18140301253072</v>
      </c>
      <c r="CX77" s="59">
        <f t="shared" si="68"/>
        <v>1123.6814030125306</v>
      </c>
      <c r="CY77" s="59">
        <f ca="1">AVERAGE(OFFSET($CX$3,0,0,'Données projet'!$E$13+1,1))-AVERAGE(OFFSET($H$3,0,0,'Données projet'!$E$13+1,1))</f>
        <v>380.01315081072897</v>
      </c>
      <c r="CZ77" s="59">
        <f t="shared" si="96"/>
        <v>404.90871625409181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1.4636270289845472</v>
      </c>
      <c r="DG77" s="21">
        <f>EXP(-LN(2)/25)*DG76+(1-EXP(-LN(2)/25))/(LN(2)/25)*Calculateur!DB77*Calculateur!DD77*VLOOKUP('Données projet'!$B$13,Paramètres!$A$1:$I$89,3,0)*0.475*44/12</f>
        <v>6.30051264356762</v>
      </c>
      <c r="DH77" s="21">
        <f>EXP(-LN(2)/2)*DH76+(1-EXP(-LN(2)/2))/(LN(2)/2)*DB77*DE77*VLOOKUP('Données projet'!$B$13,Paramètres!$A$1:$I$89,3,0)*0.475*44/12</f>
        <v>7.2248778620169199E-6</v>
      </c>
      <c r="DI77" s="22">
        <f t="shared" si="69"/>
        <v>7.7641468974300292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108.5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-5.6843418860808015E-14</v>
      </c>
      <c r="DP77" s="17">
        <f>DO77*VLOOKUP('Données projet'!$B$14,Paramètres!$A$1:$I$89,3,0)*VLOOKUP('Données projet'!$B$14,Paramètres!$A$1:$I$89,5,0)</f>
        <v>-5.1431925385259088E-14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320.81451813551064</v>
      </c>
      <c r="DU77" s="59">
        <f t="shared" si="98"/>
        <v>522.80818268773976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0.76793944651547608</v>
      </c>
      <c r="EB77" s="21">
        <f>EXP(-LN(2)/25)*EB76+(1-EXP(-LN(2)/25))/(LN(2)/25)*Calculateur!DW77*Calculateur!DY77*VLOOKUP('Données projet'!$B$14,Paramètres!$A$1:$I$89,3,0)*0.475*44/12</f>
        <v>3.0782453549574456</v>
      </c>
      <c r="EC77" s="21">
        <f>EXP(-LN(2)/2)*EC76+(1-EXP(-LN(2)/2))/(LN(2)/2)*DW77*DZ77*VLOOKUP('Données projet'!$B$14,Paramètres!$A$1:$I$89,3,0)*0.475*44/12</f>
        <v>1.4278610958186211E-6</v>
      </c>
      <c r="ED77" s="22">
        <f t="shared" si="72"/>
        <v>3.8461862293340179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108.5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228.3393311631487</v>
      </c>
      <c r="EP77" s="59">
        <f t="shared" si="100"/>
        <v>266.26050497804033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2.599035485661759</v>
      </c>
      <c r="EW77" s="21">
        <f>EXP(-LN(2)/25)*EW76+(1-EXP(-LN(2)/25))/(LN(2)/25)*Calculateur!ER77*Calculateur!ET77*VLOOKUP('Données projet'!$B$15,Paramètres!$A$1:$I$89,3,0)*0.475*44/12</f>
        <v>3.640670362127862</v>
      </c>
      <c r="EX77" s="21">
        <f>EXP(-LN(2)/2)*EX76+(1-EXP(-LN(2)/2))/(LN(2)/2)*ER77*EU77*VLOOKUP('Données projet'!$B$15,Paramètres!$A$1:$I$89,3,0)*0.475*44/12</f>
        <v>1.298354238050978E-6</v>
      </c>
      <c r="EY77" s="22">
        <f t="shared" si="75"/>
        <v>6.2397071461438589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108.5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9.5</v>
      </c>
      <c r="FE77" s="12">
        <f>IF('Données projet'!$A$218&gt;35,FE76+FD77-FM76,IF(A77&lt;'Données projet'!$A$218,$FB$205^A77,IF(A77='Données projet'!$A$218,'Données projet'!$B$218,FE76+FD77-FM76)))</f>
        <v>395.99999999999983</v>
      </c>
      <c r="FF77" s="17">
        <f>FE77*VLOOKUP('Données projet'!$B$16,Paramètres!$A$1:$I$89,3,0)*VLOOKUP('Données projet'!$B$16,Paramètres!$A$1:$I$89,5,0)</f>
        <v>226.51199999999992</v>
      </c>
      <c r="FG77" s="13">
        <f t="shared" si="101"/>
        <v>55.527824937247495</v>
      </c>
      <c r="FH77" s="20">
        <f t="shared" si="76"/>
        <v>491.21936176570597</v>
      </c>
      <c r="FI77" s="59">
        <f t="shared" si="77"/>
        <v>925.71936176570603</v>
      </c>
      <c r="FJ77" s="59">
        <f ca="1">AVERAGE(OFFSET($FI$3,0,0,'Données projet'!$E$16+1,1))-AVERAGE(OFFSET($H$3,0,0,'Données projet'!$E$16+1,1))</f>
        <v>242.10913976205194</v>
      </c>
      <c r="FK77" s="59">
        <f t="shared" si="102"/>
        <v>198.24795425321133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3.1997215833351529</v>
      </c>
      <c r="FS77" s="21">
        <f>EXP(-LN(2)/2)*FS76+(1-EXP(-LN(2)/2))/(LN(2)/2)*FM77*FP77*VLOOKUP('Données projet'!$B$16,Paramètres!$A$1:$I$89,3,0)*0.475*44/12</f>
        <v>3.1525331862822439E-6</v>
      </c>
      <c r="FT77" s="22">
        <f t="shared" si="78"/>
        <v>3.1997247358683394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108.5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108.5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36.679499999999976</v>
      </c>
      <c r="D78" s="11">
        <f t="shared" si="86"/>
        <v>11.114158531020275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202.91342744748951</v>
      </c>
      <c r="H78" s="67">
        <f t="shared" si="56"/>
        <v>481.07395527486023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108.5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3.1</v>
      </c>
      <c r="N78" s="13">
        <f>IF('Données projet'!$A$36&gt;35,N77+M78-V77,IF(A78&lt;'Données projet'!$A$36,$K$205^A78,IF(A78='Données projet'!$A$36,'Données projet'!$B$36,N77+M78-V77)))</f>
        <v>268.49999999999994</v>
      </c>
      <c r="O78" s="13">
        <f>N78*VLOOKUP('Données projet'!$B$9,Paramètres!$A$1:$I$89,3,0)*VLOOKUP('Données projet'!$B$9,Paramètres!$A$1:$I$89,5,0)</f>
        <v>217.80719999999997</v>
      </c>
      <c r="P78" s="13">
        <f t="shared" si="87"/>
        <v>53.638013973813976</v>
      </c>
      <c r="Q78" s="20">
        <f t="shared" si="54"/>
        <v>472.76708100439265</v>
      </c>
      <c r="R78" s="59">
        <f t="shared" si="55"/>
        <v>907.26708100439259</v>
      </c>
      <c r="S78" s="59">
        <f ca="1">AVERAGE(OFFSET($R$3,0,0,'Données projet'!$E$9+1,1))-AVERAGE(OFFSET($H$3,0,0,'Données projet'!$E$9+1,1))</f>
        <v>273.89826011924487</v>
      </c>
      <c r="T78" s="59">
        <f t="shared" si="88"/>
        <v>332.17519939974227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2.4428151419095814</v>
      </c>
      <c r="AB78" s="21">
        <f>EXP(-LN(2)/2)*AB77+(1-EXP(-LN(2)/2))/(LN(2)/2)*V78*Y78*VLOOKUP('Données projet'!$B$9,Paramètres!$A$1:$I$89,3,0)*0.475*44/12</f>
        <v>1.8498368713482412E-6</v>
      </c>
      <c r="AC78" s="22">
        <f t="shared" si="57"/>
        <v>2.4428169917464526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108.5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17</v>
      </c>
      <c r="AI78" s="13">
        <f>IF('Données projet'!$A$62&gt;35,AI77+AH78-AQ77,IF(A78&lt;'Données projet'!$A$62,$AF$205^A78,IF(A78='Données projet'!$A$62,'Données projet'!$B$62,AI77+AH78-AQ77)))</f>
        <v>447.99999999999989</v>
      </c>
      <c r="AJ78" s="13">
        <f>AI78*VLOOKUP('Données projet'!$B$10,Paramètres!$A$1:$I$89,3,0)*VLOOKUP('Données projet'!$B$10,Paramètres!$A$1:$I$89,5,0)</f>
        <v>209.66399999999993</v>
      </c>
      <c r="AK78" s="13">
        <f t="shared" si="89"/>
        <v>51.862154403304487</v>
      </c>
      <c r="AL78" s="20">
        <f t="shared" si="58"/>
        <v>455.49138558575515</v>
      </c>
      <c r="AM78" s="59">
        <f t="shared" si="59"/>
        <v>889.9913855857551</v>
      </c>
      <c r="AN78" s="59">
        <f ca="1">AVERAGE(OFFSET($AM$3,0,0,'Données projet'!$E$10+1,1))-AVERAGE(OFFSET($H$3,0,0,'Données projet'!$E$10+1,1))</f>
        <v>293.42903587188346</v>
      </c>
      <c r="AO78" s="59">
        <f t="shared" si="90"/>
        <v>267.80827667062124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1.2857040571322707</v>
      </c>
      <c r="AV78" s="21">
        <f>EXP(-LN(2)/25)*AV77+(1-EXP(-LN(2)/25))/(LN(2)/25)*Calculateur!AQ78*Calculateur!AS78*VLOOKUP('Données projet'!$B$10,Paramètres!$A$1:$I$89,3,0)*0.475*44/12</f>
        <v>2.2558897452924667</v>
      </c>
      <c r="AW78" s="21">
        <f>EXP(-LN(2)/2)*AW77+(1-EXP(-LN(2)/2))/(LN(2)/2)*AQ78*AT78*VLOOKUP('Données projet'!$B$10,Paramètres!$A$1:$I$89,3,0)*0.475*44/12</f>
        <v>1.6575810105896418E-6</v>
      </c>
      <c r="AX78" s="21">
        <f t="shared" si="60"/>
        <v>3.5415954600057478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108.5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6.1</v>
      </c>
      <c r="BD78" s="12">
        <f>IF('Données projet'!$A$88&gt;35,BD77+BC78-BL77,IF(A78&lt;'Données projet'!$A$88,$BA$205^A78,IF(A78='Données projet'!$A$88,'Données projet'!$B$88,BD77+BC78-BL77)))</f>
        <v>251.50000000000017</v>
      </c>
      <c r="BE78" s="13">
        <f>BD78*VLOOKUP('Données projet'!$B$11,Paramètres!$A$1:$I$89,3,0)*VLOOKUP('Données projet'!$B$11,Paramètres!$A$1:$I$89,5,0)</f>
        <v>227.55720000000014</v>
      </c>
      <c r="BF78" s="13">
        <f t="shared" si="91"/>
        <v>55.754163267932753</v>
      </c>
      <c r="BG78" s="20">
        <f t="shared" si="61"/>
        <v>493.43395769164982</v>
      </c>
      <c r="BH78" s="59">
        <f t="shared" si="62"/>
        <v>927.93395769164977</v>
      </c>
      <c r="BI78" s="59">
        <f ca="1">AVERAGE(OFFSET($BH$3,0,0,'Données projet'!$E$11+1,1))-AVERAGE(OFFSET($H$3,0,0,'Données projet'!$E$11+1,1))</f>
        <v>324.41828402031939</v>
      </c>
      <c r="BJ78" s="59">
        <f t="shared" si="92"/>
        <v>233.01060088065992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0.89194651736541442</v>
      </c>
      <c r="BR78" s="21">
        <f>EXP(-LN(2)/2)*BR77+(1-EXP(-LN(2)/2))/(LN(2)/2)*BL78*BO78*VLOOKUP('Données projet'!$B$11,Paramètres!$A$1:$I$89,3,0)*0.475*44/12</f>
        <v>1.0434460256072877E-6</v>
      </c>
      <c r="BS78" s="22">
        <f t="shared" si="63"/>
        <v>0.89194756081144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108.5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7.4</v>
      </c>
      <c r="BY78" s="12">
        <f>IF('Données projet'!$A$114&gt;35,BY77+BX78-CG77,IF(A78&lt;'Données projet'!$A$114,$BV$205^A78,IF(A78='Données projet'!$A$114,'Données projet'!$B$114,BY77+BX78-CG77)))</f>
        <v>396.00000000000011</v>
      </c>
      <c r="BZ78" s="13">
        <f>BY78*VLOOKUP('Données projet'!$B$12,Paramètres!$A$1:$I$89,3,0)*VLOOKUP('Données projet'!$B$12,Paramètres!$A$1:$I$89,5,0)</f>
        <v>216.21600000000007</v>
      </c>
      <c r="CA78" s="13">
        <f t="shared" si="93"/>
        <v>53.291623409473033</v>
      </c>
      <c r="CB78" s="20">
        <f t="shared" si="64"/>
        <v>469.39244410483235</v>
      </c>
      <c r="CC78" s="59">
        <f t="shared" si="65"/>
        <v>903.89244410483229</v>
      </c>
      <c r="CD78" s="59">
        <f ca="1">AVERAGE(OFFSET($CC$3,0,0,'Données projet'!$E$12+1,1))-AVERAGE(OFFSET($H$3,0,0,'Données projet'!$E$12+1,1))</f>
        <v>279.00060755204919</v>
      </c>
      <c r="CE78" s="59">
        <f t="shared" si="94"/>
        <v>333.91128554211014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2.9946285822688647</v>
      </c>
      <c r="CL78" s="21">
        <f>EXP(-LN(2)/25)*CL77+(1-EXP(-LN(2)/25))/(LN(2)/25)*Calculateur!CG78*Calculateur!CI78*VLOOKUP('Données projet'!$B$12,Paramètres!$A$1:$I$89,3,0)*0.475*44/12</f>
        <v>7.9922737281288176</v>
      </c>
      <c r="CM78" s="21">
        <f>EXP(-LN(2)/2)*CM77+(1-EXP(-LN(2)/2))/(LN(2)/2)*CG78*CJ78*VLOOKUP('Données projet'!$B$12,Paramètres!$A$1:$I$89,3,0)*0.475*44/12</f>
        <v>3.6337139337353081E-6</v>
      </c>
      <c r="CN78" s="22">
        <f t="shared" si="66"/>
        <v>10.986905944111616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108.5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9.4</v>
      </c>
      <c r="CT78" s="12">
        <f>IF('Données projet'!$A$140&gt;35,CT77+CS78-DB77,IF(A78&lt;'Données projet'!$A$140,$CQ$205^A78,IF(A78='Données projet'!$A$140,'Données projet'!$B$140,CT77+CS78-DB77)))</f>
        <v>545</v>
      </c>
      <c r="CU78" s="17">
        <f>CT78*VLOOKUP('Données projet'!$B$13,Paramètres!$A$1:$I$89,3,0)*VLOOKUP('Données projet'!$B$13,Paramètres!$A$1:$I$89,5,0)</f>
        <v>325.91000000000003</v>
      </c>
      <c r="CV78" s="13">
        <f t="shared" si="95"/>
        <v>76.581731324699831</v>
      </c>
      <c r="CW78" s="20">
        <f t="shared" si="67"/>
        <v>701.00643205718552</v>
      </c>
      <c r="CX78" s="59">
        <f t="shared" si="68"/>
        <v>1135.5064320571855</v>
      </c>
      <c r="CY78" s="59">
        <f ca="1">AVERAGE(OFFSET($CX$3,0,0,'Données projet'!$E$13+1,1))-AVERAGE(OFFSET($H$3,0,0,'Données projet'!$E$13+1,1))</f>
        <v>380.01315081072897</v>
      </c>
      <c r="CZ78" s="59">
        <f t="shared" si="96"/>
        <v>404.90871625409181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1.4349261956704986</v>
      </c>
      <c r="DG78" s="21">
        <f>EXP(-LN(2)/25)*DG77+(1-EXP(-LN(2)/25))/(LN(2)/25)*Calculateur!DB78*Calculateur!DD78*VLOOKUP('Données projet'!$B$13,Paramètres!$A$1:$I$89,3,0)*0.475*44/12</f>
        <v>6.1282247939997037</v>
      </c>
      <c r="DH78" s="21">
        <f>EXP(-LN(2)/2)*DH77+(1-EXP(-LN(2)/2))/(LN(2)/2)*DB78*DE78*VLOOKUP('Données projet'!$B$13,Paramètres!$A$1:$I$89,3,0)*0.475*44/12</f>
        <v>5.1087601294767294E-6</v>
      </c>
      <c r="DI78" s="22">
        <f t="shared" si="69"/>
        <v>7.5631560984303317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108.5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-5.6843418860808015E-14</v>
      </c>
      <c r="DP78" s="17">
        <f>DO78*VLOOKUP('Données projet'!$B$14,Paramètres!$A$1:$I$89,3,0)*VLOOKUP('Données projet'!$B$14,Paramètres!$A$1:$I$89,5,0)</f>
        <v>-5.1431925385259088E-14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320.81451813551064</v>
      </c>
      <c r="DU78" s="59">
        <f t="shared" si="98"/>
        <v>522.80818268773976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0.75288062236611963</v>
      </c>
      <c r="EB78" s="21">
        <f>EXP(-LN(2)/25)*EB77+(1-EXP(-LN(2)/25))/(LN(2)/25)*Calculateur!DW78*Calculateur!DY78*VLOOKUP('Données projet'!$B$14,Paramètres!$A$1:$I$89,3,0)*0.475*44/12</f>
        <v>2.9940705738482465</v>
      </c>
      <c r="EC78" s="21">
        <f>EXP(-LN(2)/2)*EC77+(1-EXP(-LN(2)/2))/(LN(2)/2)*DW78*DZ78*VLOOKUP('Données projet'!$B$14,Paramètres!$A$1:$I$89,3,0)*0.475*44/12</f>
        <v>1.0096502634458016E-6</v>
      </c>
      <c r="ED78" s="22">
        <f t="shared" si="72"/>
        <v>3.7469522058646296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108.5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228.3393311631487</v>
      </c>
      <c r="EP78" s="59">
        <f t="shared" si="100"/>
        <v>266.26050497804033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2.548069985043047</v>
      </c>
      <c r="EW78" s="21">
        <f>EXP(-LN(2)/25)*EW77+(1-EXP(-LN(2)/25))/(LN(2)/25)*Calculateur!ER78*Calculateur!ET78*VLOOKUP('Données projet'!$B$15,Paramètres!$A$1:$I$89,3,0)*0.475*44/12</f>
        <v>3.5411160396209422</v>
      </c>
      <c r="EX78" s="21">
        <f>EXP(-LN(2)/2)*EX77+(1-EXP(-LN(2)/2))/(LN(2)/2)*ER78*EU78*VLOOKUP('Données projet'!$B$15,Paramètres!$A$1:$I$89,3,0)*0.475*44/12</f>
        <v>9.1807508610813963E-7</v>
      </c>
      <c r="EY78" s="22">
        <f t="shared" si="75"/>
        <v>6.0891869427390759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108.5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9.5</v>
      </c>
      <c r="FE78" s="12">
        <f>IF('Données projet'!$A$218&gt;35,FE77+FD78-FM77,IF(A78&lt;'Données projet'!$A$218,$FB$205^A78,IF(A78='Données projet'!$A$218,'Données projet'!$B$218,FE77+FD78-FM77)))</f>
        <v>405.49999999999983</v>
      </c>
      <c r="FF78" s="17">
        <f>FE78*VLOOKUP('Données projet'!$B$16,Paramètres!$A$1:$I$89,3,0)*VLOOKUP('Données projet'!$B$16,Paramètres!$A$1:$I$89,5,0)</f>
        <v>231.94599999999991</v>
      </c>
      <c r="FG78" s="13">
        <f t="shared" si="101"/>
        <v>56.703245681093655</v>
      </c>
      <c r="FH78" s="20">
        <f t="shared" si="76"/>
        <v>502.73076956123799</v>
      </c>
      <c r="FI78" s="59">
        <f t="shared" si="77"/>
        <v>937.23076956123805</v>
      </c>
      <c r="FJ78" s="59">
        <f ca="1">AVERAGE(OFFSET($FI$3,0,0,'Données projet'!$E$16+1,1))-AVERAGE(OFFSET($H$3,0,0,'Données projet'!$E$16+1,1))</f>
        <v>242.10913976205194</v>
      </c>
      <c r="FK78" s="59">
        <f t="shared" si="102"/>
        <v>198.24795425321133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3.1122250283728081</v>
      </c>
      <c r="FS78" s="21">
        <f>EXP(-LN(2)/2)*FS77+(1-EXP(-LN(2)/2))/(LN(2)/2)*FM78*FP78*VLOOKUP('Données projet'!$B$16,Paramètres!$A$1:$I$89,3,0)*0.475*44/12</f>
        <v>2.229177593935808E-6</v>
      </c>
      <c r="FT78" s="22">
        <f t="shared" si="78"/>
        <v>3.1122272575504022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108.5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108.5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37.168559999999978</v>
      </c>
      <c r="D79" s="11">
        <f t="shared" si="86"/>
        <v>11.24499702889373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205.54527721039085</v>
      </c>
      <c r="H79" s="67">
        <f t="shared" si="56"/>
        <v>482.1536118253232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108.5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3.1</v>
      </c>
      <c r="N79" s="13">
        <f>IF('Données projet'!$A$36&gt;35,N78+M79-V78,IF(A79&lt;'Données projet'!$A$36,$K$205^A79,IF(A79='Données projet'!$A$36,'Données projet'!$B$36,N78+M79-V78)))</f>
        <v>271.59999999999997</v>
      </c>
      <c r="O79" s="13">
        <f>N79*VLOOKUP('Données projet'!$B$9,Paramètres!$A$1:$I$89,3,0)*VLOOKUP('Données projet'!$B$9,Paramètres!$A$1:$I$89,5,0)</f>
        <v>220.32192000000001</v>
      </c>
      <c r="P79" s="13">
        <f t="shared" si="87"/>
        <v>54.18484748666976</v>
      </c>
      <c r="Q79" s="20">
        <f t="shared" si="54"/>
        <v>478.09928670594991</v>
      </c>
      <c r="R79" s="59">
        <f t="shared" si="55"/>
        <v>912.59928670594991</v>
      </c>
      <c r="S79" s="59">
        <f ca="1">AVERAGE(OFFSET($R$3,0,0,'Données projet'!$E$9+1,1))-AVERAGE(OFFSET($H$3,0,0,'Données projet'!$E$9+1,1))</f>
        <v>273.89826011924487</v>
      </c>
      <c r="T79" s="59">
        <f t="shared" si="88"/>
        <v>332.17519939974227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2.3760162333919985</v>
      </c>
      <c r="AB79" s="21">
        <f>EXP(-LN(2)/2)*AB78+(1-EXP(-LN(2)/2))/(LN(2)/2)*V79*Y79*VLOOKUP('Données projet'!$B$9,Paramètres!$A$1:$I$89,3,0)*0.475*44/12</f>
        <v>1.3080321958192486E-6</v>
      </c>
      <c r="AC79" s="22">
        <f t="shared" si="57"/>
        <v>2.3760175414241944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108.5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17</v>
      </c>
      <c r="AI79" s="13">
        <f>IF('Données projet'!$A$62&gt;35,AI78+AH79-AQ78,IF(A79&lt;'Données projet'!$A$62,$AF$205^A79,IF(A79='Données projet'!$A$62,'Données projet'!$B$62,AI78+AH79-AQ78)))</f>
        <v>464.99999999999989</v>
      </c>
      <c r="AJ79" s="13">
        <f>AI79*VLOOKUP('Données projet'!$B$10,Paramètres!$A$1:$I$89,3,0)*VLOOKUP('Données projet'!$B$10,Paramètres!$A$1:$I$89,5,0)</f>
        <v>217.61999999999995</v>
      </c>
      <c r="AK79" s="13">
        <f t="shared" si="89"/>
        <v>53.597277471320098</v>
      </c>
      <c r="AL79" s="20">
        <f t="shared" si="58"/>
        <v>472.37009159588234</v>
      </c>
      <c r="AM79" s="59">
        <f t="shared" si="59"/>
        <v>906.87009159588229</v>
      </c>
      <c r="AN79" s="59">
        <f ca="1">AVERAGE(OFFSET($AM$3,0,0,'Données projet'!$E$10+1,1))-AVERAGE(OFFSET($H$3,0,0,'Données projet'!$E$10+1,1))</f>
        <v>293.42903587188346</v>
      </c>
      <c r="AO79" s="59">
        <f t="shared" si="90"/>
        <v>267.80827667062124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1.2604921847739481</v>
      </c>
      <c r="AV79" s="21">
        <f>EXP(-LN(2)/25)*AV78+(1-EXP(-LN(2)/25))/(LN(2)/25)*Calculateur!AQ79*Calculateur!AS79*VLOOKUP('Données projet'!$B$10,Paramètres!$A$1:$I$89,3,0)*0.475*44/12</f>
        <v>2.1942023215753585</v>
      </c>
      <c r="AW79" s="21">
        <f>EXP(-LN(2)/2)*AW78+(1-EXP(-LN(2)/2))/(LN(2)/2)*AQ79*AT79*VLOOKUP('Données projet'!$B$10,Paramètres!$A$1:$I$89,3,0)*0.475*44/12</f>
        <v>1.1720867729539862E-6</v>
      </c>
      <c r="AX79" s="21">
        <f t="shared" si="60"/>
        <v>3.4546956784360794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108.5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6.1</v>
      </c>
      <c r="BD79" s="12">
        <f>IF('Données projet'!$A$88&gt;35,BD78+BC79-BL78,IF(A79&lt;'Données projet'!$A$88,$BA$205^A79,IF(A79='Données projet'!$A$88,'Données projet'!$B$88,BD78+BC79-BL78)))</f>
        <v>257.60000000000019</v>
      </c>
      <c r="BE79" s="13">
        <f>BD79*VLOOKUP('Données projet'!$B$11,Paramètres!$A$1:$I$89,3,0)*VLOOKUP('Données projet'!$B$11,Paramètres!$A$1:$I$89,5,0)</f>
        <v>233.07648000000017</v>
      </c>
      <c r="BF79" s="13">
        <f t="shared" si="91"/>
        <v>56.947373142454929</v>
      </c>
      <c r="BG79" s="20">
        <f t="shared" si="61"/>
        <v>505.12487755644264</v>
      </c>
      <c r="BH79" s="59">
        <f t="shared" si="62"/>
        <v>939.6248775564427</v>
      </c>
      <c r="BI79" s="59">
        <f ca="1">AVERAGE(OFFSET($BH$3,0,0,'Données projet'!$E$11+1,1))-AVERAGE(OFFSET($H$3,0,0,'Données projet'!$E$11+1,1))</f>
        <v>324.41828402031939</v>
      </c>
      <c r="BJ79" s="59">
        <f t="shared" si="92"/>
        <v>233.01060088065992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0.86755619294262842</v>
      </c>
      <c r="BR79" s="21">
        <f>EXP(-LN(2)/2)*BR78+(1-EXP(-LN(2)/2))/(LN(2)/2)*BL79*BO79*VLOOKUP('Données projet'!$B$11,Paramètres!$A$1:$I$89,3,0)*0.475*44/12</f>
        <v>7.3782776050906506E-7</v>
      </c>
      <c r="BS79" s="22">
        <f t="shared" si="63"/>
        <v>0.86755693077038898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108.5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7.4</v>
      </c>
      <c r="BY79" s="12">
        <f>IF('Données projet'!$A$114&gt;35,BY78+BX79-CG78,IF(A79&lt;'Données projet'!$A$114,$BV$205^A79,IF(A79='Données projet'!$A$114,'Données projet'!$B$114,BY78+BX79-CG78)))</f>
        <v>403.40000000000009</v>
      </c>
      <c r="BZ79" s="13">
        <f>BY79*VLOOKUP('Données projet'!$B$12,Paramètres!$A$1:$I$89,3,0)*VLOOKUP('Données projet'!$B$12,Paramètres!$A$1:$I$89,5,0)</f>
        <v>220.25640000000004</v>
      </c>
      <c r="CA79" s="13">
        <f t="shared" si="93"/>
        <v>54.170609215461226</v>
      </c>
      <c r="CB79" s="20">
        <f t="shared" si="64"/>
        <v>477.96037438359508</v>
      </c>
      <c r="CC79" s="59">
        <f t="shared" si="65"/>
        <v>912.46037438359508</v>
      </c>
      <c r="CD79" s="59">
        <f ca="1">AVERAGE(OFFSET($CC$3,0,0,'Données projet'!$E$12+1,1))-AVERAGE(OFFSET($H$3,0,0,'Données projet'!$E$12+1,1))</f>
        <v>279.00060755204919</v>
      </c>
      <c r="CE79" s="59">
        <f t="shared" si="94"/>
        <v>333.91128554211014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2.9359057423136514</v>
      </c>
      <c r="CL79" s="21">
        <f>EXP(-LN(2)/25)*CL78+(1-EXP(-LN(2)/25))/(LN(2)/25)*Calculateur!CG79*Calculateur!CI79*VLOOKUP('Données projet'!$B$12,Paramètres!$A$1:$I$89,3,0)*0.475*44/12</f>
        <v>7.7737245827377262</v>
      </c>
      <c r="CM79" s="21">
        <f>EXP(-LN(2)/2)*CM78+(1-EXP(-LN(2)/2))/(LN(2)/2)*CG79*CJ79*VLOOKUP('Données projet'!$B$12,Paramètres!$A$1:$I$89,3,0)*0.475*44/12</f>
        <v>2.5694237634362815E-6</v>
      </c>
      <c r="CN79" s="22">
        <f t="shared" si="66"/>
        <v>10.709632894475142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108.5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9.4</v>
      </c>
      <c r="CT79" s="12">
        <f>IF('Données projet'!$A$140&gt;35,CT78+CS79-DB78,IF(A79&lt;'Données projet'!$A$140,$CQ$205^A79,IF(A79='Données projet'!$A$140,'Données projet'!$B$140,CT78+CS79-DB78)))</f>
        <v>554.4</v>
      </c>
      <c r="CU79" s="17">
        <f>CT79*VLOOKUP('Données projet'!$B$13,Paramètres!$A$1:$I$89,3,0)*VLOOKUP('Données projet'!$B$13,Paramètres!$A$1:$I$89,5,0)</f>
        <v>331.53120000000001</v>
      </c>
      <c r="CV79" s="13">
        <f t="shared" si="95"/>
        <v>77.747678417000927</v>
      </c>
      <c r="CW79" s="20">
        <f t="shared" si="67"/>
        <v>712.82737990961004</v>
      </c>
      <c r="CX79" s="59">
        <f t="shared" si="68"/>
        <v>1147.32737990961</v>
      </c>
      <c r="CY79" s="59">
        <f ca="1">AVERAGE(OFFSET($CX$3,0,0,'Données projet'!$E$13+1,1))-AVERAGE(OFFSET($H$3,0,0,'Données projet'!$E$13+1,1))</f>
        <v>380.01315081072897</v>
      </c>
      <c r="CZ79" s="59">
        <f t="shared" si="96"/>
        <v>404.90871625409181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1.4067881681919587</v>
      </c>
      <c r="DG79" s="21">
        <f>EXP(-LN(2)/25)*DG78+(1-EXP(-LN(2)/25))/(LN(2)/25)*Calculateur!DB79*Calculateur!DD79*VLOOKUP('Données projet'!$B$13,Paramètres!$A$1:$I$89,3,0)*0.475*44/12</f>
        <v>5.9606481647384459</v>
      </c>
      <c r="DH79" s="21">
        <f>EXP(-LN(2)/2)*DH78+(1-EXP(-LN(2)/2))/(LN(2)/2)*DB79*DE79*VLOOKUP('Données projet'!$B$13,Paramètres!$A$1:$I$89,3,0)*0.475*44/12</f>
        <v>3.61243893100846E-6</v>
      </c>
      <c r="DI79" s="22">
        <f t="shared" si="69"/>
        <v>7.3674399453693358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108.5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-5.6843418860808015E-14</v>
      </c>
      <c r="DP79" s="17">
        <f>DO79*VLOOKUP('Données projet'!$B$14,Paramètres!$A$1:$I$89,3,0)*VLOOKUP('Données projet'!$B$14,Paramètres!$A$1:$I$89,5,0)</f>
        <v>-5.1431925385259088E-14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320.81451813551064</v>
      </c>
      <c r="DU79" s="59">
        <f t="shared" si="98"/>
        <v>522.80818268773976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0.73811709257335623</v>
      </c>
      <c r="EB79" s="21">
        <f>EXP(-LN(2)/25)*EB78+(1-EXP(-LN(2)/25))/(LN(2)/25)*Calculateur!DW79*Calculateur!DY79*VLOOKUP('Données projet'!$B$14,Paramètres!$A$1:$I$89,3,0)*0.475*44/12</f>
        <v>2.9121975565550375</v>
      </c>
      <c r="EC79" s="21">
        <f>EXP(-LN(2)/2)*EC78+(1-EXP(-LN(2)/2))/(LN(2)/2)*DW79*DZ79*VLOOKUP('Données projet'!$B$14,Paramètres!$A$1:$I$89,3,0)*0.475*44/12</f>
        <v>7.1393054790931053E-7</v>
      </c>
      <c r="ED79" s="22">
        <f t="shared" si="72"/>
        <v>3.6503153630589416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108.5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228.3393311631487</v>
      </c>
      <c r="EP79" s="59">
        <f t="shared" si="100"/>
        <v>266.26050497804033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2.4981038868055823</v>
      </c>
      <c r="EW79" s="21">
        <f>EXP(-LN(2)/25)*EW78+(1-EXP(-LN(2)/25))/(LN(2)/25)*Calculateur!ER79*Calculateur!ET79*VLOOKUP('Données projet'!$B$15,Paramètres!$A$1:$I$89,3,0)*0.475*44/12</f>
        <v>3.4442840352983084</v>
      </c>
      <c r="EX79" s="21">
        <f>EXP(-LN(2)/2)*EX78+(1-EXP(-LN(2)/2))/(LN(2)/2)*ER79*EU79*VLOOKUP('Données projet'!$B$15,Paramètres!$A$1:$I$89,3,0)*0.475*44/12</f>
        <v>6.491771190254891E-7</v>
      </c>
      <c r="EY79" s="22">
        <f t="shared" si="75"/>
        <v>5.9423885712810094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108.5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9.5</v>
      </c>
      <c r="FE79" s="12">
        <f>IF('Données projet'!$A$218&gt;35,FE78+FD79-FM78,IF(A79&lt;'Données projet'!$A$218,$FB$205^A79,IF(A79='Données projet'!$A$218,'Données projet'!$B$218,FE78+FD79-FM78)))</f>
        <v>414.99999999999983</v>
      </c>
      <c r="FF79" s="17">
        <f>FE79*VLOOKUP('Données projet'!$B$16,Paramètres!$A$1:$I$89,3,0)*VLOOKUP('Données projet'!$B$16,Paramètres!$A$1:$I$89,5,0)</f>
        <v>237.37999999999994</v>
      </c>
      <c r="FG79" s="13">
        <f t="shared" si="101"/>
        <v>57.875465105279041</v>
      </c>
      <c r="FH79" s="20">
        <f t="shared" si="76"/>
        <v>514.23660172502753</v>
      </c>
      <c r="FI79" s="59">
        <f t="shared" si="77"/>
        <v>948.73660172502753</v>
      </c>
      <c r="FJ79" s="59">
        <f ca="1">AVERAGE(OFFSET($FI$3,0,0,'Données projet'!$E$16+1,1))-AVERAGE(OFFSET($H$3,0,0,'Données projet'!$E$16+1,1))</f>
        <v>242.10913976205194</v>
      </c>
      <c r="FK79" s="59">
        <f t="shared" si="102"/>
        <v>198.24795425321133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3.0271210713071524</v>
      </c>
      <c r="FS79" s="21">
        <f>EXP(-LN(2)/2)*FS78+(1-EXP(-LN(2)/2))/(LN(2)/2)*FM79*FP79*VLOOKUP('Données projet'!$B$16,Paramètres!$A$1:$I$89,3,0)*0.475*44/12</f>
        <v>1.5762665931411219E-6</v>
      </c>
      <c r="FT79" s="22">
        <f t="shared" si="78"/>
        <v>3.0271226475737456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108.5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108.5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37.65761999999998</v>
      </c>
      <c r="D80" s="11">
        <f t="shared" si="86"/>
        <v>11.375635284546334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208.17627682210892</v>
      </c>
      <c r="H80" s="67">
        <f t="shared" si="56"/>
        <v>483.23291962058482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108.5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3.1</v>
      </c>
      <c r="N80" s="13">
        <f>IF('Données projet'!$A$36&gt;35,N79+M80-V79,IF(A80&lt;'Données projet'!$A$36,$K$205^A80,IF(A80='Données projet'!$A$36,'Données projet'!$B$36,N79+M80-V79)))</f>
        <v>274.7</v>
      </c>
      <c r="O80" s="13">
        <f>N80*VLOOKUP('Données projet'!$B$9,Paramètres!$A$1:$I$89,3,0)*VLOOKUP('Données projet'!$B$9,Paramètres!$A$1:$I$89,5,0)</f>
        <v>222.83663999999999</v>
      </c>
      <c r="P80" s="13">
        <f t="shared" si="87"/>
        <v>54.730954957867816</v>
      </c>
      <c r="Q80" s="20">
        <f t="shared" si="54"/>
        <v>483.43022788495313</v>
      </c>
      <c r="R80" s="59">
        <f t="shared" si="55"/>
        <v>917.93022788495318</v>
      </c>
      <c r="S80" s="59">
        <f ca="1">AVERAGE(OFFSET($R$3,0,0,'Données projet'!$E$9+1,1))-AVERAGE(OFFSET($H$3,0,0,'Données projet'!$E$9+1,1))</f>
        <v>273.89826011924487</v>
      </c>
      <c r="T80" s="59">
        <f t="shared" si="88"/>
        <v>332.17519939974227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2.3110439445406312</v>
      </c>
      <c r="AB80" s="21">
        <f>EXP(-LN(2)/2)*AB79+(1-EXP(-LN(2)/2))/(LN(2)/2)*V80*Y80*VLOOKUP('Données projet'!$B$9,Paramètres!$A$1:$I$89,3,0)*0.475*44/12</f>
        <v>9.2491843567412079E-7</v>
      </c>
      <c r="AC80" s="22">
        <f t="shared" si="57"/>
        <v>2.3110448694590668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108.5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17</v>
      </c>
      <c r="AI80" s="13">
        <f>IF('Données projet'!$A$62&gt;35,AI79+AH80-AQ79,IF(A80&lt;'Données projet'!$A$62,$AF$205^A80,IF(A80='Données projet'!$A$62,'Données projet'!$B$62,AI79+AH80-AQ79)))</f>
        <v>481.99999999999989</v>
      </c>
      <c r="AJ80" s="13">
        <f>AI80*VLOOKUP('Données projet'!$B$10,Paramètres!$A$1:$I$89,3,0)*VLOOKUP('Données projet'!$B$10,Paramètres!$A$1:$I$89,5,0)</f>
        <v>225.57599999999994</v>
      </c>
      <c r="AK80" s="13">
        <f t="shared" si="89"/>
        <v>55.325030705505945</v>
      </c>
      <c r="AL80" s="20">
        <f t="shared" si="58"/>
        <v>489.23596181208933</v>
      </c>
      <c r="AM80" s="59">
        <f t="shared" si="59"/>
        <v>923.73596181208927</v>
      </c>
      <c r="AN80" s="59">
        <f ca="1">AVERAGE(OFFSET($AM$3,0,0,'Données projet'!$E$10+1,1))-AVERAGE(OFFSET($H$3,0,0,'Données projet'!$E$10+1,1))</f>
        <v>293.42903587188346</v>
      </c>
      <c r="AO80" s="59">
        <f t="shared" si="90"/>
        <v>267.80827667062124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1.2357747018548486</v>
      </c>
      <c r="AV80" s="21">
        <f>EXP(-LN(2)/25)*AV79+(1-EXP(-LN(2)/25))/(LN(2)/25)*Calculateur!AQ80*Calculateur!AS80*VLOOKUP('Données projet'!$B$10,Paramètres!$A$1:$I$89,3,0)*0.475*44/12</f>
        <v>2.134201743703795</v>
      </c>
      <c r="AW80" s="21">
        <f>EXP(-LN(2)/2)*AW79+(1-EXP(-LN(2)/2))/(LN(2)/2)*AQ80*AT80*VLOOKUP('Données projet'!$B$10,Paramètres!$A$1:$I$89,3,0)*0.475*44/12</f>
        <v>8.2879050529482091E-7</v>
      </c>
      <c r="AX80" s="21">
        <f t="shared" si="60"/>
        <v>3.3699772743491487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108.5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6.1</v>
      </c>
      <c r="BD80" s="12">
        <f>IF('Données projet'!$A$88&gt;35,BD79+BC80-BL79,IF(A80&lt;'Données projet'!$A$88,$BA$205^A80,IF(A80='Données projet'!$A$88,'Données projet'!$B$88,BD79+BC80-BL79)))</f>
        <v>263.70000000000022</v>
      </c>
      <c r="BE80" s="13">
        <f>BD80*VLOOKUP('Données projet'!$B$11,Paramètres!$A$1:$I$89,3,0)*VLOOKUP('Données projet'!$B$11,Paramètres!$A$1:$I$89,5,0)</f>
        <v>238.59576000000018</v>
      </c>
      <c r="BF80" s="13">
        <f t="shared" si="91"/>
        <v>58.137298297430824</v>
      </c>
      <c r="BG80" s="20">
        <f t="shared" si="61"/>
        <v>516.81007653469237</v>
      </c>
      <c r="BH80" s="59">
        <f t="shared" si="62"/>
        <v>951.31007653469237</v>
      </c>
      <c r="BI80" s="59">
        <f ca="1">AVERAGE(OFFSET($BH$3,0,0,'Données projet'!$E$11+1,1))-AVERAGE(OFFSET($H$3,0,0,'Données projet'!$E$11+1,1))</f>
        <v>324.41828402031939</v>
      </c>
      <c r="BJ80" s="59">
        <f t="shared" si="92"/>
        <v>233.01060088065992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0.84383282322381492</v>
      </c>
      <c r="BR80" s="21">
        <f>EXP(-LN(2)/2)*BR79+(1-EXP(-LN(2)/2))/(LN(2)/2)*BL80*BO80*VLOOKUP('Données projet'!$B$11,Paramètres!$A$1:$I$89,3,0)*0.475*44/12</f>
        <v>5.2172301280364385E-7</v>
      </c>
      <c r="BS80" s="22">
        <f t="shared" si="63"/>
        <v>0.84383334494682771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108.5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7.4</v>
      </c>
      <c r="BY80" s="12">
        <f>IF('Données projet'!$A$114&gt;35,BY79+BX80-CG79,IF(A80&lt;'Données projet'!$A$114,$BV$205^A80,IF(A80='Données projet'!$A$114,'Données projet'!$B$114,BY79+BX80-CG79)))</f>
        <v>410.80000000000007</v>
      </c>
      <c r="BZ80" s="13">
        <f>BY80*VLOOKUP('Données projet'!$B$12,Paramètres!$A$1:$I$89,3,0)*VLOOKUP('Données projet'!$B$12,Paramètres!$A$1:$I$89,5,0)</f>
        <v>224.29680000000005</v>
      </c>
      <c r="CA80" s="13">
        <f t="shared" si="93"/>
        <v>55.047720057866165</v>
      </c>
      <c r="CB80" s="20">
        <f t="shared" si="64"/>
        <v>486.52503910078366</v>
      </c>
      <c r="CC80" s="59">
        <f t="shared" si="65"/>
        <v>921.02503910078372</v>
      </c>
      <c r="CD80" s="59">
        <f ca="1">AVERAGE(OFFSET($CC$3,0,0,'Données projet'!$E$12+1,1))-AVERAGE(OFFSET($H$3,0,0,'Données projet'!$E$12+1,1))</f>
        <v>279.00060755204919</v>
      </c>
      <c r="CE80" s="59">
        <f t="shared" si="94"/>
        <v>333.91128554211014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2.8783344214325641</v>
      </c>
      <c r="CL80" s="21">
        <f>EXP(-LN(2)/25)*CL79+(1-EXP(-LN(2)/25))/(LN(2)/25)*Calculateur!CG80*Calculateur!CI80*VLOOKUP('Données projet'!$B$12,Paramètres!$A$1:$I$89,3,0)*0.475*44/12</f>
        <v>7.561151675220354</v>
      </c>
      <c r="CM80" s="21">
        <f>EXP(-LN(2)/2)*CM79+(1-EXP(-LN(2)/2))/(LN(2)/2)*CG80*CJ80*VLOOKUP('Données projet'!$B$12,Paramètres!$A$1:$I$89,3,0)*0.475*44/12</f>
        <v>1.8168569668676543E-6</v>
      </c>
      <c r="CN80" s="22">
        <f t="shared" si="66"/>
        <v>10.439487913509884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108.5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9.4</v>
      </c>
      <c r="CT80" s="12">
        <f>IF('Données projet'!$A$140&gt;35,CT79+CS80-DB79,IF(A80&lt;'Données projet'!$A$140,$CQ$205^A80,IF(A80='Données projet'!$A$140,'Données projet'!$B$140,CT79+CS80-DB79)))</f>
        <v>563.79999999999995</v>
      </c>
      <c r="CU80" s="17">
        <f>CT80*VLOOKUP('Données projet'!$B$13,Paramètres!$A$1:$I$89,3,0)*VLOOKUP('Données projet'!$B$13,Paramètres!$A$1:$I$89,5,0)</f>
        <v>337.15240000000006</v>
      </c>
      <c r="CV80" s="13">
        <f t="shared" si="95"/>
        <v>78.911326556971218</v>
      </c>
      <c r="CW80" s="20">
        <f t="shared" si="67"/>
        <v>724.64432375339163</v>
      </c>
      <c r="CX80" s="59">
        <f t="shared" si="68"/>
        <v>1159.1443237533917</v>
      </c>
      <c r="CY80" s="59">
        <f ca="1">AVERAGE(OFFSET($CX$3,0,0,'Données projet'!$E$13+1,1))-AVERAGE(OFFSET($H$3,0,0,'Données projet'!$E$13+1,1))</f>
        <v>380.01315081072897</v>
      </c>
      <c r="CZ80" s="59">
        <f t="shared" si="96"/>
        <v>404.90871625409181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1.379201910269771</v>
      </c>
      <c r="DG80" s="21">
        <f>EXP(-LN(2)/25)*DG79+(1-EXP(-LN(2)/25))/(LN(2)/25)*Calculateur!DB80*Calculateur!DD80*VLOOKUP('Données projet'!$B$13,Paramètres!$A$1:$I$89,3,0)*0.475*44/12</f>
        <v>5.7976539272168095</v>
      </c>
      <c r="DH80" s="21">
        <f>EXP(-LN(2)/2)*DH79+(1-EXP(-LN(2)/2))/(LN(2)/2)*DB80*DE80*VLOOKUP('Données projet'!$B$13,Paramètres!$A$1:$I$89,3,0)*0.475*44/12</f>
        <v>2.5543800647383647E-6</v>
      </c>
      <c r="DI80" s="22">
        <f t="shared" si="69"/>
        <v>7.1768583918666451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108.5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-5.6843418860808015E-14</v>
      </c>
      <c r="DP80" s="17">
        <f>DO80*VLOOKUP('Données projet'!$B$14,Paramètres!$A$1:$I$89,3,0)*VLOOKUP('Données projet'!$B$14,Paramètres!$A$1:$I$89,5,0)</f>
        <v>-5.1431925385259088E-14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320.81451813551064</v>
      </c>
      <c r="DU80" s="59">
        <f t="shared" si="98"/>
        <v>522.80818268773976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0.72364306659496491</v>
      </c>
      <c r="EB80" s="21">
        <f>EXP(-LN(2)/25)*EB79+(1-EXP(-LN(2)/25))/(LN(2)/25)*Calculateur!DW80*Calculateur!DY80*VLOOKUP('Données projet'!$B$14,Paramètres!$A$1:$I$89,3,0)*0.475*44/12</f>
        <v>2.8325633612252266</v>
      </c>
      <c r="EC80" s="21">
        <f>EXP(-LN(2)/2)*EC79+(1-EXP(-LN(2)/2))/(LN(2)/2)*DW80*DZ80*VLOOKUP('Données projet'!$B$14,Paramètres!$A$1:$I$89,3,0)*0.475*44/12</f>
        <v>5.0482513172290082E-7</v>
      </c>
      <c r="ED80" s="22">
        <f t="shared" si="72"/>
        <v>3.5562069326453232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108.5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228.3393311631487</v>
      </c>
      <c r="EP80" s="59">
        <f t="shared" si="100"/>
        <v>266.26050497804033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2.4491175932782436</v>
      </c>
      <c r="EW80" s="21">
        <f>EXP(-LN(2)/25)*EW79+(1-EXP(-LN(2)/25))/(LN(2)/25)*Calculateur!ER80*Calculateur!ET80*VLOOKUP('Données projet'!$B$15,Paramètres!$A$1:$I$89,3,0)*0.475*44/12</f>
        <v>3.3500999072260509</v>
      </c>
      <c r="EX80" s="21">
        <f>EXP(-LN(2)/2)*EX79+(1-EXP(-LN(2)/2))/(LN(2)/2)*ER80*EU80*VLOOKUP('Données projet'!$B$15,Paramètres!$A$1:$I$89,3,0)*0.475*44/12</f>
        <v>4.5903754305406987E-7</v>
      </c>
      <c r="EY80" s="22">
        <f t="shared" si="75"/>
        <v>5.7992179595418376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108.5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9.5</v>
      </c>
      <c r="FE80" s="12">
        <f>IF('Données projet'!$A$218&gt;35,FE79+FD80-FM79,IF(A80&lt;'Données projet'!$A$218,$FB$205^A80,IF(A80='Données projet'!$A$218,'Données projet'!$B$218,FE79+FD80-FM79)))</f>
        <v>424.49999999999983</v>
      </c>
      <c r="FF80" s="17">
        <f>FE80*VLOOKUP('Données projet'!$B$16,Paramètres!$A$1:$I$89,3,0)*VLOOKUP('Données projet'!$B$16,Paramètres!$A$1:$I$89,5,0)</f>
        <v>242.81399999999991</v>
      </c>
      <c r="FG80" s="13">
        <f t="shared" si="101"/>
        <v>59.044564928713299</v>
      </c>
      <c r="FH80" s="20">
        <f t="shared" si="76"/>
        <v>525.73700058417546</v>
      </c>
      <c r="FI80" s="59">
        <f t="shared" si="77"/>
        <v>960.23700058417546</v>
      </c>
      <c r="FJ80" s="59">
        <f ca="1">AVERAGE(OFFSET($FI$3,0,0,'Données projet'!$E$16+1,1))-AVERAGE(OFFSET($H$3,0,0,'Données projet'!$E$16+1,1))</f>
        <v>242.10913976205194</v>
      </c>
      <c r="FK80" s="59">
        <f t="shared" si="102"/>
        <v>198.24795425321133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2.9443442864228797</v>
      </c>
      <c r="FS80" s="21">
        <f>EXP(-LN(2)/2)*FS79+(1-EXP(-LN(2)/2))/(LN(2)/2)*FM80*FP80*VLOOKUP('Données projet'!$B$16,Paramètres!$A$1:$I$89,3,0)*0.475*44/12</f>
        <v>1.114588796967904E-6</v>
      </c>
      <c r="FT80" s="22">
        <f t="shared" si="78"/>
        <v>2.9443454010116765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108.5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108.5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38.146679999999982</v>
      </c>
      <c r="D81" s="11">
        <f t="shared" si="86"/>
        <v>11.506076199200997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210.80643860011642</v>
      </c>
      <c r="H81" s="67">
        <f t="shared" si="56"/>
        <v>484.31188371360832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108.5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3.1</v>
      </c>
      <c r="N81" s="13">
        <f>IF('Données projet'!$A$36&gt;35,N80+M81-V80,IF(A81&lt;'Données projet'!$A$36,$K$205^A81,IF(A81='Données projet'!$A$36,'Données projet'!$B$36,N80+M81-V80)))</f>
        <v>277.8</v>
      </c>
      <c r="O81" s="13">
        <f>N81*VLOOKUP('Données projet'!$B$9,Paramètres!$A$1:$I$89,3,0)*VLOOKUP('Données projet'!$B$9,Paramètres!$A$1:$I$89,5,0)</f>
        <v>225.35136000000003</v>
      </c>
      <c r="P81" s="13">
        <f t="shared" si="87"/>
        <v>55.276345528913524</v>
      </c>
      <c r="Q81" s="20">
        <f t="shared" si="54"/>
        <v>488.75992046285774</v>
      </c>
      <c r="R81" s="59">
        <f t="shared" si="55"/>
        <v>923.25992046285774</v>
      </c>
      <c r="S81" s="59">
        <f ca="1">AVERAGE(OFFSET($R$3,0,0,'Données projet'!$E$9+1,1))-AVERAGE(OFFSET($H$3,0,0,'Données projet'!$E$9+1,1))</f>
        <v>273.89826011924487</v>
      </c>
      <c r="T81" s="59">
        <f t="shared" si="88"/>
        <v>332.17519939974227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2.2478483263446485</v>
      </c>
      <c r="AB81" s="21">
        <f>EXP(-LN(2)/2)*AB80+(1-EXP(-LN(2)/2))/(LN(2)/2)*V81*Y81*VLOOKUP('Données projet'!$B$9,Paramètres!$A$1:$I$89,3,0)*0.475*44/12</f>
        <v>6.540160979096244E-7</v>
      </c>
      <c r="AC81" s="22">
        <f t="shared" si="57"/>
        <v>2.2478489803607462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108.5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17</v>
      </c>
      <c r="AI81" s="13">
        <f>IF('Données projet'!$A$62&gt;35,AI80+AH81-AQ80,IF(A81&lt;'Données projet'!$A$62,$AF$205^A81,IF(A81='Données projet'!$A$62,'Données projet'!$B$62,AI80+AH81-AQ80)))</f>
        <v>498.99999999999989</v>
      </c>
      <c r="AJ81" s="13">
        <f>AI81*VLOOKUP('Données projet'!$B$10,Paramètres!$A$1:$I$89,3,0)*VLOOKUP('Données projet'!$B$10,Paramètres!$A$1:$I$89,5,0)</f>
        <v>233.53199999999995</v>
      </c>
      <c r="AK81" s="13">
        <f t="shared" si="89"/>
        <v>57.04570382109808</v>
      </c>
      <c r="AL81" s="20">
        <f t="shared" si="58"/>
        <v>506.08950082174573</v>
      </c>
      <c r="AM81" s="59">
        <f t="shared" si="59"/>
        <v>940.58950082174579</v>
      </c>
      <c r="AN81" s="59">
        <f ca="1">AVERAGE(OFFSET($AM$3,0,0,'Données projet'!$E$10+1,1))-AVERAGE(OFFSET($H$3,0,0,'Données projet'!$E$10+1,1))</f>
        <v>293.42903587188346</v>
      </c>
      <c r="AO81" s="59">
        <f t="shared" si="90"/>
        <v>267.80827667062124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1.2115419136996166</v>
      </c>
      <c r="AV81" s="21">
        <f>EXP(-LN(2)/25)*AV80+(1-EXP(-LN(2)/25))/(LN(2)/25)*Calculateur!AQ81*Calculateur!AS81*VLOOKUP('Données projet'!$B$10,Paramètres!$A$1:$I$89,3,0)*0.475*44/12</f>
        <v>2.0758418847894227</v>
      </c>
      <c r="AW81" s="21">
        <f>EXP(-LN(2)/2)*AW80+(1-EXP(-LN(2)/2))/(LN(2)/2)*AQ81*AT81*VLOOKUP('Données projet'!$B$10,Paramètres!$A$1:$I$89,3,0)*0.475*44/12</f>
        <v>5.8604338647699308E-7</v>
      </c>
      <c r="AX81" s="21">
        <f t="shared" si="60"/>
        <v>3.2873843845324258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108.5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6.1</v>
      </c>
      <c r="BD81" s="12">
        <f>IF('Données projet'!$A$88&gt;35,BD80+BC81-BL80,IF(A81&lt;'Données projet'!$A$88,$BA$205^A81,IF(A81='Données projet'!$A$88,'Données projet'!$B$88,BD80+BC81-BL80)))</f>
        <v>269.80000000000024</v>
      </c>
      <c r="BE81" s="13">
        <f>BD81*VLOOKUP('Données projet'!$B$11,Paramètres!$A$1:$I$89,3,0)*VLOOKUP('Données projet'!$B$11,Paramètres!$A$1:$I$89,5,0)</f>
        <v>244.11504000000019</v>
      </c>
      <c r="BF81" s="13">
        <f t="shared" si="91"/>
        <v>59.324023461759062</v>
      </c>
      <c r="BG81" s="20">
        <f t="shared" si="61"/>
        <v>528.48970219589739</v>
      </c>
      <c r="BH81" s="59">
        <f t="shared" si="62"/>
        <v>962.98970219589739</v>
      </c>
      <c r="BI81" s="59">
        <f ca="1">AVERAGE(OFFSET($BH$3,0,0,'Données projet'!$E$11+1,1))-AVERAGE(OFFSET($H$3,0,0,'Données projet'!$E$11+1,1))</f>
        <v>324.41828402031939</v>
      </c>
      <c r="BJ81" s="59">
        <f t="shared" si="92"/>
        <v>233.01060088065992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0.82075817029752018</v>
      </c>
      <c r="BR81" s="21">
        <f>EXP(-LN(2)/2)*BR80+(1-EXP(-LN(2)/2))/(LN(2)/2)*BL81*BO81*VLOOKUP('Données projet'!$B$11,Paramètres!$A$1:$I$89,3,0)*0.475*44/12</f>
        <v>3.6891388025453253E-7</v>
      </c>
      <c r="BS81" s="22">
        <f t="shared" si="63"/>
        <v>0.82075853921140041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108.5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7.4</v>
      </c>
      <c r="BY81" s="12">
        <f>IF('Données projet'!$A$114&gt;35,BY80+BX81-CG80,IF(A81&lt;'Données projet'!$A$114,$BV$205^A81,IF(A81='Données projet'!$A$114,'Données projet'!$B$114,BY80+BX81-CG80)))</f>
        <v>418.20000000000005</v>
      </c>
      <c r="BZ81" s="13">
        <f>BY81*VLOOKUP('Données projet'!$B$12,Paramètres!$A$1:$I$89,3,0)*VLOOKUP('Données projet'!$B$12,Paramètres!$A$1:$I$89,5,0)</f>
        <v>228.33720000000002</v>
      </c>
      <c r="CA81" s="13">
        <f t="shared" si="93"/>
        <v>55.922993607595103</v>
      </c>
      <c r="CB81" s="20">
        <f t="shared" si="64"/>
        <v>495.08650386656154</v>
      </c>
      <c r="CC81" s="59">
        <f t="shared" si="65"/>
        <v>929.58650386656154</v>
      </c>
      <c r="CD81" s="59">
        <f ca="1">AVERAGE(OFFSET($CC$3,0,0,'Données projet'!$E$12+1,1))-AVERAGE(OFFSET($H$3,0,0,'Données projet'!$E$12+1,1))</f>
        <v>279.00060755204919</v>
      </c>
      <c r="CE81" s="59">
        <f t="shared" si="94"/>
        <v>333.91128554211014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2.8218920390389166</v>
      </c>
      <c r="CL81" s="21">
        <f>EXP(-LN(2)/25)*CL80+(1-EXP(-LN(2)/25))/(LN(2)/25)*Calculateur!CG81*Calculateur!CI81*VLOOKUP('Données projet'!$B$12,Paramètres!$A$1:$I$89,3,0)*0.475*44/12</f>
        <v>7.3543915850377681</v>
      </c>
      <c r="CM81" s="21">
        <f>EXP(-LN(2)/2)*CM80+(1-EXP(-LN(2)/2))/(LN(2)/2)*CG81*CJ81*VLOOKUP('Données projet'!$B$12,Paramètres!$A$1:$I$89,3,0)*0.475*44/12</f>
        <v>1.284711881718141E-6</v>
      </c>
      <c r="CN81" s="22">
        <f t="shared" si="66"/>
        <v>10.176284908788567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108.5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9.4</v>
      </c>
      <c r="CT81" s="12">
        <f>IF('Données projet'!$A$140&gt;35,CT80+CS81-DB80,IF(A81&lt;'Données projet'!$A$140,$CQ$205^A81,IF(A81='Données projet'!$A$140,'Données projet'!$B$140,CT80+CS81-DB80)))</f>
        <v>573.19999999999993</v>
      </c>
      <c r="CU81" s="17">
        <f>CT81*VLOOKUP('Données projet'!$B$13,Paramètres!$A$1:$I$89,3,0)*VLOOKUP('Données projet'!$B$13,Paramètres!$A$1:$I$89,5,0)</f>
        <v>342.77359999999999</v>
      </c>
      <c r="CV81" s="13">
        <f t="shared" si="95"/>
        <v>80.07271849812058</v>
      </c>
      <c r="CW81" s="20">
        <f t="shared" si="67"/>
        <v>736.45733805089333</v>
      </c>
      <c r="CX81" s="59">
        <f t="shared" si="68"/>
        <v>1170.9573380508932</v>
      </c>
      <c r="CY81" s="59">
        <f ca="1">AVERAGE(OFFSET($CX$3,0,0,'Données projet'!$E$13+1,1))-AVERAGE(OFFSET($H$3,0,0,'Données projet'!$E$13+1,1))</f>
        <v>380.01315081072897</v>
      </c>
      <c r="CZ81" s="59">
        <f t="shared" si="96"/>
        <v>404.90871625409181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1.3521566020394815</v>
      </c>
      <c r="DG81" s="21">
        <f>EXP(-LN(2)/25)*DG80+(1-EXP(-LN(2)/25))/(LN(2)/25)*Calculateur!DB81*Calculateur!DD81*VLOOKUP('Données projet'!$B$13,Paramètres!$A$1:$I$89,3,0)*0.475*44/12</f>
        <v>5.6391167756916962</v>
      </c>
      <c r="DH81" s="21">
        <f>EXP(-LN(2)/2)*DH80+(1-EXP(-LN(2)/2))/(LN(2)/2)*DB81*DE81*VLOOKUP('Données projet'!$B$13,Paramètres!$A$1:$I$89,3,0)*0.475*44/12</f>
        <v>1.80621946550423E-6</v>
      </c>
      <c r="DI81" s="22">
        <f t="shared" si="69"/>
        <v>6.9912751839506431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108.5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-5.6843418860808015E-14</v>
      </c>
      <c r="DP81" s="17">
        <f>DO81*VLOOKUP('Données projet'!$B$14,Paramètres!$A$1:$I$89,3,0)*VLOOKUP('Données projet'!$B$14,Paramètres!$A$1:$I$89,5,0)</f>
        <v>-5.1431925385259088E-14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320.81451813551064</v>
      </c>
      <c r="DU81" s="59">
        <f t="shared" si="98"/>
        <v>522.80818268773976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0.70945286743772573</v>
      </c>
      <c r="EB81" s="21">
        <f>EXP(-LN(2)/25)*EB80+(1-EXP(-LN(2)/25))/(LN(2)/25)*Calculateur!DW81*Calculateur!DY81*VLOOKUP('Données projet'!$B$14,Paramètres!$A$1:$I$89,3,0)*0.475*44/12</f>
        <v>2.7551067671544893</v>
      </c>
      <c r="EC81" s="21">
        <f>EXP(-LN(2)/2)*EC80+(1-EXP(-LN(2)/2))/(LN(2)/2)*DW81*DZ81*VLOOKUP('Données projet'!$B$14,Paramètres!$A$1:$I$89,3,0)*0.475*44/12</f>
        <v>3.5696527395465526E-7</v>
      </c>
      <c r="ED81" s="22">
        <f t="shared" si="72"/>
        <v>3.4645599915574889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108.5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228.3393311631487</v>
      </c>
      <c r="EP81" s="59">
        <f t="shared" si="100"/>
        <v>266.26050497804033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2.4010918910882872</v>
      </c>
      <c r="EW81" s="21">
        <f>EXP(-LN(2)/25)*EW80+(1-EXP(-LN(2)/25))/(LN(2)/25)*Calculateur!ER81*Calculateur!ET81*VLOOKUP('Données projet'!$B$15,Paramètres!$A$1:$I$89,3,0)*0.475*44/12</f>
        <v>3.2584912490888573</v>
      </c>
      <c r="EX81" s="21">
        <f>EXP(-LN(2)/2)*EX80+(1-EXP(-LN(2)/2))/(LN(2)/2)*ER81*EU81*VLOOKUP('Données projet'!$B$15,Paramètres!$A$1:$I$89,3,0)*0.475*44/12</f>
        <v>3.245885595127446E-7</v>
      </c>
      <c r="EY81" s="22">
        <f t="shared" si="75"/>
        <v>5.6595834647657037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108.5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9.5</v>
      </c>
      <c r="FE81" s="12">
        <f>IF('Données projet'!$A$218&gt;35,FE80+FD81-FM80,IF(A81&lt;'Données projet'!$A$218,$FB$205^A81,IF(A81='Données projet'!$A$218,'Données projet'!$B$218,FE80+FD81-FM80)))</f>
        <v>433.99999999999983</v>
      </c>
      <c r="FF81" s="17">
        <f>FE81*VLOOKUP('Données projet'!$B$16,Paramètres!$A$1:$I$89,3,0)*VLOOKUP('Données projet'!$B$16,Paramètres!$A$1:$I$89,5,0)</f>
        <v>248.24799999999991</v>
      </c>
      <c r="FG81" s="13">
        <f t="shared" si="101"/>
        <v>60.210623003880372</v>
      </c>
      <c r="FH81" s="20">
        <f t="shared" si="76"/>
        <v>537.23210173175823</v>
      </c>
      <c r="FI81" s="59">
        <f t="shared" si="77"/>
        <v>971.73210173175823</v>
      </c>
      <c r="FJ81" s="59">
        <f ca="1">AVERAGE(OFFSET($FI$3,0,0,'Données projet'!$E$16+1,1))-AVERAGE(OFFSET($H$3,0,0,'Données projet'!$E$16+1,1))</f>
        <v>242.10913976205194</v>
      </c>
      <c r="FK81" s="59">
        <f t="shared" si="102"/>
        <v>198.24795425321133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2.8638310370743096</v>
      </c>
      <c r="FS81" s="21">
        <f>EXP(-LN(2)/2)*FS80+(1-EXP(-LN(2)/2))/(LN(2)/2)*FM81*FP81*VLOOKUP('Données projet'!$B$16,Paramètres!$A$1:$I$89,3,0)*0.475*44/12</f>
        <v>7.8813329657056097E-7</v>
      </c>
      <c r="FT81" s="22">
        <f t="shared" si="78"/>
        <v>2.863831825207606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108.5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108.5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38.635739999999984</v>
      </c>
      <c r="D82" s="11">
        <f t="shared" si="86"/>
        <v>11.636322595413073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213.43577452789407</v>
      </c>
      <c r="H82" s="67">
        <f t="shared" si="56"/>
        <v>485.39050902034438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108.5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3.1</v>
      </c>
      <c r="N82" s="13">
        <f>IF('Données projet'!$A$36&gt;35,N81+M82-V81,IF(A82&lt;'Données projet'!$A$36,$K$205^A82,IF(A82='Données projet'!$A$36,'Données projet'!$B$36,N81+M82-V81)))</f>
        <v>280.90000000000003</v>
      </c>
      <c r="O82" s="13">
        <f>N82*VLOOKUP('Données projet'!$B$9,Paramètres!$A$1:$I$89,3,0)*VLOOKUP('Données projet'!$B$9,Paramètres!$A$1:$I$89,5,0)</f>
        <v>227.86608000000004</v>
      </c>
      <c r="P82" s="13">
        <f t="shared" si="87"/>
        <v>55.82102812554308</v>
      </c>
      <c r="Q82" s="20">
        <f t="shared" si="54"/>
        <v>494.08837998532084</v>
      </c>
      <c r="R82" s="59">
        <f t="shared" si="55"/>
        <v>928.5883799853209</v>
      </c>
      <c r="S82" s="59">
        <f ca="1">AVERAGE(OFFSET($R$3,0,0,'Données projet'!$E$9+1,1))-AVERAGE(OFFSET($H$3,0,0,'Données projet'!$E$9+1,1))</f>
        <v>273.89826011924487</v>
      </c>
      <c r="T82" s="59">
        <f t="shared" si="88"/>
        <v>332.17519939974227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2.186380795651548</v>
      </c>
      <c r="AB82" s="21">
        <f>EXP(-LN(2)/2)*AB81+(1-EXP(-LN(2)/2))/(LN(2)/2)*V82*Y82*VLOOKUP('Données projet'!$B$9,Paramètres!$A$1:$I$89,3,0)*0.475*44/12</f>
        <v>4.6245921783706045E-7</v>
      </c>
      <c r="AC82" s="22">
        <f t="shared" si="57"/>
        <v>2.186381258110766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108.5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17</v>
      </c>
      <c r="AI82" s="13">
        <f>IF('Données projet'!$A$62&gt;35,AI81+AH82-AQ81,IF(A82&lt;'Données projet'!$A$62,$AF$205^A82,IF(A82='Données projet'!$A$62,'Données projet'!$B$62,AI81+AH82-AQ81)))</f>
        <v>515.99999999999989</v>
      </c>
      <c r="AJ82" s="13">
        <f>AI82*VLOOKUP('Données projet'!$B$10,Paramètres!$A$1:$I$89,3,0)*VLOOKUP('Données projet'!$B$10,Paramètres!$A$1:$I$89,5,0)</f>
        <v>241.48799999999997</v>
      </c>
      <c r="AK82" s="13">
        <f t="shared" si="89"/>
        <v>58.759565673424916</v>
      </c>
      <c r="AL82" s="20">
        <f t="shared" si="58"/>
        <v>522.93117688121504</v>
      </c>
      <c r="AM82" s="59">
        <f t="shared" si="59"/>
        <v>957.43117688121504</v>
      </c>
      <c r="AN82" s="59">
        <f ca="1">AVERAGE(OFFSET($AM$3,0,0,'Données projet'!$E$10+1,1))-AVERAGE(OFFSET($H$3,0,0,'Données projet'!$E$10+1,1))</f>
        <v>293.42903587188346</v>
      </c>
      <c r="AO82" s="59">
        <f t="shared" si="90"/>
        <v>267.80827667062124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1.1877843157395676</v>
      </c>
      <c r="AV82" s="21">
        <f>EXP(-LN(2)/25)*AV81+(1-EXP(-LN(2)/25))/(LN(2)/25)*Calculateur!AQ82*Calculateur!AS82*VLOOKUP('Données projet'!$B$10,Paramètres!$A$1:$I$89,3,0)*0.475*44/12</f>
        <v>2.0190778792860757</v>
      </c>
      <c r="AW82" s="21">
        <f>EXP(-LN(2)/2)*AW81+(1-EXP(-LN(2)/2))/(LN(2)/2)*AQ82*AT82*VLOOKUP('Données projet'!$B$10,Paramètres!$A$1:$I$89,3,0)*0.475*44/12</f>
        <v>4.1439525264741046E-7</v>
      </c>
      <c r="AX82" s="21">
        <f t="shared" si="60"/>
        <v>3.2068626094208961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108.5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6.1</v>
      </c>
      <c r="BD82" s="12">
        <f>IF('Données projet'!$A$88&gt;35,BD81+BC82-BL81,IF(A82&lt;'Données projet'!$A$88,$BA$205^A82,IF(A82='Données projet'!$A$88,'Données projet'!$B$88,BD81+BC82-BL81)))</f>
        <v>275.90000000000026</v>
      </c>
      <c r="BE82" s="13">
        <f>BD82*VLOOKUP('Données projet'!$B$11,Paramètres!$A$1:$I$89,3,0)*VLOOKUP('Données projet'!$B$11,Paramètres!$A$1:$I$89,5,0)</f>
        <v>249.63432000000023</v>
      </c>
      <c r="BF82" s="13">
        <f t="shared" si="91"/>
        <v>60.507629314318471</v>
      </c>
      <c r="BG82" s="20">
        <f t="shared" si="61"/>
        <v>540.16389505577172</v>
      </c>
      <c r="BH82" s="59">
        <f t="shared" si="62"/>
        <v>974.66389505577172</v>
      </c>
      <c r="BI82" s="59">
        <f ca="1">AVERAGE(OFFSET($BH$3,0,0,'Données projet'!$E$11+1,1))-AVERAGE(OFFSET($H$3,0,0,'Données projet'!$E$11+1,1))</f>
        <v>324.41828402031939</v>
      </c>
      <c r="BJ82" s="59">
        <f t="shared" si="92"/>
        <v>233.01060088065992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0.79831449496893814</v>
      </c>
      <c r="BR82" s="21">
        <f>EXP(-LN(2)/2)*BR81+(1-EXP(-LN(2)/2))/(LN(2)/2)*BL82*BO82*VLOOKUP('Données projet'!$B$11,Paramètres!$A$1:$I$89,3,0)*0.475*44/12</f>
        <v>2.6086150640182193E-7</v>
      </c>
      <c r="BS82" s="22">
        <f t="shared" si="63"/>
        <v>0.79831475583044453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108.5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7.4</v>
      </c>
      <c r="BY82" s="12">
        <f>IF('Données projet'!$A$114&gt;35,BY81+BX82-CG81,IF(A82&lt;'Données projet'!$A$114,$BV$205^A82,IF(A82='Données projet'!$A$114,'Données projet'!$B$114,BY81+BX82-CG81)))</f>
        <v>425.6</v>
      </c>
      <c r="BZ82" s="13">
        <f>BY82*VLOOKUP('Données projet'!$B$12,Paramètres!$A$1:$I$89,3,0)*VLOOKUP('Données projet'!$B$12,Paramètres!$A$1:$I$89,5,0)</f>
        <v>232.37760000000003</v>
      </c>
      <c r="CA82" s="13">
        <f t="shared" si="93"/>
        <v>56.7964661260323</v>
      </c>
      <c r="CB82" s="20">
        <f t="shared" si="64"/>
        <v>503.64483183617295</v>
      </c>
      <c r="CC82" s="59">
        <f t="shared" si="65"/>
        <v>938.1448318361729</v>
      </c>
      <c r="CD82" s="59">
        <f ca="1">AVERAGE(OFFSET($CC$3,0,0,'Données projet'!$E$12+1,1))-AVERAGE(OFFSET($H$3,0,0,'Données projet'!$E$12+1,1))</f>
        <v>279.00060755204919</v>
      </c>
      <c r="CE82" s="59">
        <f t="shared" si="94"/>
        <v>333.91128554211014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2.7665564573375545</v>
      </c>
      <c r="CL82" s="21">
        <f>EXP(-LN(2)/25)*CL81+(1-EXP(-LN(2)/25))/(LN(2)/25)*Calculateur!CG82*Calculateur!CI82*VLOOKUP('Données projet'!$B$12,Paramètres!$A$1:$I$89,3,0)*0.475*44/12</f>
        <v>7.1532853603942659</v>
      </c>
      <c r="CM82" s="21">
        <f>EXP(-LN(2)/2)*CM81+(1-EXP(-LN(2)/2))/(LN(2)/2)*CG82*CJ82*VLOOKUP('Données projet'!$B$12,Paramètres!$A$1:$I$89,3,0)*0.475*44/12</f>
        <v>9.0842848343382724E-7</v>
      </c>
      <c r="CN82" s="22">
        <f t="shared" si="66"/>
        <v>9.9198427261603026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108.5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9.4</v>
      </c>
      <c r="CT82" s="12">
        <f>IF('Données projet'!$A$140&gt;35,CT81+CS82-DB81,IF(A82&lt;'Données projet'!$A$140,$CQ$205^A82,IF(A82='Données projet'!$A$140,'Données projet'!$B$140,CT81+CS82-DB81)))</f>
        <v>582.59999999999991</v>
      </c>
      <c r="CU82" s="17">
        <f>CT82*VLOOKUP('Données projet'!$B$13,Paramètres!$A$1:$I$89,3,0)*VLOOKUP('Données projet'!$B$13,Paramètres!$A$1:$I$89,5,0)</f>
        <v>348.39479999999998</v>
      </c>
      <c r="CV82" s="13">
        <f t="shared" si="95"/>
        <v>81.231895511321952</v>
      </c>
      <c r="CW82" s="20">
        <f t="shared" si="67"/>
        <v>748.2664946822191</v>
      </c>
      <c r="CX82" s="59">
        <f t="shared" si="68"/>
        <v>1182.7664946822192</v>
      </c>
      <c r="CY82" s="59">
        <f ca="1">AVERAGE(OFFSET($CX$3,0,0,'Données projet'!$E$13+1,1))-AVERAGE(OFFSET($H$3,0,0,'Données projet'!$E$13+1,1))</f>
        <v>380.01315081072897</v>
      </c>
      <c r="CZ82" s="59">
        <f t="shared" si="96"/>
        <v>404.90871625409181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1.3256416358075789</v>
      </c>
      <c r="DG82" s="21">
        <f>EXP(-LN(2)/25)*DG81+(1-EXP(-LN(2)/25))/(LN(2)/25)*Calculateur!DB82*Calculateur!DD82*VLOOKUP('Données projet'!$B$13,Paramètres!$A$1:$I$89,3,0)*0.475*44/12</f>
        <v>5.4849148309121443</v>
      </c>
      <c r="DH82" s="21">
        <f>EXP(-LN(2)/2)*DH81+(1-EXP(-LN(2)/2))/(LN(2)/2)*DB82*DE82*VLOOKUP('Données projet'!$B$13,Paramètres!$A$1:$I$89,3,0)*0.475*44/12</f>
        <v>1.2771900323691824E-6</v>
      </c>
      <c r="DI82" s="22">
        <f t="shared" si="69"/>
        <v>6.8105577439097553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108.5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-5.6843418860808015E-14</v>
      </c>
      <c r="DP82" s="17">
        <f>DO82*VLOOKUP('Données projet'!$B$14,Paramètres!$A$1:$I$89,3,0)*VLOOKUP('Données projet'!$B$14,Paramètres!$A$1:$I$89,5,0)</f>
        <v>-5.1431925385259088E-14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320.81451813551064</v>
      </c>
      <c r="DU82" s="59">
        <f t="shared" si="98"/>
        <v>522.80818268773976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0.69554092943079315</v>
      </c>
      <c r="EB82" s="21">
        <f>EXP(-LN(2)/25)*EB81+(1-EXP(-LN(2)/25))/(LN(2)/25)*Calculateur!DW82*Calculateur!DY82*VLOOKUP('Données projet'!$B$14,Paramètres!$A$1:$I$89,3,0)*0.475*44/12</f>
        <v>2.6797682277218819</v>
      </c>
      <c r="EC82" s="21">
        <f>EXP(-LN(2)/2)*EC81+(1-EXP(-LN(2)/2))/(LN(2)/2)*DW82*DZ82*VLOOKUP('Données projet'!$B$14,Paramètres!$A$1:$I$89,3,0)*0.475*44/12</f>
        <v>2.5241256586145041E-7</v>
      </c>
      <c r="ED82" s="22">
        <f t="shared" si="72"/>
        <v>3.3753094095652409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108.5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228.3393311631487</v>
      </c>
      <c r="EP82" s="59">
        <f t="shared" si="100"/>
        <v>266.26050497804033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2.3540079436254899</v>
      </c>
      <c r="EW82" s="21">
        <f>EXP(-LN(2)/25)*EW81+(1-EXP(-LN(2)/25))/(LN(2)/25)*Calculateur!ER82*Calculateur!ET82*VLOOKUP('Données projet'!$B$15,Paramètres!$A$1:$I$89,3,0)*0.475*44/12</f>
        <v>3.1693876345259153</v>
      </c>
      <c r="EX82" s="21">
        <f>EXP(-LN(2)/2)*EX81+(1-EXP(-LN(2)/2))/(LN(2)/2)*ER82*EU82*VLOOKUP('Données projet'!$B$15,Paramètres!$A$1:$I$89,3,0)*0.475*44/12</f>
        <v>2.2951877152703496E-7</v>
      </c>
      <c r="EY82" s="22">
        <f t="shared" si="75"/>
        <v>5.5233958076701759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108.5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9.5</v>
      </c>
      <c r="FE82" s="12">
        <f>IF('Données projet'!$A$218&gt;35,FE81+FD82-FM81,IF(A82&lt;'Données projet'!$A$218,$FB$205^A82,IF(A82='Données projet'!$A$218,'Données projet'!$B$218,FE81+FD82-FM81)))</f>
        <v>443.49999999999983</v>
      </c>
      <c r="FF82" s="17">
        <f>FE82*VLOOKUP('Données projet'!$B$16,Paramètres!$A$1:$I$89,3,0)*VLOOKUP('Données projet'!$B$16,Paramètres!$A$1:$I$89,5,0)</f>
        <v>253.68199999999993</v>
      </c>
      <c r="FG82" s="13">
        <f t="shared" si="101"/>
        <v>61.373713580339356</v>
      </c>
      <c r="FH82" s="20">
        <f t="shared" si="76"/>
        <v>548.72203448575749</v>
      </c>
      <c r="FI82" s="59">
        <f t="shared" si="77"/>
        <v>983.22203448575749</v>
      </c>
      <c r="FJ82" s="59">
        <f ca="1">AVERAGE(OFFSET($FI$3,0,0,'Données projet'!$E$16+1,1))-AVERAGE(OFFSET($H$3,0,0,'Données projet'!$E$16+1,1))</f>
        <v>242.10913976205194</v>
      </c>
      <c r="FK82" s="59">
        <f t="shared" si="102"/>
        <v>198.24795425321133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2.7855194267631838</v>
      </c>
      <c r="FS82" s="21">
        <f>EXP(-LN(2)/2)*FS81+(1-EXP(-LN(2)/2))/(LN(2)/2)*FM82*FP82*VLOOKUP('Données projet'!$B$16,Paramètres!$A$1:$I$89,3,0)*0.475*44/12</f>
        <v>5.5729439848395201E-7</v>
      </c>
      <c r="FT82" s="22">
        <f t="shared" si="78"/>
        <v>2.7855199840575824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108.5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108.5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39.124799999999986</v>
      </c>
      <c r="D83" s="11">
        <f t="shared" si="86"/>
        <v>11.76637722017168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216.06429626809731</v>
      </c>
      <c r="H83" s="67">
        <f t="shared" si="56"/>
        <v>486.46880032513229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108.5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284</v>
      </c>
      <c r="L83" s="12">
        <f>VLOOKUP(A83,'Données projet'!$A$35:$I$55,9,0)</f>
        <v>3.1</v>
      </c>
      <c r="M83" s="12">
        <f t="array" ref="M83">INDEX(L:L,MIN(IF(ISNUMBER(L83:L279),ROW(L83:L279),"")))</f>
        <v>3.1</v>
      </c>
      <c r="N83" s="13">
        <f>IF('Données projet'!$A$36&gt;35,N82+M83-V82,IF(A83&lt;'Données projet'!$A$36,$K$205^A83,IF(A83='Données projet'!$A$36,'Données projet'!$B$36,N82+M83-V82)))</f>
        <v>284.00000000000006</v>
      </c>
      <c r="O83" s="13">
        <f>N83*VLOOKUP('Données projet'!$B$9,Paramètres!$A$1:$I$89,3,0)*VLOOKUP('Données projet'!$B$9,Paramètres!$A$1:$I$89,5,0)</f>
        <v>230.38080000000005</v>
      </c>
      <c r="P83" s="13">
        <f t="shared" si="87"/>
        <v>56.365011465139979</v>
      </c>
      <c r="Q83" s="20">
        <f t="shared" si="54"/>
        <v>499.4156216351189</v>
      </c>
      <c r="R83" s="59">
        <f t="shared" si="55"/>
        <v>933.9156216351189</v>
      </c>
      <c r="S83" s="59">
        <f ca="1">AVERAGE(OFFSET($R$3,0,0,'Données projet'!$E$9+1,1))-AVERAGE(OFFSET($H$3,0,0,'Données projet'!$E$9+1,1))</f>
        <v>273.89826011924487</v>
      </c>
      <c r="T83" s="59">
        <f t="shared" si="88"/>
        <v>332.17519939974227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284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2.1265940978176876</v>
      </c>
      <c r="AB83" s="21">
        <f>EXP(-LN(2)/2)*AB82+(1-EXP(-LN(2)/2))/(LN(2)/2)*V83*Y83*VLOOKUP('Données projet'!$B$9,Paramètres!$A$1:$I$89,3,0)*0.475*44/12</f>
        <v>3.2700804895481225E-7</v>
      </c>
      <c r="AC83" s="22">
        <f t="shared" si="57"/>
        <v>2.1265944248257367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108.5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533</v>
      </c>
      <c r="AG83" s="12">
        <f>VLOOKUP(A83,'Données projet'!$A$61:$I$81,9,0)</f>
        <v>17</v>
      </c>
      <c r="AH83" s="12">
        <f t="array" ref="AH83">INDEX(AG:AG,MIN(IF(ISNUMBER(AG83:AG279),ROW(AG83:AG279),"")))</f>
        <v>17</v>
      </c>
      <c r="AI83" s="13">
        <f>IF('Données projet'!$A$62&gt;35,AI82+AH83-AQ82,IF(A83&lt;'Données projet'!$A$62,$AF$205^A83,IF(A83='Données projet'!$A$62,'Données projet'!$B$62,AI82+AH83-AQ82)))</f>
        <v>532.99999999999989</v>
      </c>
      <c r="AJ83" s="13">
        <f>AI83*VLOOKUP('Données projet'!$B$10,Paramètres!$A$1:$I$89,3,0)*VLOOKUP('Données projet'!$B$10,Paramètres!$A$1:$I$89,5,0)</f>
        <v>249.44399999999993</v>
      </c>
      <c r="AK83" s="13">
        <f t="shared" si="89"/>
        <v>60.466866397117599</v>
      </c>
      <c r="AL83" s="20">
        <f t="shared" si="58"/>
        <v>539.76142564164627</v>
      </c>
      <c r="AM83" s="59">
        <f t="shared" si="59"/>
        <v>974.26142564164627</v>
      </c>
      <c r="AN83" s="59">
        <f ca="1">AVERAGE(OFFSET($AM$3,0,0,'Données projet'!$E$10+1,1))-AVERAGE(OFFSET($H$3,0,0,'Données projet'!$E$10+1,1))</f>
        <v>293.42903587188346</v>
      </c>
      <c r="AO83" s="59">
        <f t="shared" si="90"/>
        <v>267.80827667062124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83.4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1.1644925897848111</v>
      </c>
      <c r="AV83" s="21">
        <f>EXP(-LN(2)/25)*AV82+(1-EXP(-LN(2)/25))/(LN(2)/25)*Calculateur!AQ83*Calculateur!AS83*VLOOKUP('Données projet'!$B$10,Paramètres!$A$1:$I$89,3,0)*0.475*44/12</f>
        <v>1.963866088498307</v>
      </c>
      <c r="AW83" s="21">
        <f>EXP(-LN(2)/2)*AW82+(1-EXP(-LN(2)/2))/(LN(2)/2)*AQ83*AT83*VLOOKUP('Données projet'!$B$10,Paramètres!$A$1:$I$89,3,0)*0.475*44/12</f>
        <v>2.9302169323849654E-7</v>
      </c>
      <c r="AX83" s="21">
        <f t="shared" si="60"/>
        <v>3.1283589713048112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108.5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282</v>
      </c>
      <c r="BB83" s="12">
        <f>VLOOKUP(A83,'Données projet'!$A$87:$I$107,9,0)</f>
        <v>6.1</v>
      </c>
      <c r="BC83" s="12">
        <f t="array" ref="BC83">INDEX(BB:BB,MIN(IF(ISNUMBER(BB83:BB279),ROW(BB83:BB279),"")))</f>
        <v>6.1</v>
      </c>
      <c r="BD83" s="12">
        <f>IF('Données projet'!$A$88&gt;35,BD82+BC83-BL82,IF(A83&lt;'Données projet'!$A$88,$BA$205^A83,IF(A83='Données projet'!$A$88,'Données projet'!$B$88,BD82+BC83-BL82)))</f>
        <v>282.00000000000028</v>
      </c>
      <c r="BE83" s="13">
        <f>BD83*VLOOKUP('Données projet'!$B$11,Paramètres!$A$1:$I$89,3,0)*VLOOKUP('Données projet'!$B$11,Paramètres!$A$1:$I$89,5,0)</f>
        <v>255.15360000000024</v>
      </c>
      <c r="BF83" s="13">
        <f t="shared" si="91"/>
        <v>61.688192762754483</v>
      </c>
      <c r="BG83" s="20">
        <f t="shared" si="61"/>
        <v>551.83278906179783</v>
      </c>
      <c r="BH83" s="59">
        <f t="shared" si="62"/>
        <v>986.33278906179783</v>
      </c>
      <c r="BI83" s="59">
        <f ca="1">AVERAGE(OFFSET($BH$3,0,0,'Données projet'!$E$11+1,1))-AVERAGE(OFFSET($H$3,0,0,'Données projet'!$E$11+1,1))</f>
        <v>324.41828402031939</v>
      </c>
      <c r="BJ83" s="59">
        <f t="shared" si="92"/>
        <v>233.01060088065992</v>
      </c>
      <c r="BK83" s="15">
        <f>IF(ISNA(VLOOKUP(A83,'Données projet'!$A$87:$I$107,3,0)),0,VLOOKUP(A83,'Données projet'!$A$87:$I$107,3,0))</f>
        <v>6</v>
      </c>
      <c r="BL83" s="21">
        <f>IF(ISNA(VLOOKUP(A83,'Données projet'!$A$87:$I$107,4,0)),0,VLOOKUP(A83,'Données projet'!$A$87:$I$107,4,0))</f>
        <v>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0.77648454312247783</v>
      </c>
      <c r="BR83" s="21">
        <f>EXP(-LN(2)/2)*BR82+(1-EXP(-LN(2)/2))/(LN(2)/2)*BL83*BO83*VLOOKUP('Données projet'!$B$11,Paramètres!$A$1:$I$89,3,0)*0.475*44/12</f>
        <v>1.8445694012726627E-7</v>
      </c>
      <c r="BS83" s="22">
        <f t="shared" si="63"/>
        <v>0.776484727579418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108.5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433</v>
      </c>
      <c r="BW83" s="12">
        <f>VLOOKUP(A83,'Données projet'!$A$113:$I$133,9,0)</f>
        <v>7.4</v>
      </c>
      <c r="BX83" s="12">
        <f t="array" ref="BX83">INDEX(BW:BW,MIN(IF(ISNUMBER(BW83:BW279),ROW(BW83:BW279),"")))</f>
        <v>7.4</v>
      </c>
      <c r="BY83" s="12">
        <f>IF('Données projet'!$A$114&gt;35,BY82+BX83-CG82,IF(A83&lt;'Données projet'!$A$114,$BV$205^A83,IF(A83='Données projet'!$A$114,'Données projet'!$B$114,BY82+BX83-CG82)))</f>
        <v>433</v>
      </c>
      <c r="BZ83" s="13">
        <f>BY83*VLOOKUP('Données projet'!$B$12,Paramètres!$A$1:$I$89,3,0)*VLOOKUP('Données projet'!$B$12,Paramètres!$A$1:$I$89,5,0)</f>
        <v>236.41799999999998</v>
      </c>
      <c r="CA83" s="13">
        <f t="shared" si="93"/>
        <v>57.668172541352746</v>
      </c>
      <c r="CB83" s="20">
        <f t="shared" si="64"/>
        <v>512.20008384285597</v>
      </c>
      <c r="CC83" s="59">
        <f t="shared" si="65"/>
        <v>946.70008384285597</v>
      </c>
      <c r="CD83" s="59">
        <f ca="1">AVERAGE(OFFSET($CC$3,0,0,'Données projet'!$E$12+1,1))-AVERAGE(OFFSET($H$3,0,0,'Données projet'!$E$12+1,1))</f>
        <v>279.00060755204919</v>
      </c>
      <c r="CE83" s="59">
        <f t="shared" si="94"/>
        <v>333.91128554211014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433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2.712305972641984</v>
      </c>
      <c r="CL83" s="21">
        <f>EXP(-LN(2)/25)*CL82+(1-EXP(-LN(2)/25))/(LN(2)/25)*Calculateur!CG83*Calculateur!CI83*VLOOKUP('Données projet'!$B$12,Paramètres!$A$1:$I$89,3,0)*0.475*44/12</f>
        <v>6.9576783960393564</v>
      </c>
      <c r="CM83" s="21">
        <f>EXP(-LN(2)/2)*CM82+(1-EXP(-LN(2)/2))/(LN(2)/2)*CG83*CJ83*VLOOKUP('Données projet'!$B$12,Paramètres!$A$1:$I$89,3,0)*0.475*44/12</f>
        <v>6.4235594085907048E-7</v>
      </c>
      <c r="CN83" s="22">
        <f t="shared" si="66"/>
        <v>9.6699850110372818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108.5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592</v>
      </c>
      <c r="CR83" s="12">
        <f>VLOOKUP(A83,'Données projet'!$A$139:$I$159,9,0)</f>
        <v>9.4</v>
      </c>
      <c r="CS83" s="12">
        <f t="array" ref="CS83">INDEX(CR:CR,MIN(IF(ISNUMBER(CR83:CR279),ROW(CR83:CR279),"")))</f>
        <v>9.4</v>
      </c>
      <c r="CT83" s="12">
        <f>IF('Données projet'!$A$140&gt;35,CT82+CS83-DB82,IF(A83&lt;'Données projet'!$A$140,$CQ$205^A83,IF(A83='Données projet'!$A$140,'Données projet'!$B$140,CT82+CS83-DB82)))</f>
        <v>591.99999999999989</v>
      </c>
      <c r="CU83" s="17">
        <f>CT83*VLOOKUP('Données projet'!$B$13,Paramètres!$A$1:$I$89,3,0)*VLOOKUP('Données projet'!$B$13,Paramètres!$A$1:$I$89,5,0)</f>
        <v>354.01599999999991</v>
      </c>
      <c r="CV83" s="13">
        <f t="shared" si="95"/>
        <v>82.388897459302981</v>
      </c>
      <c r="CW83" s="20">
        <f t="shared" si="67"/>
        <v>760.07186307495249</v>
      </c>
      <c r="CX83" s="59">
        <f t="shared" si="68"/>
        <v>1194.5718630749525</v>
      </c>
      <c r="CY83" s="59">
        <f ca="1">AVERAGE(OFFSET($CX$3,0,0,'Données projet'!$E$13+1,1))-AVERAGE(OFFSET($H$3,0,0,'Données projet'!$E$13+1,1))</f>
        <v>380.01315081072897</v>
      </c>
      <c r="CZ83" s="59">
        <f t="shared" si="96"/>
        <v>404.90871625409181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592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1.2996466118909513</v>
      </c>
      <c r="DG83" s="21">
        <f>EXP(-LN(2)/25)*DG82+(1-EXP(-LN(2)/25))/(LN(2)/25)*Calculateur!DB83*Calculateur!DD83*VLOOKUP('Données projet'!$B$13,Paramètres!$A$1:$I$89,3,0)*0.475*44/12</f>
        <v>5.3349295464217166</v>
      </c>
      <c r="DH83" s="21">
        <f>EXP(-LN(2)/2)*DH82+(1-EXP(-LN(2)/2))/(LN(2)/2)*DB83*DE83*VLOOKUP('Données projet'!$B$13,Paramètres!$A$1:$I$89,3,0)*0.475*44/12</f>
        <v>9.0310973275211499E-7</v>
      </c>
      <c r="DI83" s="22">
        <f t="shared" si="69"/>
        <v>6.6345770614224007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108.5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-5.6843418860808015E-14</v>
      </c>
      <c r="DP83" s="17">
        <f>DO83*VLOOKUP('Données projet'!$B$14,Paramètres!$A$1:$I$89,3,0)*VLOOKUP('Données projet'!$B$14,Paramètres!$A$1:$I$89,5,0)</f>
        <v>-5.1431925385259088E-14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320.81451813551064</v>
      </c>
      <c r="DU83" s="59">
        <f t="shared" si="98"/>
        <v>522.80818268773976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0.68190179604273227</v>
      </c>
      <c r="EB83" s="21">
        <f>EXP(-LN(2)/25)*EB82+(1-EXP(-LN(2)/25))/(LN(2)/25)*Calculateur!DW83*Calculateur!DY83*VLOOKUP('Données projet'!$B$14,Paramètres!$A$1:$I$89,3,0)*0.475*44/12</f>
        <v>2.6064898246119408</v>
      </c>
      <c r="EC83" s="21">
        <f>EXP(-LN(2)/2)*EC82+(1-EXP(-LN(2)/2))/(LN(2)/2)*DW83*DZ83*VLOOKUP('Données projet'!$B$14,Paramètres!$A$1:$I$89,3,0)*0.475*44/12</f>
        <v>1.7848263697732763E-7</v>
      </c>
      <c r="ED83" s="22">
        <f t="shared" si="72"/>
        <v>3.2883917991373104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108.5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228.3393311631487</v>
      </c>
      <c r="EP83" s="59">
        <f t="shared" si="100"/>
        <v>266.26050497804033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2.3078472836540658</v>
      </c>
      <c r="EW83" s="21">
        <f>EXP(-LN(2)/25)*EW82+(1-EXP(-LN(2)/25))/(LN(2)/25)*Calculateur!ER83*Calculateur!ET83*VLOOKUP('Données projet'!$B$15,Paramètres!$A$1:$I$89,3,0)*0.475*44/12</f>
        <v>3.082720562988952</v>
      </c>
      <c r="EX83" s="21">
        <f>EXP(-LN(2)/2)*EX82+(1-EXP(-LN(2)/2))/(LN(2)/2)*ER83*EU83*VLOOKUP('Données projet'!$B$15,Paramètres!$A$1:$I$89,3,0)*0.475*44/12</f>
        <v>1.622942797563723E-7</v>
      </c>
      <c r="EY83" s="22">
        <f t="shared" si="75"/>
        <v>5.3905680089372972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108.5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453</v>
      </c>
      <c r="FC83" s="12">
        <f>VLOOKUP(A83,'Données projet'!$A$217:$I$237,9,0)</f>
        <v>9.5</v>
      </c>
      <c r="FD83" s="12">
        <f t="array" ref="FD83">INDEX(FC:FC,MIN(IF(ISNUMBER(FC83:FC279),ROW(FC83:FC279),"")))</f>
        <v>9.5</v>
      </c>
      <c r="FE83" s="12">
        <f>IF('Données projet'!$A$218&gt;35,FE82+FD83-FM82,IF(A83&lt;'Données projet'!$A$218,$FB$205^A83,IF(A83='Données projet'!$A$218,'Données projet'!$B$218,FE82+FD83-FM82)))</f>
        <v>452.99999999999983</v>
      </c>
      <c r="FF83" s="17">
        <f>FE83*VLOOKUP('Données projet'!$B$16,Paramètres!$A$1:$I$89,3,0)*VLOOKUP('Données projet'!$B$16,Paramètres!$A$1:$I$89,5,0)</f>
        <v>259.11599999999993</v>
      </c>
      <c r="FG83" s="13">
        <f t="shared" si="101"/>
        <v>62.533907545011694</v>
      </c>
      <c r="FH83" s="20">
        <f t="shared" si="76"/>
        <v>560.20692230756185</v>
      </c>
      <c r="FI83" s="59">
        <f t="shared" si="77"/>
        <v>994.70692230756185</v>
      </c>
      <c r="FJ83" s="59">
        <f ca="1">AVERAGE(OFFSET($FI$3,0,0,'Données projet'!$E$16+1,1))-AVERAGE(OFFSET($H$3,0,0,'Données projet'!$E$16+1,1))</f>
        <v>242.10913976205194</v>
      </c>
      <c r="FK83" s="59">
        <f t="shared" si="102"/>
        <v>198.24795425321133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453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2.7093492515542441</v>
      </c>
      <c r="FS83" s="21">
        <f>EXP(-LN(2)/2)*FS82+(1-EXP(-LN(2)/2))/(LN(2)/2)*FM83*FP83*VLOOKUP('Données projet'!$B$16,Paramètres!$A$1:$I$89,3,0)*0.475*44/12</f>
        <v>3.9406664828528048E-7</v>
      </c>
      <c r="FT83" s="22">
        <f t="shared" si="78"/>
        <v>2.7093496456208923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108.5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108.5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39.613859999999988</v>
      </c>
      <c r="D84" s="11">
        <f t="shared" si="86"/>
        <v>11.896242747841562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218.69201517504663</v>
      </c>
      <c r="H84" s="67">
        <f t="shared" si="56"/>
        <v>487.546762285824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108.5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5.6843418860808015E-14</v>
      </c>
      <c r="O84" s="13">
        <f>N84*VLOOKUP('Données projet'!$B$9,Paramètres!$A$1:$I$89,3,0)*VLOOKUP('Données projet'!$B$9,Paramètres!$A$1:$I$89,5,0)</f>
        <v>4.6111381379887463E-14</v>
      </c>
      <c r="P84" s="13">
        <f t="shared" si="87"/>
        <v>7.5804141040779151E-13</v>
      </c>
      <c r="Q84" s="20">
        <f t="shared" si="54"/>
        <v>1.4005661123635408E-12</v>
      </c>
      <c r="R84" s="59">
        <f t="shared" si="55"/>
        <v>434.50000000000142</v>
      </c>
      <c r="S84" s="59">
        <f ca="1">AVERAGE(OFFSET($R$3,0,0,'Données projet'!$E$9+1,1))-AVERAGE(OFFSET($H$3,0,0,'Données projet'!$E$9+1,1))</f>
        <v>273.89826011924487</v>
      </c>
      <c r="T84" s="59">
        <f t="shared" si="88"/>
        <v>332.17519939974227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2.0684422703801397</v>
      </c>
      <c r="AB84" s="21">
        <f>EXP(-LN(2)/2)*AB83+(1-EXP(-LN(2)/2))/(LN(2)/2)*V84*Y84*VLOOKUP('Données projet'!$B$9,Paramètres!$A$1:$I$89,3,0)*0.475*44/12</f>
        <v>2.3122960891853025E-7</v>
      </c>
      <c r="AC84" s="22">
        <f t="shared" si="57"/>
        <v>2.0684425016097485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108.5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17.5</v>
      </c>
      <c r="AI84" s="13">
        <f>IF('Données projet'!$A$62&gt;35,AI83+AH84-AQ83,IF(A84&lt;'Données projet'!$A$62,$AF$205^A84,IF(A84='Données projet'!$A$62,'Données projet'!$B$62,AI83+AH84-AQ83)))</f>
        <v>467.09999999999991</v>
      </c>
      <c r="AJ84" s="13">
        <f>AI84*VLOOKUP('Données projet'!$B$10,Paramètres!$A$1:$I$89,3,0)*VLOOKUP('Données projet'!$B$10,Paramètres!$A$1:$I$89,5,0)</f>
        <v>218.60279999999995</v>
      </c>
      <c r="AK84" s="13">
        <f t="shared" si="89"/>
        <v>53.811098692658383</v>
      </c>
      <c r="AL84" s="20">
        <f t="shared" si="58"/>
        <v>474.45420688971325</v>
      </c>
      <c r="AM84" s="59">
        <f t="shared" si="59"/>
        <v>908.9542068897133</v>
      </c>
      <c r="AN84" s="59">
        <f ca="1">AVERAGE(OFFSET($AM$3,0,0,'Données projet'!$E$10+1,1))-AVERAGE(OFFSET($H$3,0,0,'Données projet'!$E$10+1,1))</f>
        <v>293.42903587188346</v>
      </c>
      <c r="AO84" s="59">
        <f t="shared" si="90"/>
        <v>267.80827667062124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1.1416576003694774</v>
      </c>
      <c r="AV84" s="21">
        <f>EXP(-LN(2)/25)*AV83+(1-EXP(-LN(2)/25))/(LN(2)/25)*Calculateur!AQ84*Calculateur!AS84*VLOOKUP('Données projet'!$B$10,Paramètres!$A$1:$I$89,3,0)*0.475*44/12</f>
        <v>1.9101640670330917</v>
      </c>
      <c r="AW84" s="21">
        <f>EXP(-LN(2)/2)*AW83+(1-EXP(-LN(2)/2))/(LN(2)/2)*AQ84*AT84*VLOOKUP('Données projet'!$B$10,Paramètres!$A$1:$I$89,3,0)*0.475*44/12</f>
        <v>2.0719762632370523E-7</v>
      </c>
      <c r="AX84" s="21">
        <f t="shared" si="60"/>
        <v>3.0518218746001953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108.5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5.6</v>
      </c>
      <c r="BD84" s="12">
        <f>IF('Données projet'!$A$88&gt;35,BD83+BC84-BL83,IF(A84&lt;'Données projet'!$A$88,$BA$205^A84,IF(A84='Données projet'!$A$88,'Données projet'!$B$88,BD83+BC84-BL83)))</f>
        <v>245.60000000000031</v>
      </c>
      <c r="BE84" s="13">
        <f>BD84*VLOOKUP('Données projet'!$B$11,Paramètres!$A$1:$I$89,3,0)*VLOOKUP('Données projet'!$B$11,Paramètres!$A$1:$I$89,5,0)</f>
        <v>222.2188800000003</v>
      </c>
      <c r="BF84" s="13">
        <f t="shared" si="91"/>
        <v>54.596866296848951</v>
      </c>
      <c r="BG84" s="20">
        <f t="shared" si="61"/>
        <v>482.12075813367898</v>
      </c>
      <c r="BH84" s="59">
        <f t="shared" si="62"/>
        <v>916.62075813367892</v>
      </c>
      <c r="BI84" s="59">
        <f ca="1">AVERAGE(OFFSET($BH$3,0,0,'Données projet'!$E$11+1,1))-AVERAGE(OFFSET($H$3,0,0,'Données projet'!$E$11+1,1))</f>
        <v>324.41828402031939</v>
      </c>
      <c r="BJ84" s="59">
        <f t="shared" si="92"/>
        <v>233.01060088065992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0.75525153245724619</v>
      </c>
      <c r="BR84" s="21">
        <f>EXP(-LN(2)/2)*BR83+(1-EXP(-LN(2)/2))/(LN(2)/2)*BL84*BO84*VLOOKUP('Données projet'!$B$11,Paramètres!$A$1:$I$89,3,0)*0.475*44/12</f>
        <v>1.3043075320091096E-7</v>
      </c>
      <c r="BS84" s="22">
        <f t="shared" si="63"/>
        <v>0.75525166288799939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108.5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279.00060755204919</v>
      </c>
      <c r="CE84" s="59">
        <f t="shared" si="94"/>
        <v>333.91128554211014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2.6591193068617653</v>
      </c>
      <c r="CL84" s="21">
        <f>EXP(-LN(2)/25)*CL83+(1-EXP(-LN(2)/25))/(LN(2)/25)*Calculateur!CG84*Calculateur!CI84*VLOOKUP('Données projet'!$B$12,Paramètres!$A$1:$I$89,3,0)*0.475*44/12</f>
        <v>6.7674203144112557</v>
      </c>
      <c r="CM84" s="21">
        <f>EXP(-LN(2)/2)*CM83+(1-EXP(-LN(2)/2))/(LN(2)/2)*CG84*CJ84*VLOOKUP('Données projet'!$B$12,Paramètres!$A$1:$I$89,3,0)*0.475*44/12</f>
        <v>4.5421424171691362E-7</v>
      </c>
      <c r="CN84" s="22">
        <f t="shared" si="66"/>
        <v>9.4265400754872619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108.5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-1.1368683772161603E-13</v>
      </c>
      <c r="CU84" s="17">
        <f>CT84*VLOOKUP('Données projet'!$B$13,Paramètres!$A$1:$I$89,3,0)*VLOOKUP('Données projet'!$B$13,Paramètres!$A$1:$I$89,5,0)</f>
        <v>-6.7984728957526396E-14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380.01315081072897</v>
      </c>
      <c r="CZ84" s="59">
        <f t="shared" si="96"/>
        <v>404.90871625409181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1.2741613345379297</v>
      </c>
      <c r="DG84" s="21">
        <f>EXP(-LN(2)/25)*DG83+(1-EXP(-LN(2)/25))/(LN(2)/25)*Calculateur!DB84*Calculateur!DD84*VLOOKUP('Données projet'!$B$13,Paramètres!$A$1:$I$89,3,0)*0.475*44/12</f>
        <v>5.189045617423063</v>
      </c>
      <c r="DH84" s="21">
        <f>EXP(-LN(2)/2)*DH83+(1-EXP(-LN(2)/2))/(LN(2)/2)*DB84*DE84*VLOOKUP('Données projet'!$B$13,Paramètres!$A$1:$I$89,3,0)*0.475*44/12</f>
        <v>6.3859501618459118E-7</v>
      </c>
      <c r="DI84" s="22">
        <f t="shared" si="69"/>
        <v>6.4632075905560091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108.5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-5.6843418860808015E-14</v>
      </c>
      <c r="DP84" s="17">
        <f>DO84*VLOOKUP('Données projet'!$B$14,Paramètres!$A$1:$I$89,3,0)*VLOOKUP('Données projet'!$B$14,Paramètres!$A$1:$I$89,5,0)</f>
        <v>-5.1431925385259088E-14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320.81451813551064</v>
      </c>
      <c r="DU84" s="59">
        <f t="shared" si="98"/>
        <v>522.80818268773976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0.66853011774136128</v>
      </c>
      <c r="EB84" s="21">
        <f>EXP(-LN(2)/25)*EB83+(1-EXP(-LN(2)/25))/(LN(2)/25)*Calculateur!DW84*Calculateur!DY84*VLOOKUP('Données projet'!$B$14,Paramètres!$A$1:$I$89,3,0)*0.475*44/12</f>
        <v>2.5352152232885845</v>
      </c>
      <c r="EC84" s="21">
        <f>EXP(-LN(2)/2)*EC83+(1-EXP(-LN(2)/2))/(LN(2)/2)*DW84*DZ84*VLOOKUP('Données projet'!$B$14,Paramètres!$A$1:$I$89,3,0)*0.475*44/12</f>
        <v>1.262062829307252E-7</v>
      </c>
      <c r="ED84" s="22">
        <f t="shared" si="72"/>
        <v>3.2037454672362284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108.5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228.3393311631487</v>
      </c>
      <c r="EP84" s="59">
        <f t="shared" si="100"/>
        <v>266.26050497804033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2.2625918060694588</v>
      </c>
      <c r="EW84" s="21">
        <f>EXP(-LN(2)/25)*EW83+(1-EXP(-LN(2)/25))/(LN(2)/25)*Calculateur!ER84*Calculateur!ET84*VLOOKUP('Données projet'!$B$15,Paramètres!$A$1:$I$89,3,0)*0.475*44/12</f>
        <v>2.9984234070807902</v>
      </c>
      <c r="EX84" s="21">
        <f>EXP(-LN(2)/2)*EX83+(1-EXP(-LN(2)/2))/(LN(2)/2)*ER84*EU84*VLOOKUP('Données projet'!$B$15,Paramètres!$A$1:$I$89,3,0)*0.475*44/12</f>
        <v>1.1475938576351748E-7</v>
      </c>
      <c r="EY84" s="22">
        <f t="shared" si="75"/>
        <v>5.261015327909635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108.5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-1.7053025658242404E-13</v>
      </c>
      <c r="FF84" s="17">
        <f>FE84*VLOOKUP('Données projet'!$B$16,Paramètres!$A$1:$I$89,3,0)*VLOOKUP('Données projet'!$B$16,Paramètres!$A$1:$I$89,5,0)</f>
        <v>-9.7543306765146564E-14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242.10913976205194</v>
      </c>
      <c r="FK84" s="59">
        <f t="shared" si="102"/>
        <v>198.24795425321133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2.6352619537920083</v>
      </c>
      <c r="FS84" s="21">
        <f>EXP(-LN(2)/2)*FS83+(1-EXP(-LN(2)/2))/(LN(2)/2)*FM84*FP84*VLOOKUP('Données projet'!$B$16,Paramètres!$A$1:$I$89,3,0)*0.475*44/12</f>
        <v>2.7864719924197601E-7</v>
      </c>
      <c r="FT84" s="22">
        <f t="shared" si="78"/>
        <v>2.6352622324392074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108.5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108.5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40.10291999999999</v>
      </c>
      <c r="D85" s="11">
        <f t="shared" si="86"/>
        <v>12.025921782955486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221.31894230658293</v>
      </c>
      <c r="H85" s="67">
        <f t="shared" si="56"/>
        <v>488.6243994386474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108.5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5.6843418860808015E-14</v>
      </c>
      <c r="O85" s="13">
        <f>N85*VLOOKUP('Données projet'!$B$9,Paramètres!$A$1:$I$89,3,0)*VLOOKUP('Données projet'!$B$9,Paramètres!$A$1:$I$89,5,0)</f>
        <v>4.6111381379887463E-14</v>
      </c>
      <c r="P85" s="13">
        <f t="shared" si="87"/>
        <v>7.5804141040779151E-13</v>
      </c>
      <c r="Q85" s="20">
        <f t="shared" si="54"/>
        <v>1.4005661123635408E-12</v>
      </c>
      <c r="R85" s="59">
        <f t="shared" si="55"/>
        <v>434.50000000000142</v>
      </c>
      <c r="S85" s="59">
        <f ca="1">AVERAGE(OFFSET($R$3,0,0,'Données projet'!$E$9+1,1))-AVERAGE(OFFSET($H$3,0,0,'Données projet'!$E$9+1,1))</f>
        <v>273.89826011924487</v>
      </c>
      <c r="T85" s="59">
        <f t="shared" si="88"/>
        <v>332.17519939974227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2.0118806077219431</v>
      </c>
      <c r="AB85" s="21">
        <f>EXP(-LN(2)/2)*AB84+(1-EXP(-LN(2)/2))/(LN(2)/2)*V85*Y85*VLOOKUP('Données projet'!$B$9,Paramètres!$A$1:$I$89,3,0)*0.475*44/12</f>
        <v>1.6350402447740613E-7</v>
      </c>
      <c r="AC85" s="22">
        <f t="shared" si="57"/>
        <v>2.0118807712259676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108.5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17.5</v>
      </c>
      <c r="AI85" s="13">
        <f>IF('Données projet'!$A$62&gt;35,AI84+AH85-AQ84,IF(A85&lt;'Données projet'!$A$62,$AF$205^A85,IF(A85='Données projet'!$A$62,'Données projet'!$B$62,AI84+AH85-AQ84)))</f>
        <v>484.59999999999991</v>
      </c>
      <c r="AJ85" s="13">
        <f>AI85*VLOOKUP('Données projet'!$B$10,Paramètres!$A$1:$I$89,3,0)*VLOOKUP('Données projet'!$B$10,Paramètres!$A$1:$I$89,5,0)</f>
        <v>226.79279999999994</v>
      </c>
      <c r="AK85" s="13">
        <f t="shared" si="89"/>
        <v>55.588644170072158</v>
      </c>
      <c r="AL85" s="20">
        <f t="shared" si="58"/>
        <v>491.8143485962089</v>
      </c>
      <c r="AM85" s="59">
        <f t="shared" si="59"/>
        <v>926.3143485962089</v>
      </c>
      <c r="AN85" s="59">
        <f ca="1">AVERAGE(OFFSET($AM$3,0,0,'Données projet'!$E$10+1,1))-AVERAGE(OFFSET($H$3,0,0,'Données projet'!$E$10+1,1))</f>
        <v>293.42903587188346</v>
      </c>
      <c r="AO85" s="59">
        <f t="shared" si="90"/>
        <v>267.80827667062124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1.1192703911686102</v>
      </c>
      <c r="AV85" s="21">
        <f>EXP(-LN(2)/25)*AV84+(1-EXP(-LN(2)/25))/(LN(2)/25)*Calculateur!AQ85*Calculateur!AS85*VLOOKUP('Données projet'!$B$10,Paramètres!$A$1:$I$89,3,0)*0.475*44/12</f>
        <v>1.8579305301689093</v>
      </c>
      <c r="AW85" s="21">
        <f>EXP(-LN(2)/2)*AW84+(1-EXP(-LN(2)/2))/(LN(2)/2)*AQ85*AT85*VLOOKUP('Données projet'!$B$10,Paramètres!$A$1:$I$89,3,0)*0.475*44/12</f>
        <v>1.4651084661924827E-7</v>
      </c>
      <c r="AX85" s="21">
        <f t="shared" si="60"/>
        <v>2.977201067848366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108.5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5.6</v>
      </c>
      <c r="BD85" s="12">
        <f>IF('Données projet'!$A$88&gt;35,BD84+BC85-BL84,IF(A85&lt;'Données projet'!$A$88,$BA$205^A85,IF(A85='Données projet'!$A$88,'Données projet'!$B$88,BD84+BC85-BL84)))</f>
        <v>251.2000000000003</v>
      </c>
      <c r="BE85" s="13">
        <f>BD85*VLOOKUP('Données projet'!$B$11,Paramètres!$A$1:$I$89,3,0)*VLOOKUP('Données projet'!$B$11,Paramètres!$A$1:$I$89,5,0)</f>
        <v>227.28576000000027</v>
      </c>
      <c r="BF85" s="13">
        <f t="shared" si="91"/>
        <v>55.695394520076427</v>
      </c>
      <c r="BG85" s="20">
        <f t="shared" si="61"/>
        <v>492.85884412246696</v>
      </c>
      <c r="BH85" s="59">
        <f t="shared" si="62"/>
        <v>927.35884412246696</v>
      </c>
      <c r="BI85" s="59">
        <f ca="1">AVERAGE(OFFSET($BH$3,0,0,'Données projet'!$E$11+1,1))-AVERAGE(OFFSET($H$3,0,0,'Données projet'!$E$11+1,1))</f>
        <v>324.41828402031939</v>
      </c>
      <c r="BJ85" s="59">
        <f t="shared" si="92"/>
        <v>233.01060088065992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0.7345991395852508</v>
      </c>
      <c r="BR85" s="21">
        <f>EXP(-LN(2)/2)*BR84+(1-EXP(-LN(2)/2))/(LN(2)/2)*BL85*BO85*VLOOKUP('Données projet'!$B$11,Paramètres!$A$1:$I$89,3,0)*0.475*44/12</f>
        <v>9.2228470063633133E-8</v>
      </c>
      <c r="BS85" s="22">
        <f t="shared" si="63"/>
        <v>0.73459923181372089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108.5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279.00060755204919</v>
      </c>
      <c r="CE85" s="59">
        <f t="shared" si="94"/>
        <v>333.91128554211014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2.6069755991568337</v>
      </c>
      <c r="CL85" s="21">
        <f>EXP(-LN(2)/25)*CL84+(1-EXP(-LN(2)/25))/(LN(2)/25)*Calculateur!CG85*Calculateur!CI85*VLOOKUP('Données projet'!$B$12,Paramètres!$A$1:$I$89,3,0)*0.475*44/12</f>
        <v>6.5823648500305127</v>
      </c>
      <c r="CM85" s="21">
        <f>EXP(-LN(2)/2)*CM84+(1-EXP(-LN(2)/2))/(LN(2)/2)*CG85*CJ85*VLOOKUP('Données projet'!$B$12,Paramètres!$A$1:$I$89,3,0)*0.475*44/12</f>
        <v>3.2117797042953524E-7</v>
      </c>
      <c r="CN85" s="22">
        <f t="shared" si="66"/>
        <v>9.189340770365316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108.5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-1.1368683772161603E-13</v>
      </c>
      <c r="CU85" s="17">
        <f>CT85*VLOOKUP('Données projet'!$B$13,Paramètres!$A$1:$I$89,3,0)*VLOOKUP('Données projet'!$B$13,Paramètres!$A$1:$I$89,5,0)</f>
        <v>-6.7984728957526396E-14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380.01315081072897</v>
      </c>
      <c r="CZ85" s="59">
        <f t="shared" si="96"/>
        <v>404.90871625409181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1.2491758079293167</v>
      </c>
      <c r="DG85" s="21">
        <f>EXP(-LN(2)/25)*DG84+(1-EXP(-LN(2)/25))/(LN(2)/25)*Calculateur!DB85*Calculateur!DD85*VLOOKUP('Données projet'!$B$13,Paramètres!$A$1:$I$89,3,0)*0.475*44/12</f>
        <v>5.0471508921345798</v>
      </c>
      <c r="DH85" s="21">
        <f>EXP(-LN(2)/2)*DH84+(1-EXP(-LN(2)/2))/(LN(2)/2)*DB85*DE85*VLOOKUP('Données projet'!$B$13,Paramètres!$A$1:$I$89,3,0)*0.475*44/12</f>
        <v>4.515548663760575E-7</v>
      </c>
      <c r="DI85" s="22">
        <f t="shared" si="69"/>
        <v>6.2963271516187627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108.5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-5.6843418860808015E-14</v>
      </c>
      <c r="DP85" s="17">
        <f>DO85*VLOOKUP('Données projet'!$B$14,Paramètres!$A$1:$I$89,3,0)*VLOOKUP('Données projet'!$B$14,Paramètres!$A$1:$I$89,5,0)</f>
        <v>-5.1431925385259088E-14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320.81451813551064</v>
      </c>
      <c r="DU85" s="59">
        <f t="shared" si="98"/>
        <v>522.80818268773976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0.6554206498955617</v>
      </c>
      <c r="EB85" s="21">
        <f>EXP(-LN(2)/25)*EB84+(1-EXP(-LN(2)/25))/(LN(2)/25)*Calculateur!DW85*Calculateur!DY85*VLOOKUP('Données projet'!$B$14,Paramètres!$A$1:$I$89,3,0)*0.475*44/12</f>
        <v>2.465889629686584</v>
      </c>
      <c r="EC85" s="21">
        <f>EXP(-LN(2)/2)*EC84+(1-EXP(-LN(2)/2))/(LN(2)/2)*DW85*DZ85*VLOOKUP('Données projet'!$B$14,Paramètres!$A$1:$I$89,3,0)*0.475*44/12</f>
        <v>8.9241318488663816E-8</v>
      </c>
      <c r="ED85" s="22">
        <f t="shared" si="72"/>
        <v>3.121310368823464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108.5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228.3393311631487</v>
      </c>
      <c r="EP85" s="59">
        <f t="shared" si="100"/>
        <v>266.26050497804033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2.2182237607971702</v>
      </c>
      <c r="EW85" s="21">
        <f>EXP(-LN(2)/25)*EW84+(1-EXP(-LN(2)/25))/(LN(2)/25)*Calculateur!ER85*Calculateur!ET85*VLOOKUP('Données projet'!$B$15,Paramètres!$A$1:$I$89,3,0)*0.475*44/12</f>
        <v>2.9164313613339319</v>
      </c>
      <c r="EX85" s="21">
        <f>EXP(-LN(2)/2)*EX84+(1-EXP(-LN(2)/2))/(LN(2)/2)*ER85*EU85*VLOOKUP('Données projet'!$B$15,Paramètres!$A$1:$I$89,3,0)*0.475*44/12</f>
        <v>8.1147139878186151E-8</v>
      </c>
      <c r="EY85" s="22">
        <f t="shared" si="75"/>
        <v>5.1346552032782418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108.5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-1.7053025658242404E-13</v>
      </c>
      <c r="FF85" s="17">
        <f>FE85*VLOOKUP('Données projet'!$B$16,Paramètres!$A$1:$I$89,3,0)*VLOOKUP('Données projet'!$B$16,Paramètres!$A$1:$I$89,5,0)</f>
        <v>-9.7543306765146564E-14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242.10913976205194</v>
      </c>
      <c r="FK85" s="59">
        <f t="shared" si="102"/>
        <v>198.24795425321133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2.5632005770831627</v>
      </c>
      <c r="FS85" s="21">
        <f>EXP(-LN(2)/2)*FS84+(1-EXP(-LN(2)/2))/(LN(2)/2)*FM85*FP85*VLOOKUP('Données projet'!$B$16,Paramètres!$A$1:$I$89,3,0)*0.475*44/12</f>
        <v>1.9703332414264024E-7</v>
      </c>
      <c r="FT85" s="22">
        <f t="shared" si="78"/>
        <v>2.5632007741164871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108.5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108.5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40.591979999999992</v>
      </c>
      <c r="D86" s="11">
        <f t="shared" si="86"/>
        <v>12.155416862866616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223.94508843532844</v>
      </c>
      <c r="H86" s="67">
        <f t="shared" si="56"/>
        <v>489.70171620282599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108.5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5.6843418860808015E-14</v>
      </c>
      <c r="O86" s="13">
        <f>N86*VLOOKUP('Données projet'!$B$9,Paramètres!$A$1:$I$89,3,0)*VLOOKUP('Données projet'!$B$9,Paramètres!$A$1:$I$89,5,0)</f>
        <v>4.6111381379887463E-14</v>
      </c>
      <c r="P86" s="13">
        <f t="shared" si="87"/>
        <v>7.5804141040779151E-13</v>
      </c>
      <c r="Q86" s="20">
        <f t="shared" si="54"/>
        <v>1.4005661123635408E-12</v>
      </c>
      <c r="R86" s="59">
        <f t="shared" si="55"/>
        <v>434.50000000000142</v>
      </c>
      <c r="S86" s="59">
        <f ca="1">AVERAGE(OFFSET($R$3,0,0,'Données projet'!$E$9+1,1))-AVERAGE(OFFSET($H$3,0,0,'Données projet'!$E$9+1,1))</f>
        <v>273.89826011924487</v>
      </c>
      <c r="T86" s="59">
        <f t="shared" si="88"/>
        <v>332.17519939974227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1.9568656267035835</v>
      </c>
      <c r="AB86" s="21">
        <f>EXP(-LN(2)/2)*AB85+(1-EXP(-LN(2)/2))/(LN(2)/2)*V86*Y86*VLOOKUP('Données projet'!$B$9,Paramètres!$A$1:$I$89,3,0)*0.475*44/12</f>
        <v>1.1561480445926513E-7</v>
      </c>
      <c r="AC86" s="22">
        <f t="shared" si="57"/>
        <v>1.9568657423183879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108.5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17.5</v>
      </c>
      <c r="AI86" s="13">
        <f>IF('Données projet'!$A$62&gt;35,AI85+AH86-AQ85,IF(A86&lt;'Données projet'!$A$62,$AF$205^A86,IF(A86='Données projet'!$A$62,'Données projet'!$B$62,AI85+AH86-AQ85)))</f>
        <v>502.09999999999991</v>
      </c>
      <c r="AJ86" s="13">
        <f>AI86*VLOOKUP('Données projet'!$B$10,Paramètres!$A$1:$I$89,3,0)*VLOOKUP('Données projet'!$B$10,Paramètres!$A$1:$I$89,5,0)</f>
        <v>234.98279999999997</v>
      </c>
      <c r="AK86" s="13">
        <f t="shared" si="89"/>
        <v>57.358731763746825</v>
      </c>
      <c r="AL86" s="20">
        <f t="shared" si="58"/>
        <v>509.16150115519235</v>
      </c>
      <c r="AM86" s="59">
        <f t="shared" si="59"/>
        <v>943.66150115519235</v>
      </c>
      <c r="AN86" s="59">
        <f ca="1">AVERAGE(OFFSET($AM$3,0,0,'Données projet'!$E$10+1,1))-AVERAGE(OFFSET($H$3,0,0,'Données projet'!$E$10+1,1))</f>
        <v>293.42903587188346</v>
      </c>
      <c r="AO86" s="59">
        <f t="shared" si="90"/>
        <v>267.80827667062124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1.0973221814853225</v>
      </c>
      <c r="AV86" s="21">
        <f>EXP(-LN(2)/25)*AV85+(1-EXP(-LN(2)/25))/(LN(2)/25)*Calculateur!AQ86*Calculateur!AS86*VLOOKUP('Données projet'!$B$10,Paramètres!$A$1:$I$89,3,0)*0.475*44/12</f>
        <v>1.8071253221171202</v>
      </c>
      <c r="AW86" s="21">
        <f>EXP(-LN(2)/2)*AW85+(1-EXP(-LN(2)/2))/(LN(2)/2)*AQ86*AT86*VLOOKUP('Données projet'!$B$10,Paramètres!$A$1:$I$89,3,0)*0.475*44/12</f>
        <v>1.0359881316185261E-7</v>
      </c>
      <c r="AX86" s="21">
        <f t="shared" si="60"/>
        <v>2.9044476072012557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108.5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5.6</v>
      </c>
      <c r="BD86" s="12">
        <f>IF('Données projet'!$A$88&gt;35,BD85+BC86-BL85,IF(A86&lt;'Données projet'!$A$88,$BA$205^A86,IF(A86='Données projet'!$A$88,'Données projet'!$B$88,BD85+BC86-BL85)))</f>
        <v>256.8000000000003</v>
      </c>
      <c r="BE86" s="13">
        <f>BD86*VLOOKUP('Données projet'!$B$11,Paramètres!$A$1:$I$89,3,0)*VLOOKUP('Données projet'!$B$11,Paramètres!$A$1:$I$89,5,0)</f>
        <v>232.35264000000026</v>
      </c>
      <c r="BF86" s="13">
        <f t="shared" si="91"/>
        <v>56.791075613550355</v>
      </c>
      <c r="BG86" s="20">
        <f t="shared" si="61"/>
        <v>503.59197136026728</v>
      </c>
      <c r="BH86" s="59">
        <f t="shared" si="62"/>
        <v>938.09197136026728</v>
      </c>
      <c r="BI86" s="59">
        <f ca="1">AVERAGE(OFFSET($BH$3,0,0,'Données projet'!$E$11+1,1))-AVERAGE(OFFSET($H$3,0,0,'Données projet'!$E$11+1,1))</f>
        <v>324.41828402031939</v>
      </c>
      <c r="BJ86" s="59">
        <f t="shared" si="92"/>
        <v>233.01060088065992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0.71451148748240234</v>
      </c>
      <c r="BR86" s="21">
        <f>EXP(-LN(2)/2)*BR85+(1-EXP(-LN(2)/2))/(LN(2)/2)*BL86*BO86*VLOOKUP('Données projet'!$B$11,Paramètres!$A$1:$I$89,3,0)*0.475*44/12</f>
        <v>6.5215376600455482E-8</v>
      </c>
      <c r="BS86" s="22">
        <f t="shared" si="63"/>
        <v>0.714511552697779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108.5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279.00060755204919</v>
      </c>
      <c r="CE86" s="59">
        <f t="shared" si="94"/>
        <v>333.91128554211014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2.5558543977554744</v>
      </c>
      <c r="CL86" s="21">
        <f>EXP(-LN(2)/25)*CL85+(1-EXP(-LN(2)/25))/(LN(2)/25)*Calculateur!CG86*Calculateur!CI86*VLOOKUP('Données projet'!$B$12,Paramètres!$A$1:$I$89,3,0)*0.475*44/12</f>
        <v>6.4023697370549053</v>
      </c>
      <c r="CM86" s="21">
        <f>EXP(-LN(2)/2)*CM85+(1-EXP(-LN(2)/2))/(LN(2)/2)*CG86*CJ86*VLOOKUP('Données projet'!$B$12,Paramètres!$A$1:$I$89,3,0)*0.475*44/12</f>
        <v>2.2710712085845681E-7</v>
      </c>
      <c r="CN86" s="22">
        <f t="shared" si="66"/>
        <v>8.9582243619174999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108.5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-1.1368683772161603E-13</v>
      </c>
      <c r="CU86" s="17">
        <f>CT86*VLOOKUP('Données projet'!$B$13,Paramètres!$A$1:$I$89,3,0)*VLOOKUP('Données projet'!$B$13,Paramètres!$A$1:$I$89,5,0)</f>
        <v>-6.7984728957526396E-14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380.01315081072897</v>
      </c>
      <c r="CZ86" s="59">
        <f t="shared" si="96"/>
        <v>404.90871625409181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1.2246802322578321</v>
      </c>
      <c r="DG86" s="21">
        <f>EXP(-LN(2)/25)*DG85+(1-EXP(-LN(2)/25))/(LN(2)/25)*Calculateur!DB86*Calculateur!DD86*VLOOKUP('Données projet'!$B$13,Paramètres!$A$1:$I$89,3,0)*0.475*44/12</f>
        <v>4.9091362855710301</v>
      </c>
      <c r="DH86" s="21">
        <f>EXP(-LN(2)/2)*DH85+(1-EXP(-LN(2)/2))/(LN(2)/2)*DB86*DE86*VLOOKUP('Données projet'!$B$13,Paramètres!$A$1:$I$89,3,0)*0.475*44/12</f>
        <v>3.1929750809229559E-7</v>
      </c>
      <c r="DI86" s="22">
        <f t="shared" si="69"/>
        <v>6.1338168371263704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108.5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-5.6843418860808015E-14</v>
      </c>
      <c r="DP86" s="17">
        <f>DO86*VLOOKUP('Données projet'!$B$14,Paramètres!$A$1:$I$89,3,0)*VLOOKUP('Données projet'!$B$14,Paramètres!$A$1:$I$89,5,0)</f>
        <v>-5.1431925385259088E-14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320.81451813551064</v>
      </c>
      <c r="DU86" s="59">
        <f t="shared" si="98"/>
        <v>522.80818268773976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0.64256825071823243</v>
      </c>
      <c r="EB86" s="21">
        <f>EXP(-LN(2)/25)*EB85+(1-EXP(-LN(2)/25))/(LN(2)/25)*Calculateur!DW86*Calculateur!DY86*VLOOKUP('Données projet'!$B$14,Paramètres!$A$1:$I$89,3,0)*0.475*44/12</f>
        <v>2.3984597480873044</v>
      </c>
      <c r="EC86" s="21">
        <f>EXP(-LN(2)/2)*EC85+(1-EXP(-LN(2)/2))/(LN(2)/2)*DW86*DZ86*VLOOKUP('Données projet'!$B$14,Paramètres!$A$1:$I$89,3,0)*0.475*44/12</f>
        <v>6.3103141465362602E-8</v>
      </c>
      <c r="ED86" s="22">
        <f t="shared" si="72"/>
        <v>3.041028061908678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108.5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228.3393311631487</v>
      </c>
      <c r="EP86" s="59">
        <f t="shared" si="100"/>
        <v>266.26050497804033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2.1747257458308358</v>
      </c>
      <c r="EW86" s="21">
        <f>EXP(-LN(2)/25)*EW85+(1-EXP(-LN(2)/25))/(LN(2)/25)*Calculateur!ER86*Calculateur!ET86*VLOOKUP('Données projet'!$B$15,Paramètres!$A$1:$I$89,3,0)*0.475*44/12</f>
        <v>2.8366813923897958</v>
      </c>
      <c r="EX86" s="21">
        <f>EXP(-LN(2)/2)*EX85+(1-EXP(-LN(2)/2))/(LN(2)/2)*ER86*EU86*VLOOKUP('Données projet'!$B$15,Paramètres!$A$1:$I$89,3,0)*0.475*44/12</f>
        <v>5.737969288175874E-8</v>
      </c>
      <c r="EY86" s="22">
        <f t="shared" si="75"/>
        <v>5.0114071956003245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108.5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-1.7053025658242404E-13</v>
      </c>
      <c r="FF86" s="17">
        <f>FE86*VLOOKUP('Données projet'!$B$16,Paramètres!$A$1:$I$89,3,0)*VLOOKUP('Données projet'!$B$16,Paramètres!$A$1:$I$89,5,0)</f>
        <v>-9.7543306765146564E-14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242.10913976205194</v>
      </c>
      <c r="FK86" s="59">
        <f t="shared" si="102"/>
        <v>198.24795425321133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2.4931097225099634</v>
      </c>
      <c r="FS86" s="21">
        <f>EXP(-LN(2)/2)*FS85+(1-EXP(-LN(2)/2))/(LN(2)/2)*FM86*FP86*VLOOKUP('Données projet'!$B$16,Paramètres!$A$1:$I$89,3,0)*0.475*44/12</f>
        <v>1.39323599620988E-7</v>
      </c>
      <c r="FT86" s="22">
        <f t="shared" si="78"/>
        <v>2.4931098618335632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108.5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108.5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41.081039999999994</v>
      </c>
      <c r="D87" s="11">
        <f t="shared" si="86"/>
        <v>12.284730460269353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226.5704640593892</v>
      </c>
      <c r="H87" s="67">
        <f t="shared" si="56"/>
        <v>490.77871688496907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108.5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5.6843418860808015E-14</v>
      </c>
      <c r="O87" s="13">
        <f>N87*VLOOKUP('Données projet'!$B$9,Paramètres!$A$1:$I$89,3,0)*VLOOKUP('Données projet'!$B$9,Paramètres!$A$1:$I$89,5,0)</f>
        <v>4.6111381379887463E-14</v>
      </c>
      <c r="P87" s="13">
        <f t="shared" si="87"/>
        <v>7.5804141040779151E-13</v>
      </c>
      <c r="Q87" s="20">
        <f t="shared" si="54"/>
        <v>1.4005661123635408E-12</v>
      </c>
      <c r="R87" s="59">
        <f t="shared" si="55"/>
        <v>434.50000000000142</v>
      </c>
      <c r="S87" s="59">
        <f ca="1">AVERAGE(OFFSET($R$3,0,0,'Données projet'!$E$9+1,1))-AVERAGE(OFFSET($H$3,0,0,'Données projet'!$E$9+1,1))</f>
        <v>273.89826011924487</v>
      </c>
      <c r="T87" s="59">
        <f t="shared" si="88"/>
        <v>332.17519939974227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1.9033550332342832</v>
      </c>
      <c r="AB87" s="21">
        <f>EXP(-LN(2)/2)*AB86+(1-EXP(-LN(2)/2))/(LN(2)/2)*V87*Y87*VLOOKUP('Données projet'!$B$9,Paramètres!$A$1:$I$89,3,0)*0.475*44/12</f>
        <v>8.1752012238703063E-8</v>
      </c>
      <c r="AC87" s="22">
        <f t="shared" si="57"/>
        <v>1.9033551149862955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108.5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17.5</v>
      </c>
      <c r="AI87" s="13">
        <f>IF('Données projet'!$A$62&gt;35,AI86+AH87-AQ86,IF(A87&lt;'Données projet'!$A$62,$AF$205^A87,IF(A87='Données projet'!$A$62,'Données projet'!$B$62,AI86+AH87-AQ86)))</f>
        <v>519.59999999999991</v>
      </c>
      <c r="AJ87" s="13">
        <f>AI87*VLOOKUP('Données projet'!$B$10,Paramètres!$A$1:$I$89,3,0)*VLOOKUP('Données projet'!$B$10,Paramètres!$A$1:$I$89,5,0)</f>
        <v>243.17279999999994</v>
      </c>
      <c r="AK87" s="13">
        <f t="shared" si="89"/>
        <v>59.121651195612671</v>
      </c>
      <c r="AL87" s="20">
        <f t="shared" si="58"/>
        <v>526.49616916569187</v>
      </c>
      <c r="AM87" s="59">
        <f t="shared" si="59"/>
        <v>960.99616916569187</v>
      </c>
      <c r="AN87" s="59">
        <f ca="1">AVERAGE(OFFSET($AM$3,0,0,'Données projet'!$E$10+1,1))-AVERAGE(OFFSET($H$3,0,0,'Données projet'!$E$10+1,1))</f>
        <v>293.42903587188346</v>
      </c>
      <c r="AO87" s="59">
        <f t="shared" si="90"/>
        <v>267.80827667062124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1.0758043628068381</v>
      </c>
      <c r="AV87" s="21">
        <f>EXP(-LN(2)/25)*AV86+(1-EXP(-LN(2)/25))/(LN(2)/25)*Calculateur!AQ87*Calculateur!AS87*VLOOKUP('Données projet'!$B$10,Paramètres!$A$1:$I$89,3,0)*0.475*44/12</f>
        <v>1.7577093851512371</v>
      </c>
      <c r="AW87" s="21">
        <f>EXP(-LN(2)/2)*AW86+(1-EXP(-LN(2)/2))/(LN(2)/2)*AQ87*AT87*VLOOKUP('Données projet'!$B$10,Paramètres!$A$1:$I$89,3,0)*0.475*44/12</f>
        <v>7.3255423309624135E-8</v>
      </c>
      <c r="AX87" s="21">
        <f t="shared" si="60"/>
        <v>2.8335138212134985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108.5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5.6</v>
      </c>
      <c r="BD87" s="12">
        <f>IF('Données projet'!$A$88&gt;35,BD86+BC87-BL86,IF(A87&lt;'Données projet'!$A$88,$BA$205^A87,IF(A87='Données projet'!$A$88,'Données projet'!$B$88,BD86+BC87-BL86)))</f>
        <v>262.40000000000032</v>
      </c>
      <c r="BE87" s="13">
        <f>BD87*VLOOKUP('Données projet'!$B$11,Paramètres!$A$1:$I$89,3,0)*VLOOKUP('Données projet'!$B$11,Paramètres!$A$1:$I$89,5,0)</f>
        <v>237.41952000000029</v>
      </c>
      <c r="BF87" s="13">
        <f t="shared" si="91"/>
        <v>57.883978814320969</v>
      </c>
      <c r="BG87" s="20">
        <f t="shared" si="61"/>
        <v>514.32026043494284</v>
      </c>
      <c r="BH87" s="59">
        <f t="shared" si="62"/>
        <v>948.82026043494284</v>
      </c>
      <c r="BI87" s="59">
        <f ca="1">AVERAGE(OFFSET($BH$3,0,0,'Données projet'!$E$11+1,1))-AVERAGE(OFFSET($H$3,0,0,'Données projet'!$E$11+1,1))</f>
        <v>324.41828402031939</v>
      </c>
      <c r="BJ87" s="59">
        <f t="shared" si="92"/>
        <v>233.01060088065992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0.69497313328266996</v>
      </c>
      <c r="BR87" s="21">
        <f>EXP(-LN(2)/2)*BR86+(1-EXP(-LN(2)/2))/(LN(2)/2)*BL87*BO87*VLOOKUP('Données projet'!$B$11,Paramètres!$A$1:$I$89,3,0)*0.475*44/12</f>
        <v>4.6114235031816567E-8</v>
      </c>
      <c r="BS87" s="22">
        <f t="shared" si="63"/>
        <v>0.69497317939690495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108.5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279.00060755204919</v>
      </c>
      <c r="CE87" s="59">
        <f t="shared" si="94"/>
        <v>333.91128554211014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2.5057356519327421</v>
      </c>
      <c r="CL87" s="21">
        <f>EXP(-LN(2)/25)*CL86+(1-EXP(-LN(2)/25))/(LN(2)/25)*Calculateur!CG87*Calculateur!CI87*VLOOKUP('Données projet'!$B$12,Paramètres!$A$1:$I$89,3,0)*0.475*44/12</f>
        <v>6.2272965999091472</v>
      </c>
      <c r="CM87" s="21">
        <f>EXP(-LN(2)/2)*CM86+(1-EXP(-LN(2)/2))/(LN(2)/2)*CG87*CJ87*VLOOKUP('Données projet'!$B$12,Paramètres!$A$1:$I$89,3,0)*0.475*44/12</f>
        <v>1.6058898521476762E-7</v>
      </c>
      <c r="CN87" s="22">
        <f t="shared" si="66"/>
        <v>8.7330324124308749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108.5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-1.1368683772161603E-13</v>
      </c>
      <c r="CU87" s="17">
        <f>CT87*VLOOKUP('Données projet'!$B$13,Paramètres!$A$1:$I$89,3,0)*VLOOKUP('Données projet'!$B$13,Paramètres!$A$1:$I$89,5,0)</f>
        <v>-6.7984728957526396E-14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380.01315081072897</v>
      </c>
      <c r="CZ87" s="59">
        <f t="shared" si="96"/>
        <v>404.90871625409181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1.2006649998844394</v>
      </c>
      <c r="DG87" s="21">
        <f>EXP(-LN(2)/25)*DG86+(1-EXP(-LN(2)/25))/(LN(2)/25)*Calculateur!DB87*Calculateur!DD87*VLOOKUP('Données projet'!$B$13,Paramètres!$A$1:$I$89,3,0)*0.475*44/12</f>
        <v>4.7748956956818329</v>
      </c>
      <c r="DH87" s="21">
        <f>EXP(-LN(2)/2)*DH86+(1-EXP(-LN(2)/2))/(LN(2)/2)*DB87*DE87*VLOOKUP('Données projet'!$B$13,Paramètres!$A$1:$I$89,3,0)*0.475*44/12</f>
        <v>2.2577743318802875E-7</v>
      </c>
      <c r="DI87" s="22">
        <f t="shared" si="69"/>
        <v>5.975560921343706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108.5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-5.6843418860808015E-14</v>
      </c>
      <c r="DP87" s="17">
        <f>DO87*VLOOKUP('Données projet'!$B$14,Paramètres!$A$1:$I$89,3,0)*VLOOKUP('Données projet'!$B$14,Paramètres!$A$1:$I$89,5,0)</f>
        <v>-5.1431925385259088E-14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320.81451813551064</v>
      </c>
      <c r="DU87" s="59">
        <f t="shared" si="98"/>
        <v>522.80818268773976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0.6299678792495812</v>
      </c>
      <c r="EB87" s="21">
        <f>EXP(-LN(2)/25)*EB86+(1-EXP(-LN(2)/25))/(LN(2)/25)*Calculateur!DW87*Calculateur!DY87*VLOOKUP('Données projet'!$B$14,Paramètres!$A$1:$I$89,3,0)*0.475*44/12</f>
        <v>2.3328737401463409</v>
      </c>
      <c r="EC87" s="21">
        <f>EXP(-LN(2)/2)*EC86+(1-EXP(-LN(2)/2))/(LN(2)/2)*DW87*DZ87*VLOOKUP('Données projet'!$B$14,Paramètres!$A$1:$I$89,3,0)*0.475*44/12</f>
        <v>4.4620659244331908E-8</v>
      </c>
      <c r="ED87" s="22">
        <f t="shared" si="72"/>
        <v>2.9628416640165813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108.5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228.3393311631487</v>
      </c>
      <c r="EP87" s="59">
        <f t="shared" si="100"/>
        <v>266.26050497804033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2.1320807004068216</v>
      </c>
      <c r="EW87" s="21">
        <f>EXP(-LN(2)/25)*EW86+(1-EXP(-LN(2)/25))/(LN(2)/25)*Calculateur!ER87*Calculateur!ET87*VLOOKUP('Données projet'!$B$15,Paramètres!$A$1:$I$89,3,0)*0.475*44/12</f>
        <v>2.7591121905403058</v>
      </c>
      <c r="EX87" s="21">
        <f>EXP(-LN(2)/2)*EX86+(1-EXP(-LN(2)/2))/(LN(2)/2)*ER87*EU87*VLOOKUP('Données projet'!$B$15,Paramètres!$A$1:$I$89,3,0)*0.475*44/12</f>
        <v>4.0573569939093075E-8</v>
      </c>
      <c r="EY87" s="22">
        <f t="shared" si="75"/>
        <v>4.8911929315206981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108.5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-1.7053025658242404E-13</v>
      </c>
      <c r="FF87" s="17">
        <f>FE87*VLOOKUP('Données projet'!$B$16,Paramètres!$A$1:$I$89,3,0)*VLOOKUP('Données projet'!$B$16,Paramètres!$A$1:$I$89,5,0)</f>
        <v>-9.7543306765146564E-14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242.10913976205194</v>
      </c>
      <c r="FK87" s="59">
        <f t="shared" si="102"/>
        <v>198.24795425321133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2.4249355060409861</v>
      </c>
      <c r="FS87" s="21">
        <f>EXP(-LN(2)/2)*FS86+(1-EXP(-LN(2)/2))/(LN(2)/2)*FM87*FP87*VLOOKUP('Données projet'!$B$16,Paramètres!$A$1:$I$89,3,0)*0.475*44/12</f>
        <v>9.8516662071320121E-8</v>
      </c>
      <c r="FT87" s="22">
        <f t="shared" si="78"/>
        <v>2.424935604557648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108.5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108.5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41.570099999999996</v>
      </c>
      <c r="D88" s="11">
        <f t="shared" si="86"/>
        <v>12.413864985596748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229.19507941253357</v>
      </c>
      <c r="H88" s="67">
        <f t="shared" si="56"/>
        <v>491.85540568324762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108.5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5.6843418860808015E-14</v>
      </c>
      <c r="O88" s="13">
        <f>N88*VLOOKUP('Données projet'!$B$9,Paramètres!$A$1:$I$89,3,0)*VLOOKUP('Données projet'!$B$9,Paramètres!$A$1:$I$89,5,0)</f>
        <v>4.6111381379887463E-14</v>
      </c>
      <c r="P88" s="13">
        <f t="shared" si="87"/>
        <v>7.5804141040779151E-13</v>
      </c>
      <c r="Q88" s="20">
        <f t="shared" si="54"/>
        <v>1.4005661123635408E-12</v>
      </c>
      <c r="R88" s="59">
        <f t="shared" si="55"/>
        <v>434.50000000000142</v>
      </c>
      <c r="S88" s="59">
        <f ca="1">AVERAGE(OFFSET($R$3,0,0,'Données projet'!$E$9+1,1))-AVERAGE(OFFSET($H$3,0,0,'Données projet'!$E$9+1,1))</f>
        <v>273.89826011924487</v>
      </c>
      <c r="T88" s="59">
        <f t="shared" si="88"/>
        <v>332.17519939974227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1.8513076897574008</v>
      </c>
      <c r="AB88" s="21">
        <f>EXP(-LN(2)/2)*AB87+(1-EXP(-LN(2)/2))/(LN(2)/2)*V88*Y88*VLOOKUP('Données projet'!$B$9,Paramètres!$A$1:$I$89,3,0)*0.475*44/12</f>
        <v>5.7807402229632563E-8</v>
      </c>
      <c r="AC88" s="22">
        <f t="shared" si="57"/>
        <v>1.851307747564803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108.5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17.5</v>
      </c>
      <c r="AI88" s="13">
        <f>IF('Données projet'!$A$62&gt;35,AI87+AH88-AQ87,IF(A88&lt;'Données projet'!$A$62,$AF$205^A88,IF(A88='Données projet'!$A$62,'Données projet'!$B$62,AI87+AH88-AQ87)))</f>
        <v>537.09999999999991</v>
      </c>
      <c r="AJ88" s="13">
        <f>AI88*VLOOKUP('Données projet'!$B$10,Paramètres!$A$1:$I$89,3,0)*VLOOKUP('Données projet'!$B$10,Paramètres!$A$1:$I$89,5,0)</f>
        <v>251.36279999999996</v>
      </c>
      <c r="AK88" s="13">
        <f t="shared" si="89"/>
        <v>60.877671564837158</v>
      </c>
      <c r="AL88" s="20">
        <f t="shared" si="58"/>
        <v>543.81882130875795</v>
      </c>
      <c r="AM88" s="59">
        <f t="shared" si="59"/>
        <v>978.31882130875795</v>
      </c>
      <c r="AN88" s="59">
        <f ca="1">AVERAGE(OFFSET($AM$3,0,0,'Données projet'!$E$10+1,1))-AVERAGE(OFFSET($H$3,0,0,'Données projet'!$E$10+1,1))</f>
        <v>293.42903587188346</v>
      </c>
      <c r="AO88" s="59">
        <f t="shared" si="90"/>
        <v>267.80827667062124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1.0547084954280654</v>
      </c>
      <c r="AV88" s="21">
        <f>EXP(-LN(2)/25)*AV87+(1-EXP(-LN(2)/25))/(LN(2)/25)*Calculateur!AQ88*Calculateur!AS88*VLOOKUP('Données projet'!$B$10,Paramètres!$A$1:$I$89,3,0)*0.475*44/12</f>
        <v>1.7096447295803572</v>
      </c>
      <c r="AW88" s="21">
        <f>EXP(-LN(2)/2)*AW87+(1-EXP(-LN(2)/2))/(LN(2)/2)*AQ88*AT88*VLOOKUP('Données projet'!$B$10,Paramètres!$A$1:$I$89,3,0)*0.475*44/12</f>
        <v>5.1799406580926307E-8</v>
      </c>
      <c r="AX88" s="21">
        <f t="shared" si="60"/>
        <v>2.7643532768078289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108.5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5.6</v>
      </c>
      <c r="BD88" s="12">
        <f>IF('Données projet'!$A$88&gt;35,BD87+BC88-BL87,IF(A88&lt;'Données projet'!$A$88,$BA$205^A88,IF(A88='Données projet'!$A$88,'Données projet'!$B$88,BD87+BC88-BL87)))</f>
        <v>268.00000000000034</v>
      </c>
      <c r="BE88" s="13">
        <f>BD88*VLOOKUP('Données projet'!$B$11,Paramètres!$A$1:$I$89,3,0)*VLOOKUP('Données projet'!$B$11,Paramètres!$A$1:$I$89,5,0)</f>
        <v>242.48640000000032</v>
      </c>
      <c r="BF88" s="13">
        <f t="shared" si="91"/>
        <v>58.974170235372526</v>
      </c>
      <c r="BG88" s="20">
        <f t="shared" si="61"/>
        <v>525.04382649327442</v>
      </c>
      <c r="BH88" s="59">
        <f t="shared" si="62"/>
        <v>959.54382649327442</v>
      </c>
      <c r="BI88" s="59">
        <f ca="1">AVERAGE(OFFSET($BH$3,0,0,'Données projet'!$E$11+1,1))-AVERAGE(OFFSET($H$3,0,0,'Données projet'!$E$11+1,1))</f>
        <v>324.41828402031939</v>
      </c>
      <c r="BJ88" s="59">
        <f t="shared" si="92"/>
        <v>233.01060088065992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0.67596905640600669</v>
      </c>
      <c r="BR88" s="21">
        <f>EXP(-LN(2)/2)*BR87+(1-EXP(-LN(2)/2))/(LN(2)/2)*BL88*BO88*VLOOKUP('Données projet'!$B$11,Paramètres!$A$1:$I$89,3,0)*0.475*44/12</f>
        <v>3.2607688300227741E-8</v>
      </c>
      <c r="BS88" s="22">
        <f t="shared" si="63"/>
        <v>0.67596908901369501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108.5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279.00060755204919</v>
      </c>
      <c r="CE88" s="59">
        <f t="shared" si="94"/>
        <v>333.91128554211014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2.4565997041461767</v>
      </c>
      <c r="CL88" s="21">
        <f>EXP(-LN(2)/25)*CL87+(1-EXP(-LN(2)/25))/(LN(2)/25)*Calculateur!CG88*Calculateur!CI88*VLOOKUP('Données projet'!$B$12,Paramètres!$A$1:$I$89,3,0)*0.475*44/12</f>
        <v>6.0570108469053361</v>
      </c>
      <c r="CM88" s="21">
        <f>EXP(-LN(2)/2)*CM87+(1-EXP(-LN(2)/2))/(LN(2)/2)*CG88*CJ88*VLOOKUP('Données projet'!$B$12,Paramètres!$A$1:$I$89,3,0)*0.475*44/12</f>
        <v>1.135535604292284E-7</v>
      </c>
      <c r="CN88" s="22">
        <f t="shared" si="66"/>
        <v>8.5136106646050749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108.5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-1.1368683772161603E-13</v>
      </c>
      <c r="CU88" s="17">
        <f>CT88*VLOOKUP('Données projet'!$B$13,Paramètres!$A$1:$I$89,3,0)*VLOOKUP('Données projet'!$B$13,Paramètres!$A$1:$I$89,5,0)</f>
        <v>-6.7984728957526396E-14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380.01315081072897</v>
      </c>
      <c r="CZ88" s="59">
        <f t="shared" si="96"/>
        <v>404.90871625409181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1.1771206915700436</v>
      </c>
      <c r="DG88" s="21">
        <f>EXP(-LN(2)/25)*DG87+(1-EXP(-LN(2)/25))/(LN(2)/25)*Calculateur!DB88*Calculateur!DD88*VLOOKUP('Données projet'!$B$13,Paramètres!$A$1:$I$89,3,0)*0.475*44/12</f>
        <v>4.6443259217825617</v>
      </c>
      <c r="DH88" s="21">
        <f>EXP(-LN(2)/2)*DH87+(1-EXP(-LN(2)/2))/(LN(2)/2)*DB88*DE88*VLOOKUP('Données projet'!$B$13,Paramètres!$A$1:$I$89,3,0)*0.475*44/12</f>
        <v>1.5964875404614779E-7</v>
      </c>
      <c r="DI88" s="22">
        <f t="shared" si="69"/>
        <v>5.8214467730013588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108.5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-5.6843418860808015E-14</v>
      </c>
      <c r="DP88" s="17">
        <f>DO88*VLOOKUP('Données projet'!$B$14,Paramètres!$A$1:$I$89,3,0)*VLOOKUP('Données projet'!$B$14,Paramètres!$A$1:$I$89,5,0)</f>
        <v>-5.1431925385259088E-14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320.81451813551064</v>
      </c>
      <c r="DU88" s="59">
        <f t="shared" si="98"/>
        <v>522.80818268773976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0.6176145933799625</v>
      </c>
      <c r="EB88" s="21">
        <f>EXP(-LN(2)/25)*EB87+(1-EXP(-LN(2)/25))/(LN(2)/25)*Calculateur!DW88*Calculateur!DY88*VLOOKUP('Données projet'!$B$14,Paramètres!$A$1:$I$89,3,0)*0.475*44/12</f>
        <v>2.2690811850415411</v>
      </c>
      <c r="EC88" s="21">
        <f>EXP(-LN(2)/2)*EC87+(1-EXP(-LN(2)/2))/(LN(2)/2)*DW88*DZ88*VLOOKUP('Données projet'!$B$14,Paramètres!$A$1:$I$89,3,0)*0.475*44/12</f>
        <v>3.1551570732681301E-8</v>
      </c>
      <c r="ED88" s="22">
        <f t="shared" si="72"/>
        <v>2.8866958099730744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108.5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228.3393311631487</v>
      </c>
      <c r="EP88" s="59">
        <f t="shared" si="100"/>
        <v>266.26050497804033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2.0902718983126634</v>
      </c>
      <c r="EW88" s="21">
        <f>EXP(-LN(2)/25)*EW87+(1-EXP(-LN(2)/25))/(LN(2)/25)*Calculateur!ER88*Calculateur!ET88*VLOOKUP('Données projet'!$B$15,Paramètres!$A$1:$I$89,3,0)*0.475*44/12</f>
        <v>2.683664122594577</v>
      </c>
      <c r="EX88" s="21">
        <f>EXP(-LN(2)/2)*EX87+(1-EXP(-LN(2)/2))/(LN(2)/2)*ER88*EU88*VLOOKUP('Données projet'!$B$15,Paramètres!$A$1:$I$89,3,0)*0.475*44/12</f>
        <v>2.868984644087937E-8</v>
      </c>
      <c r="EY88" s="22">
        <f t="shared" si="75"/>
        <v>4.7739360495970864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108.5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-1.7053025658242404E-13</v>
      </c>
      <c r="FF88" s="17">
        <f>FE88*VLOOKUP('Données projet'!$B$16,Paramètres!$A$1:$I$89,3,0)*VLOOKUP('Données projet'!$B$16,Paramètres!$A$1:$I$89,5,0)</f>
        <v>-9.7543306765146564E-14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242.10913976205194</v>
      </c>
      <c r="FK88" s="59">
        <f t="shared" si="102"/>
        <v>198.24795425321133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2.3586255171064794</v>
      </c>
      <c r="FS88" s="21">
        <f>EXP(-LN(2)/2)*FS87+(1-EXP(-LN(2)/2))/(LN(2)/2)*FM88*FP88*VLOOKUP('Données projet'!$B$16,Paramètres!$A$1:$I$89,3,0)*0.475*44/12</f>
        <v>6.9661799810494001E-8</v>
      </c>
      <c r="FT88" s="22">
        <f t="shared" si="78"/>
        <v>2.3586255867682793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108.5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108.5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42.059159999999999</v>
      </c>
      <c r="D89" s="11">
        <f t="shared" si="86"/>
        <v>12.54282278930186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231.8189444738781</v>
      </c>
      <c r="H89" s="67">
        <f t="shared" si="56"/>
        <v>492.93178669136739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108.5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5.6843418860808015E-14</v>
      </c>
      <c r="O89" s="13">
        <f>N89*VLOOKUP('Données projet'!$B$9,Paramètres!$A$1:$I$89,3,0)*VLOOKUP('Données projet'!$B$9,Paramètres!$A$1:$I$89,5,0)</f>
        <v>4.6111381379887463E-14</v>
      </c>
      <c r="P89" s="13">
        <f t="shared" si="87"/>
        <v>7.5804141040779151E-13</v>
      </c>
      <c r="Q89" s="20">
        <f t="shared" si="54"/>
        <v>1.4005661123635408E-12</v>
      </c>
      <c r="R89" s="59">
        <f t="shared" si="55"/>
        <v>434.50000000000142</v>
      </c>
      <c r="S89" s="59">
        <f ca="1">AVERAGE(OFFSET($R$3,0,0,'Données projet'!$E$9+1,1))-AVERAGE(OFFSET($H$3,0,0,'Données projet'!$E$9+1,1))</f>
        <v>273.89826011924487</v>
      </c>
      <c r="T89" s="59">
        <f t="shared" si="88"/>
        <v>332.17519939974227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1.8006835836249444</v>
      </c>
      <c r="AB89" s="21">
        <f>EXP(-LN(2)/2)*AB88+(1-EXP(-LN(2)/2))/(LN(2)/2)*V89*Y89*VLOOKUP('Données projet'!$B$9,Paramètres!$A$1:$I$89,3,0)*0.475*44/12</f>
        <v>4.0876006119351532E-8</v>
      </c>
      <c r="AC89" s="22">
        <f t="shared" si="57"/>
        <v>1.8006836245009505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108.5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17.5</v>
      </c>
      <c r="AI89" s="13">
        <f>IF('Données projet'!$A$62&gt;35,AI88+AH89-AQ88,IF(A89&lt;'Données projet'!$A$62,$AF$205^A89,IF(A89='Données projet'!$A$62,'Données projet'!$B$62,AI88+AH89-AQ88)))</f>
        <v>554.59999999999991</v>
      </c>
      <c r="AJ89" s="13">
        <f>AI89*VLOOKUP('Données projet'!$B$10,Paramètres!$A$1:$I$89,3,0)*VLOOKUP('Données projet'!$B$10,Paramètres!$A$1:$I$89,5,0)</f>
        <v>259.55279999999993</v>
      </c>
      <c r="AK89" s="13">
        <f t="shared" si="89"/>
        <v>62.627043439399927</v>
      </c>
      <c r="AL89" s="20">
        <f t="shared" si="58"/>
        <v>561.12989399028811</v>
      </c>
      <c r="AM89" s="59">
        <f t="shared" si="59"/>
        <v>995.62989399028811</v>
      </c>
      <c r="AN89" s="59">
        <f ca="1">AVERAGE(OFFSET($AM$3,0,0,'Données projet'!$E$10+1,1))-AVERAGE(OFFSET($H$3,0,0,'Données projet'!$E$10+1,1))</f>
        <v>293.42903587188346</v>
      </c>
      <c r="AO89" s="59">
        <f t="shared" si="90"/>
        <v>267.80827667062124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1.0340263051413818</v>
      </c>
      <c r="AV89" s="21">
        <f>EXP(-LN(2)/25)*AV88+(1-EXP(-LN(2)/25))/(LN(2)/25)*Calculateur!AQ89*Calculateur!AS89*VLOOKUP('Données projet'!$B$10,Paramètres!$A$1:$I$89,3,0)*0.475*44/12</f>
        <v>1.6628944045436733</v>
      </c>
      <c r="AW89" s="21">
        <f>EXP(-LN(2)/2)*AW88+(1-EXP(-LN(2)/2))/(LN(2)/2)*AQ89*AT89*VLOOKUP('Données projet'!$B$10,Paramètres!$A$1:$I$89,3,0)*0.475*44/12</f>
        <v>3.6627711654812067E-8</v>
      </c>
      <c r="AX89" s="21">
        <f t="shared" si="60"/>
        <v>2.6969207463127667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108.5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5.6</v>
      </c>
      <c r="BD89" s="12">
        <f>IF('Données projet'!$A$88&gt;35,BD88+BC89-BL88,IF(A89&lt;'Données projet'!$A$88,$BA$205^A89,IF(A89='Données projet'!$A$88,'Données projet'!$B$88,BD88+BC89-BL88)))</f>
        <v>273.60000000000036</v>
      </c>
      <c r="BE89" s="13">
        <f>BD89*VLOOKUP('Données projet'!$B$11,Paramètres!$A$1:$I$89,3,0)*VLOOKUP('Données projet'!$B$11,Paramètres!$A$1:$I$89,5,0)</f>
        <v>247.55328000000031</v>
      </c>
      <c r="BF89" s="13">
        <f t="shared" si="91"/>
        <v>60.061713068870304</v>
      </c>
      <c r="BG89" s="20">
        <f t="shared" si="61"/>
        <v>535.76277959494962</v>
      </c>
      <c r="BH89" s="59">
        <f t="shared" si="62"/>
        <v>970.26277959494962</v>
      </c>
      <c r="BI89" s="59">
        <f ca="1">AVERAGE(OFFSET($BH$3,0,0,'Données projet'!$E$11+1,1))-AVERAGE(OFFSET($H$3,0,0,'Données projet'!$E$11+1,1))</f>
        <v>324.41828402031939</v>
      </c>
      <c r="BJ89" s="59">
        <f t="shared" si="92"/>
        <v>233.01060088065992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0.65748464701091669</v>
      </c>
      <c r="BR89" s="21">
        <f>EXP(-LN(2)/2)*BR88+(1-EXP(-LN(2)/2))/(LN(2)/2)*BL89*BO89*VLOOKUP('Données projet'!$B$11,Paramètres!$A$1:$I$89,3,0)*0.475*44/12</f>
        <v>2.3057117515908283E-8</v>
      </c>
      <c r="BS89" s="22">
        <f t="shared" si="63"/>
        <v>0.65748467006803424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108.5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279.00060755204919</v>
      </c>
      <c r="CE89" s="59">
        <f t="shared" si="94"/>
        <v>333.91128554211014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2.4084272823257371</v>
      </c>
      <c r="CL89" s="21">
        <f>EXP(-LN(2)/25)*CL88+(1-EXP(-LN(2)/25))/(LN(2)/25)*Calculateur!CG89*Calculateur!CI89*VLOOKUP('Données projet'!$B$12,Paramètres!$A$1:$I$89,3,0)*0.475*44/12</f>
        <v>5.8913815667723526</v>
      </c>
      <c r="CM89" s="21">
        <f>EXP(-LN(2)/2)*CM88+(1-EXP(-LN(2)/2))/(LN(2)/2)*CG89*CJ89*VLOOKUP('Données projet'!$B$12,Paramètres!$A$1:$I$89,3,0)*0.475*44/12</f>
        <v>8.029449260738381E-8</v>
      </c>
      <c r="CN89" s="22">
        <f t="shared" si="66"/>
        <v>8.299808929392583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108.5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-1.1368683772161603E-13</v>
      </c>
      <c r="CU89" s="17">
        <f>CT89*VLOOKUP('Données projet'!$B$13,Paramètres!$A$1:$I$89,3,0)*VLOOKUP('Données projet'!$B$13,Paramètres!$A$1:$I$89,5,0)</f>
        <v>-6.7984728957526396E-14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380.01315081072897</v>
      </c>
      <c r="CZ89" s="59">
        <f t="shared" si="96"/>
        <v>404.90871625409181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1.1540380727810831</v>
      </c>
      <c r="DG89" s="21">
        <f>EXP(-LN(2)/25)*DG88+(1-EXP(-LN(2)/25))/(LN(2)/25)*Calculateur!DB89*Calculateur!DD89*VLOOKUP('Données projet'!$B$13,Paramètres!$A$1:$I$89,3,0)*0.475*44/12</f>
        <v>4.5173265852169324</v>
      </c>
      <c r="DH89" s="21">
        <f>EXP(-LN(2)/2)*DH88+(1-EXP(-LN(2)/2))/(LN(2)/2)*DB89*DE89*VLOOKUP('Données projet'!$B$13,Paramètres!$A$1:$I$89,3,0)*0.475*44/12</f>
        <v>1.1288871659401437E-7</v>
      </c>
      <c r="DI89" s="22">
        <f t="shared" si="69"/>
        <v>5.6713647708867319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108.5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-5.6843418860808015E-14</v>
      </c>
      <c r="DP89" s="17">
        <f>DO89*VLOOKUP('Données projet'!$B$14,Paramètres!$A$1:$I$89,3,0)*VLOOKUP('Données projet'!$B$14,Paramètres!$A$1:$I$89,5,0)</f>
        <v>-5.1431925385259088E-14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320.81451813551064</v>
      </c>
      <c r="DU89" s="59">
        <f t="shared" si="98"/>
        <v>522.80818268773976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0.60550354791148664</v>
      </c>
      <c r="EB89" s="21">
        <f>EXP(-LN(2)/25)*EB88+(1-EXP(-LN(2)/25))/(LN(2)/25)*Calculateur!DW89*Calculateur!DY89*VLOOKUP('Données projet'!$B$14,Paramètres!$A$1:$I$89,3,0)*0.475*44/12</f>
        <v>2.2070330407107868</v>
      </c>
      <c r="EC89" s="21">
        <f>EXP(-LN(2)/2)*EC88+(1-EXP(-LN(2)/2))/(LN(2)/2)*DW89*DZ89*VLOOKUP('Données projet'!$B$14,Paramètres!$A$1:$I$89,3,0)*0.475*44/12</f>
        <v>2.2310329622165954E-8</v>
      </c>
      <c r="ED89" s="22">
        <f t="shared" si="72"/>
        <v>2.8125366109326029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108.5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228.3393311631487</v>
      </c>
      <c r="EP89" s="59">
        <f t="shared" si="100"/>
        <v>266.26050497804033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2.04928294132672</v>
      </c>
      <c r="EW89" s="21">
        <f>EXP(-LN(2)/25)*EW88+(1-EXP(-LN(2)/25))/(LN(2)/25)*Calculateur!ER89*Calculateur!ET89*VLOOKUP('Données projet'!$B$15,Paramètres!$A$1:$I$89,3,0)*0.475*44/12</f>
        <v>2.6102791860344658</v>
      </c>
      <c r="EX89" s="21">
        <f>EXP(-LN(2)/2)*EX88+(1-EXP(-LN(2)/2))/(LN(2)/2)*ER89*EU89*VLOOKUP('Données projet'!$B$15,Paramètres!$A$1:$I$89,3,0)*0.475*44/12</f>
        <v>2.0286784969546538E-8</v>
      </c>
      <c r="EY89" s="22">
        <f t="shared" si="75"/>
        <v>4.6595621476479705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108.5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-1.7053025658242404E-13</v>
      </c>
      <c r="FF89" s="17">
        <f>FE89*VLOOKUP('Données projet'!$B$16,Paramètres!$A$1:$I$89,3,0)*VLOOKUP('Données projet'!$B$16,Paramètres!$A$1:$I$89,5,0)</f>
        <v>-9.7543306765146564E-14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242.10913976205194</v>
      </c>
      <c r="FK89" s="59">
        <f t="shared" si="102"/>
        <v>198.24795425321133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2.2941287783064777</v>
      </c>
      <c r="FS89" s="21">
        <f>EXP(-LN(2)/2)*FS88+(1-EXP(-LN(2)/2))/(LN(2)/2)*FM89*FP89*VLOOKUP('Données projet'!$B$16,Paramètres!$A$1:$I$89,3,0)*0.475*44/12</f>
        <v>4.925833103566006E-8</v>
      </c>
      <c r="FT89" s="22">
        <f t="shared" si="78"/>
        <v>2.2941288275648088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108.5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108.5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42.548220000000001</v>
      </c>
      <c r="D90" s="11">
        <f t="shared" si="86"/>
        <v>12.671606164029972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234.44206897710976</v>
      </c>
      <c r="H90" s="67">
        <f t="shared" si="56"/>
        <v>494.0078639023522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108.5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5.6843418860808015E-14</v>
      </c>
      <c r="O90" s="13">
        <f>N90*VLOOKUP('Données projet'!$B$9,Paramètres!$A$1:$I$89,3,0)*VLOOKUP('Données projet'!$B$9,Paramètres!$A$1:$I$89,5,0)</f>
        <v>4.6111381379887463E-14</v>
      </c>
      <c r="P90" s="13">
        <f t="shared" si="87"/>
        <v>7.5804141040779151E-13</v>
      </c>
      <c r="Q90" s="20">
        <f t="shared" si="54"/>
        <v>1.4005661123635408E-12</v>
      </c>
      <c r="R90" s="59">
        <f t="shared" si="55"/>
        <v>434.50000000000142</v>
      </c>
      <c r="S90" s="59">
        <f ca="1">AVERAGE(OFFSET($R$3,0,0,'Données projet'!$E$9+1,1))-AVERAGE(OFFSET($H$3,0,0,'Données projet'!$E$9+1,1))</f>
        <v>273.89826011924487</v>
      </c>
      <c r="T90" s="59">
        <f t="shared" si="88"/>
        <v>332.17519939974227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1.7514437963368861</v>
      </c>
      <c r="AB90" s="21">
        <f>EXP(-LN(2)/2)*AB89+(1-EXP(-LN(2)/2))/(LN(2)/2)*V90*Y90*VLOOKUP('Données projet'!$B$9,Paramètres!$A$1:$I$89,3,0)*0.475*44/12</f>
        <v>2.8903701114816281E-8</v>
      </c>
      <c r="AC90" s="22">
        <f t="shared" si="57"/>
        <v>1.7514438252405873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108.5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17.5</v>
      </c>
      <c r="AI90" s="13">
        <f>IF('Données projet'!$A$62&gt;35,AI89+AH90-AQ89,IF(A90&lt;'Données projet'!$A$62,$AF$205^A90,IF(A90='Données projet'!$A$62,'Données projet'!$B$62,AI89+AH90-AQ89)))</f>
        <v>572.09999999999991</v>
      </c>
      <c r="AJ90" s="13">
        <f>AI90*VLOOKUP('Données projet'!$B$10,Paramètres!$A$1:$I$89,3,0)*VLOOKUP('Données projet'!$B$10,Paramètres!$A$1:$I$89,5,0)</f>
        <v>267.74279999999993</v>
      </c>
      <c r="AK90" s="13">
        <f t="shared" si="89"/>
        <v>64.370000676259949</v>
      </c>
      <c r="AL90" s="20">
        <f t="shared" si="58"/>
        <v>578.42979451115264</v>
      </c>
      <c r="AM90" s="59">
        <f t="shared" si="59"/>
        <v>1012.9297945111526</v>
      </c>
      <c r="AN90" s="59">
        <f ca="1">AVERAGE(OFFSET($AM$3,0,0,'Données projet'!$E$10+1,1))-AVERAGE(OFFSET($H$3,0,0,'Données projet'!$E$10+1,1))</f>
        <v>293.42903587188346</v>
      </c>
      <c r="AO90" s="59">
        <f t="shared" si="90"/>
        <v>267.80827667062124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1.0137496799913297</v>
      </c>
      <c r="AV90" s="21">
        <f>EXP(-LN(2)/25)*AV89+(1-EXP(-LN(2)/25))/(LN(2)/25)*Calculateur!AQ90*Calculateur!AS90*VLOOKUP('Données projet'!$B$10,Paramètres!$A$1:$I$89,3,0)*0.475*44/12</f>
        <v>1.6174224696036104</v>
      </c>
      <c r="AW90" s="21">
        <f>EXP(-LN(2)/2)*AW89+(1-EXP(-LN(2)/2))/(LN(2)/2)*AQ90*AT90*VLOOKUP('Données projet'!$B$10,Paramètres!$A$1:$I$89,3,0)*0.475*44/12</f>
        <v>2.5899703290463154E-8</v>
      </c>
      <c r="AX90" s="21">
        <f t="shared" si="60"/>
        <v>2.6311721754946436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108.5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5.6</v>
      </c>
      <c r="BD90" s="12">
        <f>IF('Données projet'!$A$88&gt;35,BD89+BC90-BL89,IF(A90&lt;'Données projet'!$A$88,$BA$205^A90,IF(A90='Données projet'!$A$88,'Données projet'!$B$88,BD89+BC90-BL89)))</f>
        <v>279.20000000000039</v>
      </c>
      <c r="BE90" s="13">
        <f>BD90*VLOOKUP('Données projet'!$B$11,Paramètres!$A$1:$I$89,3,0)*VLOOKUP('Données projet'!$B$11,Paramètres!$A$1:$I$89,5,0)</f>
        <v>252.62016000000034</v>
      </c>
      <c r="BF90" s="13">
        <f t="shared" si="91"/>
        <v>61.146667772298876</v>
      </c>
      <c r="BG90" s="20">
        <f t="shared" si="61"/>
        <v>546.47722503675448</v>
      </c>
      <c r="BH90" s="59">
        <f t="shared" si="62"/>
        <v>980.97722503675448</v>
      </c>
      <c r="BI90" s="59">
        <f ca="1">AVERAGE(OFFSET($BH$3,0,0,'Données projet'!$E$11+1,1))-AVERAGE(OFFSET($H$3,0,0,'Données projet'!$E$11+1,1))</f>
        <v>324.41828402031939</v>
      </c>
      <c r="BJ90" s="59">
        <f t="shared" si="92"/>
        <v>233.01060088065992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0.63950569476278829</v>
      </c>
      <c r="BR90" s="21">
        <f>EXP(-LN(2)/2)*BR89+(1-EXP(-LN(2)/2))/(LN(2)/2)*BL90*BO90*VLOOKUP('Données projet'!$B$11,Paramètres!$A$1:$I$89,3,0)*0.475*44/12</f>
        <v>1.630384415011387E-8</v>
      </c>
      <c r="BS90" s="22">
        <f t="shared" si="63"/>
        <v>0.63950571106663245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108.5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279.00060755204919</v>
      </c>
      <c r="CE90" s="59">
        <f t="shared" si="94"/>
        <v>333.91128554211014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2.3611994923149204</v>
      </c>
      <c r="CL90" s="21">
        <f>EXP(-LN(2)/25)*CL89+(1-EXP(-LN(2)/25))/(LN(2)/25)*Calculateur!CG90*Calculateur!CI90*VLOOKUP('Données projet'!$B$12,Paramètres!$A$1:$I$89,3,0)*0.475*44/12</f>
        <v>5.7302814280146706</v>
      </c>
      <c r="CM90" s="21">
        <f>EXP(-LN(2)/2)*CM89+(1-EXP(-LN(2)/2))/(LN(2)/2)*CG90*CJ90*VLOOKUP('Données projet'!$B$12,Paramètres!$A$1:$I$89,3,0)*0.475*44/12</f>
        <v>5.6776780214614202E-8</v>
      </c>
      <c r="CN90" s="22">
        <f t="shared" si="66"/>
        <v>8.0914809771063716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108.5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-1.1368683772161603E-13</v>
      </c>
      <c r="CU90" s="17">
        <f>CT90*VLOOKUP('Données projet'!$B$13,Paramètres!$A$1:$I$89,3,0)*VLOOKUP('Données projet'!$B$13,Paramètres!$A$1:$I$89,5,0)</f>
        <v>-6.7984728957526396E-14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380.01315081072897</v>
      </c>
      <c r="CZ90" s="59">
        <f t="shared" si="96"/>
        <v>404.90871625409181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1.1314080900675667</v>
      </c>
      <c r="DG90" s="21">
        <f>EXP(-LN(2)/25)*DG89+(1-EXP(-LN(2)/25))/(LN(2)/25)*Calculateur!DB90*Calculateur!DD90*VLOOKUP('Données projet'!$B$13,Paramètres!$A$1:$I$89,3,0)*0.475*44/12</f>
        <v>4.3938000521882952</v>
      </c>
      <c r="DH90" s="21">
        <f>EXP(-LN(2)/2)*DH89+(1-EXP(-LN(2)/2))/(LN(2)/2)*DB90*DE90*VLOOKUP('Données projet'!$B$13,Paramètres!$A$1:$I$89,3,0)*0.475*44/12</f>
        <v>7.9824377023073897E-8</v>
      </c>
      <c r="DI90" s="22">
        <f t="shared" si="69"/>
        <v>5.5252082220802388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108.5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-5.6843418860808015E-14</v>
      </c>
      <c r="DP90" s="17">
        <f>DO90*VLOOKUP('Données projet'!$B$14,Paramètres!$A$1:$I$89,3,0)*VLOOKUP('Données projet'!$B$14,Paramètres!$A$1:$I$89,5,0)</f>
        <v>-5.1431925385259088E-14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320.81451813551064</v>
      </c>
      <c r="DU90" s="59">
        <f t="shared" si="98"/>
        <v>522.80818268773976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0.59362999265763927</v>
      </c>
      <c r="EB90" s="21">
        <f>EXP(-LN(2)/25)*EB89+(1-EXP(-LN(2)/25))/(LN(2)/25)*Calculateur!DW90*Calculateur!DY90*VLOOKUP('Données projet'!$B$14,Paramètres!$A$1:$I$89,3,0)*0.475*44/12</f>
        <v>2.1466816061497269</v>
      </c>
      <c r="EC90" s="21">
        <f>EXP(-LN(2)/2)*EC89+(1-EXP(-LN(2)/2))/(LN(2)/2)*DW90*DZ90*VLOOKUP('Données projet'!$B$14,Paramètres!$A$1:$I$89,3,0)*0.475*44/12</f>
        <v>1.5775785366340651E-8</v>
      </c>
      <c r="ED90" s="22">
        <f t="shared" si="72"/>
        <v>2.7403116145831516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108.5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228.3393311631487</v>
      </c>
      <c r="EP90" s="59">
        <f t="shared" si="100"/>
        <v>266.26050497804033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2.009097752786476</v>
      </c>
      <c r="EW90" s="21">
        <f>EXP(-LN(2)/25)*EW89+(1-EXP(-LN(2)/25))/(LN(2)/25)*Calculateur!ER90*Calculateur!ET90*VLOOKUP('Données projet'!$B$15,Paramètres!$A$1:$I$89,3,0)*0.475*44/12</f>
        <v>2.5389009644237368</v>
      </c>
      <c r="EX90" s="21">
        <f>EXP(-LN(2)/2)*EX89+(1-EXP(-LN(2)/2))/(LN(2)/2)*ER90*EU90*VLOOKUP('Données projet'!$B$15,Paramètres!$A$1:$I$89,3,0)*0.475*44/12</f>
        <v>1.4344923220439685E-8</v>
      </c>
      <c r="EY90" s="22">
        <f t="shared" si="75"/>
        <v>4.5479987315551362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108.5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-1.7053025658242404E-13</v>
      </c>
      <c r="FF90" s="17">
        <f>FE90*VLOOKUP('Données projet'!$B$16,Paramètres!$A$1:$I$89,3,0)*VLOOKUP('Données projet'!$B$16,Paramètres!$A$1:$I$89,5,0)</f>
        <v>-9.7543306765146564E-14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242.10913976205194</v>
      </c>
      <c r="FK90" s="59">
        <f t="shared" si="102"/>
        <v>198.24795425321133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2.2313957062206979</v>
      </c>
      <c r="FS90" s="21">
        <f>EXP(-LN(2)/2)*FS89+(1-EXP(-LN(2)/2))/(LN(2)/2)*FM90*FP90*VLOOKUP('Données projet'!$B$16,Paramètres!$A$1:$I$89,3,0)*0.475*44/12</f>
        <v>3.4830899905247001E-8</v>
      </c>
      <c r="FT90" s="22">
        <f t="shared" si="78"/>
        <v>2.2313957410515979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108.5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108.5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43.037280000000003</v>
      </c>
      <c r="D91" s="11">
        <f t="shared" si="86"/>
        <v>12.800217346688152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237.06446241927253</v>
      </c>
      <c r="H91" s="67">
        <f t="shared" si="56"/>
        <v>495.08364121214851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108.5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5.6843418860808015E-14</v>
      </c>
      <c r="O91" s="13">
        <f>N91*VLOOKUP('Données projet'!$B$9,Paramètres!$A$1:$I$89,3,0)*VLOOKUP('Données projet'!$B$9,Paramètres!$A$1:$I$89,5,0)</f>
        <v>4.6111381379887463E-14</v>
      </c>
      <c r="P91" s="13">
        <f t="shared" si="87"/>
        <v>7.5804141040779151E-13</v>
      </c>
      <c r="Q91" s="20">
        <f t="shared" si="54"/>
        <v>1.4005661123635408E-12</v>
      </c>
      <c r="R91" s="59">
        <f t="shared" si="55"/>
        <v>434.50000000000142</v>
      </c>
      <c r="S91" s="59">
        <f ca="1">AVERAGE(OFFSET($R$3,0,0,'Données projet'!$E$9+1,1))-AVERAGE(OFFSET($H$3,0,0,'Données projet'!$E$9+1,1))</f>
        <v>273.89826011924487</v>
      </c>
      <c r="T91" s="59">
        <f t="shared" si="88"/>
        <v>332.17519939974227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1.7035504736216276</v>
      </c>
      <c r="AB91" s="21">
        <f>EXP(-LN(2)/2)*AB90+(1-EXP(-LN(2)/2))/(LN(2)/2)*V91*Y91*VLOOKUP('Données projet'!$B$9,Paramètres!$A$1:$I$89,3,0)*0.475*44/12</f>
        <v>2.0438003059675766E-8</v>
      </c>
      <c r="AC91" s="22">
        <f t="shared" si="57"/>
        <v>1.7035504940596307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108.5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17.5</v>
      </c>
      <c r="AI91" s="13">
        <f>IF('Données projet'!$A$62&gt;35,AI90+AH91-AQ90,IF(A91&lt;'Données projet'!$A$62,$AF$205^A91,IF(A91='Données projet'!$A$62,'Données projet'!$B$62,AI90+AH91-AQ90)))</f>
        <v>589.59999999999991</v>
      </c>
      <c r="AJ91" s="13">
        <f>AI91*VLOOKUP('Données projet'!$B$10,Paramètres!$A$1:$I$89,3,0)*VLOOKUP('Données projet'!$B$10,Paramètres!$A$1:$I$89,5,0)</f>
        <v>275.93279999999999</v>
      </c>
      <c r="AK91" s="13">
        <f t="shared" si="89"/>
        <v>66.106762012556132</v>
      </c>
      <c r="AL91" s="20">
        <f t="shared" si="58"/>
        <v>595.7189038385352</v>
      </c>
      <c r="AM91" s="59">
        <f t="shared" si="59"/>
        <v>1030.2189038385352</v>
      </c>
      <c r="AN91" s="59">
        <f ca="1">AVERAGE(OFFSET($AM$3,0,0,'Données projet'!$E$10+1,1))-AVERAGE(OFFSET($H$3,0,0,'Données projet'!$E$10+1,1))</f>
        <v>293.42903587188346</v>
      </c>
      <c r="AO91" s="59">
        <f t="shared" si="90"/>
        <v>267.80827667062124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0.99387066709294991</v>
      </c>
      <c r="AV91" s="21">
        <f>EXP(-LN(2)/25)*AV90+(1-EXP(-LN(2)/25))/(LN(2)/25)*Calculateur!AQ91*Calculateur!AS91*VLOOKUP('Données projet'!$B$10,Paramètres!$A$1:$I$89,3,0)*0.475*44/12</f>
        <v>1.5731939671157487</v>
      </c>
      <c r="AW91" s="21">
        <f>EXP(-LN(2)/2)*AW90+(1-EXP(-LN(2)/2))/(LN(2)/2)*AQ91*AT91*VLOOKUP('Données projet'!$B$10,Paramètres!$A$1:$I$89,3,0)*0.475*44/12</f>
        <v>1.8313855827406034E-8</v>
      </c>
      <c r="AX91" s="21">
        <f t="shared" si="60"/>
        <v>2.5670646525225544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108.5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5.6</v>
      </c>
      <c r="BD91" s="12">
        <f>IF('Données projet'!$A$88&gt;35,BD90+BC91-BL90,IF(A91&lt;'Données projet'!$A$88,$BA$205^A91,IF(A91='Données projet'!$A$88,'Données projet'!$B$88,BD90+BC91-BL90)))</f>
        <v>284.80000000000041</v>
      </c>
      <c r="BE91" s="13">
        <f>BD91*VLOOKUP('Données projet'!$B$11,Paramètres!$A$1:$I$89,3,0)*VLOOKUP('Données projet'!$B$11,Paramètres!$A$1:$I$89,5,0)</f>
        <v>257.68704000000037</v>
      </c>
      <c r="BF91" s="13">
        <f t="shared" si="91"/>
        <v>62.229092239243457</v>
      </c>
      <c r="BG91" s="20">
        <f t="shared" si="61"/>
        <v>557.18726365001623</v>
      </c>
      <c r="BH91" s="59">
        <f t="shared" si="62"/>
        <v>991.68726365001623</v>
      </c>
      <c r="BI91" s="59">
        <f ca="1">AVERAGE(OFFSET($BH$3,0,0,'Données projet'!$E$11+1,1))-AVERAGE(OFFSET($H$3,0,0,'Données projet'!$E$11+1,1))</f>
        <v>324.41828402031939</v>
      </c>
      <c r="BJ91" s="59">
        <f t="shared" si="92"/>
        <v>233.01060088065992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0.62201837790935699</v>
      </c>
      <c r="BR91" s="21">
        <f>EXP(-LN(2)/2)*BR90+(1-EXP(-LN(2)/2))/(LN(2)/2)*BL91*BO91*VLOOKUP('Données projet'!$B$11,Paramètres!$A$1:$I$89,3,0)*0.475*44/12</f>
        <v>1.1528558757954142E-8</v>
      </c>
      <c r="BS91" s="22">
        <f t="shared" si="63"/>
        <v>0.62201838943791576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108.5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279.00060755204919</v>
      </c>
      <c r="CE91" s="59">
        <f t="shared" si="94"/>
        <v>333.91128554211014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2.3148978104601081</v>
      </c>
      <c r="CL91" s="21">
        <f>EXP(-LN(2)/25)*CL90+(1-EXP(-LN(2)/25))/(LN(2)/25)*Calculateur!CG91*Calculateur!CI91*VLOOKUP('Données projet'!$B$12,Paramètres!$A$1:$I$89,3,0)*0.475*44/12</f>
        <v>5.5735865810232061</v>
      </c>
      <c r="CM91" s="21">
        <f>EXP(-LN(2)/2)*CM90+(1-EXP(-LN(2)/2))/(LN(2)/2)*CG91*CJ91*VLOOKUP('Données projet'!$B$12,Paramètres!$A$1:$I$89,3,0)*0.475*44/12</f>
        <v>4.0147246303691905E-8</v>
      </c>
      <c r="CN91" s="22">
        <f t="shared" si="66"/>
        <v>7.8884844316305607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108.5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-1.1368683772161603E-13</v>
      </c>
      <c r="CU91" s="17">
        <f>CT91*VLOOKUP('Données projet'!$B$13,Paramètres!$A$1:$I$89,3,0)*VLOOKUP('Données projet'!$B$13,Paramètres!$A$1:$I$89,5,0)</f>
        <v>-6.7984728957526396E-14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380.01315081072897</v>
      </c>
      <c r="CZ91" s="59">
        <f t="shared" si="96"/>
        <v>404.90871625409181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1.1092218675121359</v>
      </c>
      <c r="DG91" s="21">
        <f>EXP(-LN(2)/25)*DG90+(1-EXP(-LN(2)/25))/(LN(2)/25)*Calculateur!DB91*Calculateur!DD91*VLOOKUP('Données projet'!$B$13,Paramètres!$A$1:$I$89,3,0)*0.475*44/12</f>
        <v>4.2736513587013034</v>
      </c>
      <c r="DH91" s="21">
        <f>EXP(-LN(2)/2)*DH90+(1-EXP(-LN(2)/2))/(LN(2)/2)*DB91*DE91*VLOOKUP('Données projet'!$B$13,Paramètres!$A$1:$I$89,3,0)*0.475*44/12</f>
        <v>5.6444358297007187E-8</v>
      </c>
      <c r="DI91" s="22">
        <f t="shared" si="69"/>
        <v>5.3828732826577976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108.5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-5.6843418860808015E-14</v>
      </c>
      <c r="DP91" s="17">
        <f>DO91*VLOOKUP('Données projet'!$B$14,Paramètres!$A$1:$I$89,3,0)*VLOOKUP('Données projet'!$B$14,Paramètres!$A$1:$I$89,5,0)</f>
        <v>-5.1431925385259088E-14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320.81451813551064</v>
      </c>
      <c r="DU91" s="59">
        <f t="shared" si="98"/>
        <v>522.80818268773976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0.58198927058016625</v>
      </c>
      <c r="EB91" s="21">
        <f>EXP(-LN(2)/25)*EB90+(1-EXP(-LN(2)/25))/(LN(2)/25)*Calculateur!DW91*Calculateur!DY91*VLOOKUP('Données projet'!$B$14,Paramètres!$A$1:$I$89,3,0)*0.475*44/12</f>
        <v>2.0879804847404833</v>
      </c>
      <c r="EC91" s="21">
        <f>EXP(-LN(2)/2)*EC90+(1-EXP(-LN(2)/2))/(LN(2)/2)*DW91*DZ91*VLOOKUP('Données projet'!$B$14,Paramètres!$A$1:$I$89,3,0)*0.475*44/12</f>
        <v>1.1155164811082977E-8</v>
      </c>
      <c r="ED91" s="22">
        <f t="shared" si="72"/>
        <v>2.6699697664758144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108.5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228.3393311631487</v>
      </c>
      <c r="EP91" s="59">
        <f t="shared" si="100"/>
        <v>266.26050497804033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1.9697005712829614</v>
      </c>
      <c r="EW91" s="21">
        <f>EXP(-LN(2)/25)*EW90+(1-EXP(-LN(2)/25))/(LN(2)/25)*Calculateur!ER91*Calculateur!ET91*VLOOKUP('Données projet'!$B$15,Paramètres!$A$1:$I$89,3,0)*0.475*44/12</f>
        <v>2.4694745840365706</v>
      </c>
      <c r="EX91" s="21">
        <f>EXP(-LN(2)/2)*EX90+(1-EXP(-LN(2)/2))/(LN(2)/2)*ER91*EU91*VLOOKUP('Données projet'!$B$15,Paramètres!$A$1:$I$89,3,0)*0.475*44/12</f>
        <v>1.0143392484773269E-8</v>
      </c>
      <c r="EY91" s="22">
        <f t="shared" si="75"/>
        <v>4.4391751654629248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108.5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-1.7053025658242404E-13</v>
      </c>
      <c r="FF91" s="17">
        <f>FE91*VLOOKUP('Données projet'!$B$16,Paramètres!$A$1:$I$89,3,0)*VLOOKUP('Données projet'!$B$16,Paramètres!$A$1:$I$89,5,0)</f>
        <v>-9.7543306765146564E-14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242.10913976205194</v>
      </c>
      <c r="FK91" s="59">
        <f t="shared" si="102"/>
        <v>198.24795425321133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2.1703780732900926</v>
      </c>
      <c r="FS91" s="21">
        <f>EXP(-LN(2)/2)*FS90+(1-EXP(-LN(2)/2))/(LN(2)/2)*FM91*FP91*VLOOKUP('Données projet'!$B$16,Paramètres!$A$1:$I$89,3,0)*0.475*44/12</f>
        <v>2.462916551783003E-8</v>
      </c>
      <c r="FT91" s="22">
        <f t="shared" si="78"/>
        <v>2.170378097919258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108.5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108.5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43.526340000000005</v>
      </c>
      <c r="D92" s="11">
        <f t="shared" si="86"/>
        <v>12.928658520417956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239.68613406914292</v>
      </c>
      <c r="H92" s="67">
        <f t="shared" si="56"/>
        <v>496.15912242306126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108.5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5.6843418860808015E-14</v>
      </c>
      <c r="O92" s="13">
        <f>N92*VLOOKUP('Données projet'!$B$9,Paramètres!$A$1:$I$89,3,0)*VLOOKUP('Données projet'!$B$9,Paramètres!$A$1:$I$89,5,0)</f>
        <v>4.6111381379887463E-14</v>
      </c>
      <c r="P92" s="13">
        <f t="shared" si="87"/>
        <v>7.5804141040779151E-13</v>
      </c>
      <c r="Q92" s="20">
        <f t="shared" si="54"/>
        <v>1.4005661123635408E-12</v>
      </c>
      <c r="R92" s="59">
        <f t="shared" si="55"/>
        <v>434.50000000000142</v>
      </c>
      <c r="S92" s="59">
        <f ca="1">AVERAGE(OFFSET($R$3,0,0,'Données projet'!$E$9+1,1))-AVERAGE(OFFSET($H$3,0,0,'Données projet'!$E$9+1,1))</f>
        <v>273.89826011924487</v>
      </c>
      <c r="T92" s="59">
        <f t="shared" si="88"/>
        <v>332.17519939974227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1.6569667963346182</v>
      </c>
      <c r="AB92" s="21">
        <f>EXP(-LN(2)/2)*AB91+(1-EXP(-LN(2)/2))/(LN(2)/2)*V92*Y92*VLOOKUP('Données projet'!$B$9,Paramètres!$A$1:$I$89,3,0)*0.475*44/12</f>
        <v>1.4451850557408141E-8</v>
      </c>
      <c r="AC92" s="22">
        <f t="shared" si="57"/>
        <v>1.6569668107864688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108.5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17.5</v>
      </c>
      <c r="AI92" s="13">
        <f>IF('Données projet'!$A$62&gt;35,AI91+AH92-AQ91,IF(A92&lt;'Données projet'!$A$62,$AF$205^A92,IF(A92='Données projet'!$A$62,'Données projet'!$B$62,AI91+AH92-AQ91)))</f>
        <v>607.09999999999991</v>
      </c>
      <c r="AJ92" s="13">
        <f>AI92*VLOOKUP('Données projet'!$B$10,Paramètres!$A$1:$I$89,3,0)*VLOOKUP('Données projet'!$B$10,Paramètres!$A$1:$I$89,5,0)</f>
        <v>284.12279999999993</v>
      </c>
      <c r="AK92" s="13">
        <f t="shared" si="89"/>
        <v>67.837532462585557</v>
      </c>
      <c r="AL92" s="20">
        <f t="shared" si="58"/>
        <v>612.99757903900297</v>
      </c>
      <c r="AM92" s="59">
        <f t="shared" si="59"/>
        <v>1047.4975790390031</v>
      </c>
      <c r="AN92" s="59">
        <f ca="1">AVERAGE(OFFSET($AM$3,0,0,'Données projet'!$E$10+1,1))-AVERAGE(OFFSET($H$3,0,0,'Données projet'!$E$10+1,1))</f>
        <v>293.42903587188346</v>
      </c>
      <c r="AO92" s="59">
        <f t="shared" si="90"/>
        <v>267.80827667062124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0.9743814695125067</v>
      </c>
      <c r="AV92" s="21">
        <f>EXP(-LN(2)/25)*AV91+(1-EXP(-LN(2)/25))/(LN(2)/25)*Calculateur!AQ92*Calculateur!AS92*VLOOKUP('Données projet'!$B$10,Paramètres!$A$1:$I$89,3,0)*0.475*44/12</f>
        <v>1.5301748953542933</v>
      </c>
      <c r="AW92" s="21">
        <f>EXP(-LN(2)/2)*AW91+(1-EXP(-LN(2)/2))/(LN(2)/2)*AQ92*AT92*VLOOKUP('Données projet'!$B$10,Paramètres!$A$1:$I$89,3,0)*0.475*44/12</f>
        <v>1.2949851645231577E-8</v>
      </c>
      <c r="AX92" s="21">
        <f t="shared" si="60"/>
        <v>2.5045563778166517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108.5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5.6</v>
      </c>
      <c r="BD92" s="12">
        <f>IF('Données projet'!$A$88&gt;35,BD91+BC92-BL91,IF(A92&lt;'Données projet'!$A$88,$BA$205^A92,IF(A92='Données projet'!$A$88,'Données projet'!$B$88,BD91+BC92-BL91)))</f>
        <v>290.40000000000043</v>
      </c>
      <c r="BE92" s="13">
        <f>BD92*VLOOKUP('Données projet'!$B$11,Paramètres!$A$1:$I$89,3,0)*VLOOKUP('Données projet'!$B$11,Paramètres!$A$1:$I$89,5,0)</f>
        <v>262.75392000000039</v>
      </c>
      <c r="BF92" s="13">
        <f t="shared" si="91"/>
        <v>63.309041956360382</v>
      </c>
      <c r="BG92" s="20">
        <f t="shared" si="61"/>
        <v>567.89299207399495</v>
      </c>
      <c r="BH92" s="59">
        <f t="shared" si="62"/>
        <v>1002.3929920739949</v>
      </c>
      <c r="BI92" s="59">
        <f ca="1">AVERAGE(OFFSET($BH$3,0,0,'Données projet'!$E$11+1,1))-AVERAGE(OFFSET($H$3,0,0,'Données projet'!$E$11+1,1))</f>
        <v>324.41828402031939</v>
      </c>
      <c r="BJ92" s="59">
        <f t="shared" si="92"/>
        <v>233.01060088065992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0.6050092526549008</v>
      </c>
      <c r="BR92" s="21">
        <f>EXP(-LN(2)/2)*BR91+(1-EXP(-LN(2)/2))/(LN(2)/2)*BL92*BO92*VLOOKUP('Données projet'!$B$11,Paramètres!$A$1:$I$89,3,0)*0.475*44/12</f>
        <v>8.1519220750569352E-9</v>
      </c>
      <c r="BS92" s="22">
        <f t="shared" si="63"/>
        <v>0.60500926080682282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108.5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279.00060755204919</v>
      </c>
      <c r="CE92" s="59">
        <f t="shared" si="94"/>
        <v>333.91128554211014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2.2695040763452314</v>
      </c>
      <c r="CL92" s="21">
        <f>EXP(-LN(2)/25)*CL91+(1-EXP(-LN(2)/25))/(LN(2)/25)*Calculateur!CG92*Calculateur!CI92*VLOOKUP('Données projet'!$B$12,Paramètres!$A$1:$I$89,3,0)*0.475*44/12</f>
        <v>5.4211765628629465</v>
      </c>
      <c r="CM92" s="21">
        <f>EXP(-LN(2)/2)*CM91+(1-EXP(-LN(2)/2))/(LN(2)/2)*CG92*CJ92*VLOOKUP('Données projet'!$B$12,Paramètres!$A$1:$I$89,3,0)*0.475*44/12</f>
        <v>2.8388390107307101E-8</v>
      </c>
      <c r="CN92" s="22">
        <f t="shared" si="66"/>
        <v>7.6906806675965687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108.5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-1.1368683772161603E-13</v>
      </c>
      <c r="CU92" s="17">
        <f>CT92*VLOOKUP('Données projet'!$B$13,Paramètres!$A$1:$I$89,3,0)*VLOOKUP('Données projet'!$B$13,Paramètres!$A$1:$I$89,5,0)</f>
        <v>-6.7984728957526396E-14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380.01315081072897</v>
      </c>
      <c r="CZ92" s="59">
        <f t="shared" si="96"/>
        <v>404.90871625409181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1.0874707032487576</v>
      </c>
      <c r="DG92" s="21">
        <f>EXP(-LN(2)/25)*DG91+(1-EXP(-LN(2)/25))/(LN(2)/25)*Calculateur!DB92*Calculateur!DD92*VLOOKUP('Données projet'!$B$13,Paramètres!$A$1:$I$89,3,0)*0.475*44/12</f>
        <v>4.1567881375560587</v>
      </c>
      <c r="DH92" s="21">
        <f>EXP(-LN(2)/2)*DH91+(1-EXP(-LN(2)/2))/(LN(2)/2)*DB92*DE92*VLOOKUP('Données projet'!$B$13,Paramètres!$A$1:$I$89,3,0)*0.475*44/12</f>
        <v>3.9912188511536949E-8</v>
      </c>
      <c r="DI92" s="22">
        <f t="shared" si="69"/>
        <v>5.2442588807170045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108.5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-5.6843418860808015E-14</v>
      </c>
      <c r="DP92" s="17">
        <f>DO92*VLOOKUP('Données projet'!$B$14,Paramètres!$A$1:$I$89,3,0)*VLOOKUP('Données projet'!$B$14,Paramètres!$A$1:$I$89,5,0)</f>
        <v>-5.1431925385259088E-14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320.81451813551064</v>
      </c>
      <c r="DU92" s="59">
        <f t="shared" si="98"/>
        <v>522.80818268773976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0.57057681596249299</v>
      </c>
      <c r="EB92" s="21">
        <f>EXP(-LN(2)/25)*EB91+(1-EXP(-LN(2)/25))/(LN(2)/25)*Calculateur!DW92*Calculateur!DY92*VLOOKUP('Données projet'!$B$14,Paramètres!$A$1:$I$89,3,0)*0.475*44/12</f>
        <v>2.0308845485831331</v>
      </c>
      <c r="EC92" s="21">
        <f>EXP(-LN(2)/2)*EC91+(1-EXP(-LN(2)/2))/(LN(2)/2)*DW92*DZ92*VLOOKUP('Données projet'!$B$14,Paramètres!$A$1:$I$89,3,0)*0.475*44/12</f>
        <v>7.8878926831703253E-9</v>
      </c>
      <c r="ED92" s="22">
        <f t="shared" si="72"/>
        <v>2.6014613724335187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108.5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228.3393311631487</v>
      </c>
      <c r="EP92" s="59">
        <f t="shared" si="100"/>
        <v>266.26050497804033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1.9310759444788228</v>
      </c>
      <c r="EW92" s="21">
        <f>EXP(-LN(2)/25)*EW91+(1-EXP(-LN(2)/25))/(LN(2)/25)*Calculateur!ER92*Calculateur!ET92*VLOOKUP('Données projet'!$B$15,Paramètres!$A$1:$I$89,3,0)*0.475*44/12</f>
        <v>2.4019466716720661</v>
      </c>
      <c r="EX92" s="21">
        <f>EXP(-LN(2)/2)*EX91+(1-EXP(-LN(2)/2))/(LN(2)/2)*ER92*EU92*VLOOKUP('Données projet'!$B$15,Paramètres!$A$1:$I$89,3,0)*0.475*44/12</f>
        <v>7.1724616102198425E-9</v>
      </c>
      <c r="EY92" s="22">
        <f t="shared" si="75"/>
        <v>4.3330226233233509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108.5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-1.7053025658242404E-13</v>
      </c>
      <c r="FF92" s="17">
        <f>FE92*VLOOKUP('Données projet'!$B$16,Paramètres!$A$1:$I$89,3,0)*VLOOKUP('Données projet'!$B$16,Paramètres!$A$1:$I$89,5,0)</f>
        <v>-9.7543306765146564E-14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242.10913976205194</v>
      </c>
      <c r="FK92" s="59">
        <f t="shared" si="102"/>
        <v>198.24795425321133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2.1110289707407528</v>
      </c>
      <c r="FS92" s="21">
        <f>EXP(-LN(2)/2)*FS91+(1-EXP(-LN(2)/2))/(LN(2)/2)*FM92*FP92*VLOOKUP('Données projet'!$B$16,Paramètres!$A$1:$I$89,3,0)*0.475*44/12</f>
        <v>1.74154499526235E-8</v>
      </c>
      <c r="FT92" s="22">
        <f t="shared" si="78"/>
        <v>2.1110289881562028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108.5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108.5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44.015400000000007</v>
      </c>
      <c r="D93" s="11">
        <f t="shared" si="86"/>
        <v>13.056931816477009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242.30709297521824</v>
      </c>
      <c r="H93" s="67">
        <f t="shared" si="56"/>
        <v>497.2343112470308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108.5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5.6843418860808015E-14</v>
      </c>
      <c r="O93" s="13">
        <f>N93*VLOOKUP('Données projet'!$B$9,Paramètres!$A$1:$I$89,3,0)*VLOOKUP('Données projet'!$B$9,Paramètres!$A$1:$I$89,5,0)</f>
        <v>4.6111381379887463E-14</v>
      </c>
      <c r="P93" s="13">
        <f t="shared" si="87"/>
        <v>7.5804141040779151E-13</v>
      </c>
      <c r="Q93" s="20">
        <f t="shared" si="54"/>
        <v>1.4005661123635408E-12</v>
      </c>
      <c r="R93" s="59">
        <f t="shared" si="55"/>
        <v>434.50000000000142</v>
      </c>
      <c r="S93" s="59">
        <f ca="1">AVERAGE(OFFSET($R$3,0,0,'Données projet'!$E$9+1,1))-AVERAGE(OFFSET($H$3,0,0,'Données projet'!$E$9+1,1))</f>
        <v>273.89826011924487</v>
      </c>
      <c r="T93" s="59">
        <f t="shared" si="88"/>
        <v>332.17519939974227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1.6116569521527513</v>
      </c>
      <c r="AB93" s="21">
        <f>EXP(-LN(2)/2)*AB92+(1-EXP(-LN(2)/2))/(LN(2)/2)*V93*Y93*VLOOKUP('Données projet'!$B$9,Paramètres!$A$1:$I$89,3,0)*0.475*44/12</f>
        <v>1.0219001529837883E-8</v>
      </c>
      <c r="AC93" s="22">
        <f t="shared" si="57"/>
        <v>1.6116569623717527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108.5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624.6</v>
      </c>
      <c r="AG93" s="12">
        <f>VLOOKUP(A93,'Données projet'!$A$61:$I$81,9,0)</f>
        <v>17.5</v>
      </c>
      <c r="AH93" s="12">
        <f t="array" ref="AH93">INDEX(AG:AG,MIN(IF(ISNUMBER(AG93:AG289),ROW(AG93:AG289),"")))</f>
        <v>17.5</v>
      </c>
      <c r="AI93" s="13">
        <f>IF('Données projet'!$A$62&gt;35,AI92+AH93-AQ92,IF(A93&lt;'Données projet'!$A$62,$AF$205^A93,IF(A93='Données projet'!$A$62,'Données projet'!$B$62,AI92+AH93-AQ92)))</f>
        <v>624.59999999999991</v>
      </c>
      <c r="AJ93" s="13">
        <f>AI93*VLOOKUP('Données projet'!$B$10,Paramètres!$A$1:$I$89,3,0)*VLOOKUP('Données projet'!$B$10,Paramètres!$A$1:$I$89,5,0)</f>
        <v>292.31279999999998</v>
      </c>
      <c r="AK93" s="13">
        <f t="shared" si="89"/>
        <v>69.562504549179678</v>
      </c>
      <c r="AL93" s="20">
        <f t="shared" si="58"/>
        <v>630.26615542315449</v>
      </c>
      <c r="AM93" s="59">
        <f t="shared" si="59"/>
        <v>1064.7661554231545</v>
      </c>
      <c r="AN93" s="59">
        <f ca="1">AVERAGE(OFFSET($AM$3,0,0,'Données projet'!$E$10+1,1))-AVERAGE(OFFSET($H$3,0,0,'Données projet'!$E$10+1,1))</f>
        <v>293.42903587188346</v>
      </c>
      <c r="AO93" s="59">
        <f t="shared" si="90"/>
        <v>267.80827667062124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83.4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0.95527444320937926</v>
      </c>
      <c r="AV93" s="21">
        <f>EXP(-LN(2)/25)*AV92+(1-EXP(-LN(2)/25))/(LN(2)/25)*Calculateur!AQ93*Calculateur!AS93*VLOOKUP('Données projet'!$B$10,Paramètres!$A$1:$I$89,3,0)*0.475*44/12</f>
        <v>1.4883321823724296</v>
      </c>
      <c r="AW93" s="21">
        <f>EXP(-LN(2)/2)*AW92+(1-EXP(-LN(2)/2))/(LN(2)/2)*AQ93*AT93*VLOOKUP('Données projet'!$B$10,Paramètres!$A$1:$I$89,3,0)*0.475*44/12</f>
        <v>9.1569279137030168E-9</v>
      </c>
      <c r="AX93" s="21">
        <f t="shared" si="60"/>
        <v>2.4436066347387371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108.5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296</v>
      </c>
      <c r="BB93" s="12">
        <f>VLOOKUP(A93,'Données projet'!$A$87:$I$107,9,0)</f>
        <v>5.6</v>
      </c>
      <c r="BC93" s="12">
        <f t="array" ref="BC93">INDEX(BB:BB,MIN(IF(ISNUMBER(BB93:BB289),ROW(BB93:BB289),"")))</f>
        <v>5.6</v>
      </c>
      <c r="BD93" s="12">
        <f>IF('Données projet'!$A$88&gt;35,BD92+BC93-BL92,IF(A93&lt;'Données projet'!$A$88,$BA$205^A93,IF(A93='Données projet'!$A$88,'Données projet'!$B$88,BD92+BC93-BL92)))</f>
        <v>296.00000000000045</v>
      </c>
      <c r="BE93" s="13">
        <f>BD93*VLOOKUP('Données projet'!$B$11,Paramètres!$A$1:$I$89,3,0)*VLOOKUP('Données projet'!$B$11,Paramètres!$A$1:$I$89,5,0)</f>
        <v>267.82080000000042</v>
      </c>
      <c r="BF93" s="13">
        <f t="shared" si="91"/>
        <v>64.38657014789743</v>
      </c>
      <c r="BG93" s="20">
        <f t="shared" si="61"/>
        <v>578.59450300758874</v>
      </c>
      <c r="BH93" s="59">
        <f t="shared" si="62"/>
        <v>1013.0945030075887</v>
      </c>
      <c r="BI93" s="59">
        <f ca="1">AVERAGE(OFFSET($BH$3,0,0,'Données projet'!$E$11+1,1))-AVERAGE(OFFSET($H$3,0,0,'Données projet'!$E$11+1,1))</f>
        <v>324.41828402031939</v>
      </c>
      <c r="BJ93" s="59">
        <f t="shared" si="92"/>
        <v>233.01060088065992</v>
      </c>
      <c r="BK93" s="15">
        <f>IF(ISNA(VLOOKUP(A93,'Données projet'!$A$87:$I$107,3,0)),0,VLOOKUP(A93,'Données projet'!$A$87:$I$107,3,0))</f>
        <v>7</v>
      </c>
      <c r="BL93" s="15">
        <f>IF(ISNA(VLOOKUP(A93,'Données projet'!$A$87:$I$107,4,0)),0,VLOOKUP(A93,'Données projet'!$A$87:$I$107,4,0))</f>
        <v>42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0.58846524282499868</v>
      </c>
      <c r="BR93" s="21">
        <f>EXP(-LN(2)/2)*BR92+(1-EXP(-LN(2)/2))/(LN(2)/2)*BL93*BO93*VLOOKUP('Données projet'!$B$11,Paramètres!$A$1:$I$89,3,0)*0.475*44/12</f>
        <v>5.7642793789770708E-9</v>
      </c>
      <c r="BS93" s="22">
        <f t="shared" si="63"/>
        <v>0.58846524858927807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108.5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279.00060755204919</v>
      </c>
      <c r="CE93" s="59">
        <f t="shared" si="94"/>
        <v>333.91128554211014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2.2250004856689034</v>
      </c>
      <c r="CL93" s="21">
        <f>EXP(-LN(2)/25)*CL92+(1-EXP(-LN(2)/25))/(LN(2)/25)*Calculateur!CG93*Calculateur!CI93*VLOOKUP('Données projet'!$B$12,Paramètres!$A$1:$I$89,3,0)*0.475*44/12</f>
        <v>5.2729342046641738</v>
      </c>
      <c r="CM93" s="21">
        <f>EXP(-LN(2)/2)*CM92+(1-EXP(-LN(2)/2))/(LN(2)/2)*CG93*CJ93*VLOOKUP('Données projet'!$B$12,Paramètres!$A$1:$I$89,3,0)*0.475*44/12</f>
        <v>2.0073623151845953E-8</v>
      </c>
      <c r="CN93" s="22">
        <f t="shared" si="66"/>
        <v>7.4979347104066996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108.5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-1.1368683772161603E-13</v>
      </c>
      <c r="CU93" s="17">
        <f>CT93*VLOOKUP('Données projet'!$B$13,Paramètres!$A$1:$I$89,3,0)*VLOOKUP('Données projet'!$B$13,Paramètres!$A$1:$I$89,5,0)</f>
        <v>-6.7984728957526396E-14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380.01315081072897</v>
      </c>
      <c r="CZ93" s="59">
        <f t="shared" si="96"/>
        <v>404.90871625409181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1.0661460660496838</v>
      </c>
      <c r="DG93" s="21">
        <f>EXP(-LN(2)/25)*DG92+(1-EXP(-LN(2)/25))/(LN(2)/25)*Calculateur!DB93*Calculateur!DD93*VLOOKUP('Données projet'!$B$13,Paramètres!$A$1:$I$89,3,0)*0.475*44/12</f>
        <v>4.0431205473386003</v>
      </c>
      <c r="DH93" s="21">
        <f>EXP(-LN(2)/2)*DH92+(1-EXP(-LN(2)/2))/(LN(2)/2)*DB93*DE93*VLOOKUP('Données projet'!$B$13,Paramètres!$A$1:$I$89,3,0)*0.475*44/12</f>
        <v>2.8222179148503593E-8</v>
      </c>
      <c r="DI93" s="22">
        <f t="shared" si="69"/>
        <v>5.1092666416104633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108.5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-5.6843418860808015E-14</v>
      </c>
      <c r="DP93" s="17">
        <f>DO93*VLOOKUP('Données projet'!$B$14,Paramètres!$A$1:$I$89,3,0)*VLOOKUP('Données projet'!$B$14,Paramètres!$A$1:$I$89,5,0)</f>
        <v>-5.1431925385259088E-14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320.81451813551064</v>
      </c>
      <c r="DU93" s="59">
        <f t="shared" si="98"/>
        <v>522.80818268773976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0.55938815261896235</v>
      </c>
      <c r="EB93" s="21">
        <f>EXP(-LN(2)/25)*EB92+(1-EXP(-LN(2)/25))/(LN(2)/25)*Calculateur!DW93*Calculateur!DY93*VLOOKUP('Données projet'!$B$14,Paramètres!$A$1:$I$89,3,0)*0.475*44/12</f>
        <v>1.9753499038025506</v>
      </c>
      <c r="EC93" s="21">
        <f>EXP(-LN(2)/2)*EC92+(1-EXP(-LN(2)/2))/(LN(2)/2)*DW93*DZ93*VLOOKUP('Données projet'!$B$14,Paramètres!$A$1:$I$89,3,0)*0.475*44/12</f>
        <v>5.5775824055414885E-9</v>
      </c>
      <c r="ED93" s="22">
        <f t="shared" si="72"/>
        <v>2.5347380619990951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108.5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228.3393311631487</v>
      </c>
      <c r="EP93" s="59">
        <f t="shared" si="100"/>
        <v>266.26050497804033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1.8932087230476171</v>
      </c>
      <c r="EW93" s="21">
        <f>EXP(-LN(2)/25)*EW92+(1-EXP(-LN(2)/25))/(LN(2)/25)*Calculateur!ER93*Calculateur!ET93*VLOOKUP('Données projet'!$B$15,Paramètres!$A$1:$I$89,3,0)*0.475*44/12</f>
        <v>2.3362653136223077</v>
      </c>
      <c r="EX93" s="21">
        <f>EXP(-LN(2)/2)*EX92+(1-EXP(-LN(2)/2))/(LN(2)/2)*ER93*EU93*VLOOKUP('Données projet'!$B$15,Paramètres!$A$1:$I$89,3,0)*0.475*44/12</f>
        <v>5.0716962423866344E-9</v>
      </c>
      <c r="EY93" s="22">
        <f t="shared" si="75"/>
        <v>4.2294740417416206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108.5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-1.7053025658242404E-13</v>
      </c>
      <c r="FF93" s="17">
        <f>FE93*VLOOKUP('Données projet'!$B$16,Paramètres!$A$1:$I$89,3,0)*VLOOKUP('Données projet'!$B$16,Paramètres!$A$1:$I$89,5,0)</f>
        <v>-9.7543306765146564E-14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242.10913976205194</v>
      </c>
      <c r="FK93" s="59">
        <f t="shared" si="102"/>
        <v>198.24795425321133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2.0533027725216582</v>
      </c>
      <c r="FS93" s="21">
        <f>EXP(-LN(2)/2)*FS92+(1-EXP(-LN(2)/2))/(LN(2)/2)*FM93*FP93*VLOOKUP('Données projet'!$B$16,Paramètres!$A$1:$I$89,3,0)*0.475*44/12</f>
        <v>1.2314582758915015E-8</v>
      </c>
      <c r="FT93" s="22">
        <f t="shared" si="78"/>
        <v>2.0533027848362408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108.5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108.5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44.504460000000009</v>
      </c>
      <c r="D94" s="11">
        <f t="shared" si="86"/>
        <v>13.185039316034567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244.92734797333983</v>
      </c>
      <c r="H94" s="67">
        <f t="shared" si="56"/>
        <v>498.30921130876021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108.5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5.6843418860808015E-14</v>
      </c>
      <c r="O94" s="13">
        <f>N94*VLOOKUP('Données projet'!$B$9,Paramètres!$A$1:$I$89,3,0)*VLOOKUP('Données projet'!$B$9,Paramètres!$A$1:$I$89,5,0)</f>
        <v>4.6111381379887463E-14</v>
      </c>
      <c r="P94" s="13">
        <f t="shared" si="87"/>
        <v>7.5804141040779151E-13</v>
      </c>
      <c r="Q94" s="20">
        <f t="shared" si="54"/>
        <v>1.4005661123635408E-12</v>
      </c>
      <c r="R94" s="59">
        <f t="shared" si="55"/>
        <v>434.50000000000142</v>
      </c>
      <c r="S94" s="59">
        <f ca="1">AVERAGE(OFFSET($R$3,0,0,'Données projet'!$E$9+1,1))-AVERAGE(OFFSET($H$3,0,0,'Données projet'!$E$9+1,1))</f>
        <v>273.89826011924487</v>
      </c>
      <c r="T94" s="59">
        <f t="shared" si="88"/>
        <v>332.17519939974227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1.5675861080427786</v>
      </c>
      <c r="AB94" s="21">
        <f>EXP(-LN(2)/2)*AB93+(1-EXP(-LN(2)/2))/(LN(2)/2)*V94*Y94*VLOOKUP('Données projet'!$B$9,Paramètres!$A$1:$I$89,3,0)*0.475*44/12</f>
        <v>7.2259252787040704E-9</v>
      </c>
      <c r="AC94" s="22">
        <f t="shared" si="57"/>
        <v>1.5675861152687038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108.5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18.5</v>
      </c>
      <c r="AI94" s="13">
        <f>IF('Données projet'!$A$62&gt;35,AI93+AH94-AQ93,IF(A94&lt;'Données projet'!$A$62,$AF$205^A94,IF(A94='Données projet'!$A$62,'Données projet'!$B$62,AI93+AH94-AQ93)))</f>
        <v>559.69999999999993</v>
      </c>
      <c r="AJ94" s="13">
        <f>AI94*VLOOKUP('Données projet'!$B$10,Paramètres!$A$1:$I$89,3,0)*VLOOKUP('Données projet'!$B$10,Paramètres!$A$1:$I$89,5,0)</f>
        <v>261.93959999999998</v>
      </c>
      <c r="AK94" s="13">
        <f t="shared" si="89"/>
        <v>63.135643285567426</v>
      </c>
      <c r="AL94" s="20">
        <f t="shared" si="58"/>
        <v>566.1727153890298</v>
      </c>
      <c r="AM94" s="59">
        <f t="shared" si="59"/>
        <v>1000.6727153890298</v>
      </c>
      <c r="AN94" s="59">
        <f ca="1">AVERAGE(OFFSET($AM$3,0,0,'Données projet'!$E$10+1,1))-AVERAGE(OFFSET($H$3,0,0,'Données projet'!$E$10+1,1))</f>
        <v>293.42903587188346</v>
      </c>
      <c r="AO94" s="59">
        <f t="shared" si="90"/>
        <v>267.80827667062124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0.93654209403792077</v>
      </c>
      <c r="AV94" s="21">
        <f>EXP(-LN(2)/25)*AV93+(1-EXP(-LN(2)/25))/(LN(2)/25)*Calculateur!AQ94*Calculateur!AS94*VLOOKUP('Données projet'!$B$10,Paramètres!$A$1:$I$89,3,0)*0.475*44/12</f>
        <v>1.4476336605774676</v>
      </c>
      <c r="AW94" s="21">
        <f>EXP(-LN(2)/2)*AW93+(1-EXP(-LN(2)/2))/(LN(2)/2)*AQ94*AT94*VLOOKUP('Données projet'!$B$10,Paramètres!$A$1:$I$89,3,0)*0.475*44/12</f>
        <v>6.4749258226157884E-9</v>
      </c>
      <c r="AX94" s="21">
        <f t="shared" si="60"/>
        <v>2.3841757610903143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108.5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4.9000000000000004</v>
      </c>
      <c r="BD94" s="12">
        <f>IF('Données projet'!$A$88&gt;35,BD93+BC94-BL93,IF(A94&lt;'Données projet'!$A$88,$BA$205^A94,IF(A94='Données projet'!$A$88,'Données projet'!$B$88,BD93+BC94-BL93)))</f>
        <v>258.90000000000043</v>
      </c>
      <c r="BE94" s="13">
        <f>BD94*VLOOKUP('Données projet'!$B$11,Paramètres!$A$1:$I$89,3,0)*VLOOKUP('Données projet'!$B$11,Paramètres!$A$1:$I$89,5,0)</f>
        <v>234.25272000000038</v>
      </c>
      <c r="BF94" s="13">
        <f t="shared" si="91"/>
        <v>57.2012362311714</v>
      </c>
      <c r="BG94" s="20">
        <f t="shared" si="61"/>
        <v>507.61564043595746</v>
      </c>
      <c r="BH94" s="59">
        <f t="shared" si="62"/>
        <v>942.1156404359574</v>
      </c>
      <c r="BI94" s="59">
        <f ca="1">AVERAGE(OFFSET($BH$3,0,0,'Données projet'!$E$11+1,1))-AVERAGE(OFFSET($H$3,0,0,'Données projet'!$E$11+1,1))</f>
        <v>324.41828402031939</v>
      </c>
      <c r="BJ94" s="59">
        <f t="shared" si="92"/>
        <v>233.01060088065992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0.57237362981390694</v>
      </c>
      <c r="BR94" s="21">
        <f>EXP(-LN(2)/2)*BR93+(1-EXP(-LN(2)/2))/(LN(2)/2)*BL94*BO94*VLOOKUP('Données projet'!$B$11,Paramètres!$A$1:$I$89,3,0)*0.475*44/12</f>
        <v>4.0759610375284676E-9</v>
      </c>
      <c r="BS94" s="22">
        <f t="shared" si="63"/>
        <v>0.57237363388986795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108.5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279.00060755204919</v>
      </c>
      <c r="CE94" s="59">
        <f t="shared" si="94"/>
        <v>333.91128554211014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2.1813695832612283</v>
      </c>
      <c r="CL94" s="21">
        <f>EXP(-LN(2)/25)*CL93+(1-EXP(-LN(2)/25))/(LN(2)/25)*Calculateur!CG94*Calculateur!CI94*VLOOKUP('Données projet'!$B$12,Paramètres!$A$1:$I$89,3,0)*0.475*44/12</f>
        <v>5.1287455415460732</v>
      </c>
      <c r="CM94" s="21">
        <f>EXP(-LN(2)/2)*CM93+(1-EXP(-LN(2)/2))/(LN(2)/2)*CG94*CJ94*VLOOKUP('Données projet'!$B$12,Paramètres!$A$1:$I$89,3,0)*0.475*44/12</f>
        <v>1.4194195053653551E-8</v>
      </c>
      <c r="CN94" s="22">
        <f t="shared" si="66"/>
        <v>7.3101151390014971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108.5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-1.1368683772161603E-13</v>
      </c>
      <c r="CU94" s="17">
        <f>CT94*VLOOKUP('Données projet'!$B$13,Paramètres!$A$1:$I$89,3,0)*VLOOKUP('Données projet'!$B$13,Paramètres!$A$1:$I$89,5,0)</f>
        <v>-6.7984728957526396E-14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380.01315081072897</v>
      </c>
      <c r="CZ94" s="59">
        <f t="shared" si="96"/>
        <v>404.90871625409181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1.0452395919793394</v>
      </c>
      <c r="DG94" s="21">
        <f>EXP(-LN(2)/25)*DG93+(1-EXP(-LN(2)/25))/(LN(2)/25)*Calculateur!DB94*Calculateur!DD94*VLOOKUP('Données projet'!$B$13,Paramètres!$A$1:$I$89,3,0)*0.475*44/12</f>
        <v>3.9325612033531572</v>
      </c>
      <c r="DH94" s="21">
        <f>EXP(-LN(2)/2)*DH93+(1-EXP(-LN(2)/2))/(LN(2)/2)*DB94*DE94*VLOOKUP('Données projet'!$B$13,Paramètres!$A$1:$I$89,3,0)*0.475*44/12</f>
        <v>1.9956094255768474E-8</v>
      </c>
      <c r="DI94" s="22">
        <f t="shared" si="69"/>
        <v>4.9778008152885915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108.5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-5.6843418860808015E-14</v>
      </c>
      <c r="DP94" s="17">
        <f>DO94*VLOOKUP('Données projet'!$B$14,Paramètres!$A$1:$I$89,3,0)*VLOOKUP('Données projet'!$B$14,Paramètres!$A$1:$I$89,5,0)</f>
        <v>-5.1431925385259088E-14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320.81451813551064</v>
      </c>
      <c r="DU94" s="59">
        <f t="shared" si="98"/>
        <v>522.80818268773976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0.5484188921391876</v>
      </c>
      <c r="EB94" s="21">
        <f>EXP(-LN(2)/25)*EB93+(1-EXP(-LN(2)/25))/(LN(2)/25)*Calculateur!DW94*Calculateur!DY94*VLOOKUP('Données projet'!$B$14,Paramètres!$A$1:$I$89,3,0)*0.475*44/12</f>
        <v>1.9213338568039331</v>
      </c>
      <c r="EC94" s="21">
        <f>EXP(-LN(2)/2)*EC93+(1-EXP(-LN(2)/2))/(LN(2)/2)*DW94*DZ94*VLOOKUP('Données projet'!$B$14,Paramètres!$A$1:$I$89,3,0)*0.475*44/12</f>
        <v>3.9439463415851627E-9</v>
      </c>
      <c r="ED94" s="22">
        <f t="shared" si="72"/>
        <v>2.4697527528870671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108.5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228.3393311631487</v>
      </c>
      <c r="EP94" s="59">
        <f t="shared" si="100"/>
        <v>266.26050497804033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1.856084054731953</v>
      </c>
      <c r="EW94" s="21">
        <f>EXP(-LN(2)/25)*EW93+(1-EXP(-LN(2)/25))/(LN(2)/25)*Calculateur!ER94*Calculateur!ET94*VLOOKUP('Données projet'!$B$15,Paramètres!$A$1:$I$89,3,0)*0.475*44/12</f>
        <v>2.2723800157624523</v>
      </c>
      <c r="EX94" s="21">
        <f>EXP(-LN(2)/2)*EX93+(1-EXP(-LN(2)/2))/(LN(2)/2)*ER94*EU94*VLOOKUP('Données projet'!$B$15,Paramètres!$A$1:$I$89,3,0)*0.475*44/12</f>
        <v>3.5862308051099212E-9</v>
      </c>
      <c r="EY94" s="22">
        <f t="shared" si="75"/>
        <v>4.128464074080636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108.5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-1.7053025658242404E-13</v>
      </c>
      <c r="FF94" s="17">
        <f>FE94*VLOOKUP('Données projet'!$B$16,Paramètres!$A$1:$I$89,3,0)*VLOOKUP('Données projet'!$B$16,Paramètres!$A$1:$I$89,5,0)</f>
        <v>-9.7543306765146564E-14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242.10913976205194</v>
      </c>
      <c r="FK94" s="59">
        <f t="shared" si="102"/>
        <v>198.24795425321133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1.9971551002285535</v>
      </c>
      <c r="FS94" s="21">
        <f>EXP(-LN(2)/2)*FS93+(1-EXP(-LN(2)/2))/(LN(2)/2)*FM94*FP94*VLOOKUP('Données projet'!$B$16,Paramètres!$A$1:$I$89,3,0)*0.475*44/12</f>
        <v>8.7077249763117502E-9</v>
      </c>
      <c r="FT94" s="22">
        <f t="shared" si="78"/>
        <v>1.9971551089362785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108.5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108.5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44.993520000000011</v>
      </c>
      <c r="D95" s="11">
        <f t="shared" si="86"/>
        <v>13.31298305188589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247.54690769397178</v>
      </c>
      <c r="H95" s="67">
        <f t="shared" si="56"/>
        <v>499.38382614870125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108.5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5.6843418860808015E-14</v>
      </c>
      <c r="O95" s="13">
        <f>N95*VLOOKUP('Données projet'!$B$9,Paramètres!$A$1:$I$89,3,0)*VLOOKUP('Données projet'!$B$9,Paramètres!$A$1:$I$89,5,0)</f>
        <v>4.6111381379887463E-14</v>
      </c>
      <c r="P95" s="13">
        <f t="shared" si="87"/>
        <v>7.5804141040779151E-13</v>
      </c>
      <c r="Q95" s="20">
        <f t="shared" si="54"/>
        <v>1.4005661123635408E-12</v>
      </c>
      <c r="R95" s="59">
        <f t="shared" si="55"/>
        <v>434.50000000000142</v>
      </c>
      <c r="S95" s="59">
        <f ca="1">AVERAGE(OFFSET($R$3,0,0,'Données projet'!$E$9+1,1))-AVERAGE(OFFSET($H$3,0,0,'Données projet'!$E$9+1,1))</f>
        <v>273.89826011924487</v>
      </c>
      <c r="T95" s="59">
        <f t="shared" si="88"/>
        <v>332.17519939974227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1.5247203834825782</v>
      </c>
      <c r="AB95" s="21">
        <f>EXP(-LN(2)/2)*AB94+(1-EXP(-LN(2)/2))/(LN(2)/2)*V95*Y95*VLOOKUP('Données projet'!$B$9,Paramètres!$A$1:$I$89,3,0)*0.475*44/12</f>
        <v>5.1095007649189415E-9</v>
      </c>
      <c r="AC95" s="22">
        <f t="shared" si="57"/>
        <v>1.524720388592079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108.5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18.5</v>
      </c>
      <c r="AI95" s="13">
        <f>IF('Données projet'!$A$62&gt;35,AI94+AH95-AQ94,IF(A95&lt;'Données projet'!$A$62,$AF$205^A95,IF(A95='Données projet'!$A$62,'Données projet'!$B$62,AI94+AH95-AQ94)))</f>
        <v>578.19999999999993</v>
      </c>
      <c r="AJ95" s="13">
        <f>AI95*VLOOKUP('Données projet'!$B$10,Paramètres!$A$1:$I$89,3,0)*VLOOKUP('Données projet'!$B$10,Paramètres!$A$1:$I$89,5,0)</f>
        <v>270.59759999999994</v>
      </c>
      <c r="AK95" s="13">
        <f t="shared" si="89"/>
        <v>64.976078766498532</v>
      </c>
      <c r="AL95" s="20">
        <f t="shared" si="58"/>
        <v>584.45749051831808</v>
      </c>
      <c r="AM95" s="59">
        <f t="shared" si="59"/>
        <v>1018.9574905183181</v>
      </c>
      <c r="AN95" s="59">
        <f ca="1">AVERAGE(OFFSET($AM$3,0,0,'Données projet'!$E$10+1,1))-AVERAGE(OFFSET($H$3,0,0,'Données projet'!$E$10+1,1))</f>
        <v>293.42903587188346</v>
      </c>
      <c r="AO95" s="59">
        <f t="shared" si="90"/>
        <v>267.80827667062124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0.91817707480810984</v>
      </c>
      <c r="AV95" s="21">
        <f>EXP(-LN(2)/25)*AV94+(1-EXP(-LN(2)/25))/(LN(2)/25)*Calculateur!AQ95*Calculateur!AS95*VLOOKUP('Données projet'!$B$10,Paramètres!$A$1:$I$89,3,0)*0.475*44/12</f>
        <v>1.4080480420012311</v>
      </c>
      <c r="AW95" s="21">
        <f>EXP(-LN(2)/2)*AW94+(1-EXP(-LN(2)/2))/(LN(2)/2)*AQ95*AT95*VLOOKUP('Données projet'!$B$10,Paramètres!$A$1:$I$89,3,0)*0.475*44/12</f>
        <v>4.5784639568515084E-9</v>
      </c>
      <c r="AX95" s="21">
        <f t="shared" si="60"/>
        <v>2.3262251213878047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108.5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4.9000000000000004</v>
      </c>
      <c r="BD95" s="12">
        <f>IF('Données projet'!$A$88&gt;35,BD94+BC95-BL94,IF(A95&lt;'Données projet'!$A$88,$BA$205^A95,IF(A95='Données projet'!$A$88,'Données projet'!$B$88,BD94+BC95-BL94)))</f>
        <v>263.80000000000041</v>
      </c>
      <c r="BE95" s="13">
        <f>BD95*VLOOKUP('Données projet'!$B$11,Paramètres!$A$1:$I$89,3,0)*VLOOKUP('Données projet'!$B$11,Paramètres!$A$1:$I$89,5,0)</f>
        <v>238.68624000000034</v>
      </c>
      <c r="BF95" s="13">
        <f t="shared" si="91"/>
        <v>58.156778382060978</v>
      </c>
      <c r="BG95" s="20">
        <f t="shared" si="61"/>
        <v>517.00159034875685</v>
      </c>
      <c r="BH95" s="59">
        <f t="shared" si="62"/>
        <v>951.50159034875685</v>
      </c>
      <c r="BI95" s="59">
        <f ca="1">AVERAGE(OFFSET($BH$3,0,0,'Données projet'!$E$11+1,1))-AVERAGE(OFFSET($H$3,0,0,'Données projet'!$E$11+1,1))</f>
        <v>324.41828402031939</v>
      </c>
      <c r="BJ95" s="59">
        <f t="shared" si="92"/>
        <v>233.01060088065992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0.55672204280682469</v>
      </c>
      <c r="BR95" s="21">
        <f>EXP(-LN(2)/2)*BR94+(1-EXP(-LN(2)/2))/(LN(2)/2)*BL95*BO95*VLOOKUP('Données projet'!$B$11,Paramètres!$A$1:$I$89,3,0)*0.475*44/12</f>
        <v>2.8821396894885354E-9</v>
      </c>
      <c r="BS95" s="22">
        <f t="shared" si="63"/>
        <v>0.55672204568896433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108.5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279.00060755204919</v>
      </c>
      <c r="CE95" s="59">
        <f t="shared" si="94"/>
        <v>333.91128554211014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2.1385942562375448</v>
      </c>
      <c r="CL95" s="21">
        <f>EXP(-LN(2)/25)*CL94+(1-EXP(-LN(2)/25))/(LN(2)/25)*Calculateur!CG95*Calculateur!CI95*VLOOKUP('Données projet'!$B$12,Paramètres!$A$1:$I$89,3,0)*0.475*44/12</f>
        <v>4.9884997250034901</v>
      </c>
      <c r="CM95" s="21">
        <f>EXP(-LN(2)/2)*CM94+(1-EXP(-LN(2)/2))/(LN(2)/2)*CG95*CJ95*VLOOKUP('Données projet'!$B$12,Paramètres!$A$1:$I$89,3,0)*0.475*44/12</f>
        <v>1.0036811575922976E-8</v>
      </c>
      <c r="CN95" s="22">
        <f t="shared" si="66"/>
        <v>7.1270939912778468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108.5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-1.1368683772161603E-13</v>
      </c>
      <c r="CU95" s="17">
        <f>CT95*VLOOKUP('Données projet'!$B$13,Paramètres!$A$1:$I$89,3,0)*VLOOKUP('Données projet'!$B$13,Paramètres!$A$1:$I$89,5,0)</f>
        <v>-6.7984728957526396E-14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380.01315081072897</v>
      </c>
      <c r="CZ95" s="59">
        <f t="shared" si="96"/>
        <v>404.90871625409181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1.0247430811138245</v>
      </c>
      <c r="DG95" s="21">
        <f>EXP(-LN(2)/25)*DG94+(1-EXP(-LN(2)/25))/(LN(2)/25)*Calculateur!DB95*Calculateur!DD95*VLOOKUP('Données projet'!$B$13,Paramètres!$A$1:$I$89,3,0)*0.475*44/12</f>
        <v>3.8250251104430593</v>
      </c>
      <c r="DH95" s="21">
        <f>EXP(-LN(2)/2)*DH94+(1-EXP(-LN(2)/2))/(LN(2)/2)*DB95*DE95*VLOOKUP('Données projet'!$B$13,Paramètres!$A$1:$I$89,3,0)*0.475*44/12</f>
        <v>1.4111089574251797E-8</v>
      </c>
      <c r="DI95" s="22">
        <f t="shared" si="69"/>
        <v>4.8497682056679725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108.5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-5.6843418860808015E-14</v>
      </c>
      <c r="DP95" s="17">
        <f>DO95*VLOOKUP('Données projet'!$B$14,Paramètres!$A$1:$I$89,3,0)*VLOOKUP('Données projet'!$B$14,Paramètres!$A$1:$I$89,5,0)</f>
        <v>-5.1431925385259088E-14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320.81451813551064</v>
      </c>
      <c r="DU95" s="59">
        <f t="shared" si="98"/>
        <v>522.80818268773976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0.53766473216683297</v>
      </c>
      <c r="EB95" s="21">
        <f>EXP(-LN(2)/25)*EB94+(1-EXP(-LN(2)/25))/(LN(2)/25)*Calculateur!DW95*Calculateur!DY95*VLOOKUP('Données projet'!$B$14,Paramètres!$A$1:$I$89,3,0)*0.475*44/12</f>
        <v>1.8687948814510733</v>
      </c>
      <c r="EC95" s="21">
        <f>EXP(-LN(2)/2)*EC94+(1-EXP(-LN(2)/2))/(LN(2)/2)*DW95*DZ95*VLOOKUP('Données projet'!$B$14,Paramètres!$A$1:$I$89,3,0)*0.475*44/12</f>
        <v>2.7887912027707443E-9</v>
      </c>
      <c r="ED95" s="22">
        <f t="shared" si="72"/>
        <v>2.4064596164066976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108.5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228.3393311631487</v>
      </c>
      <c r="EP95" s="59">
        <f t="shared" si="100"/>
        <v>266.26050497804033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1.8196873785181473</v>
      </c>
      <c r="EW95" s="21">
        <f>EXP(-LN(2)/25)*EW94+(1-EXP(-LN(2)/25))/(LN(2)/25)*Calculateur!ER95*Calculateur!ET95*VLOOKUP('Données projet'!$B$15,Paramètres!$A$1:$I$89,3,0)*0.475*44/12</f>
        <v>2.2102416647321568</v>
      </c>
      <c r="EX95" s="21">
        <f>EXP(-LN(2)/2)*EX94+(1-EXP(-LN(2)/2))/(LN(2)/2)*ER95*EU95*VLOOKUP('Données projet'!$B$15,Paramètres!$A$1:$I$89,3,0)*0.475*44/12</f>
        <v>2.5358481211933172E-9</v>
      </c>
      <c r="EY95" s="22">
        <f t="shared" si="75"/>
        <v>4.0299290457861519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108.5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-1.7053025658242404E-13</v>
      </c>
      <c r="FF95" s="17">
        <f>FE95*VLOOKUP('Données projet'!$B$16,Paramètres!$A$1:$I$89,3,0)*VLOOKUP('Données projet'!$B$16,Paramètres!$A$1:$I$89,5,0)</f>
        <v>-9.7543306765146564E-14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242.10913976205194</v>
      </c>
      <c r="FK95" s="59">
        <f t="shared" si="102"/>
        <v>198.24795425321133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1.9425427889869815</v>
      </c>
      <c r="FS95" s="21">
        <f>EXP(-LN(2)/2)*FS94+(1-EXP(-LN(2)/2))/(LN(2)/2)*FM95*FP95*VLOOKUP('Données projet'!$B$16,Paramètres!$A$1:$I$89,3,0)*0.475*44/12</f>
        <v>6.1572913794575075E-9</v>
      </c>
      <c r="FT95" s="22">
        <f t="shared" si="78"/>
        <v>1.9425427951442729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108.5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108.5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45.482580000000013</v>
      </c>
      <c r="D96" s="11">
        <f t="shared" si="86"/>
        <v>13.440765010089928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250.16578056915378</v>
      </c>
      <c r="H96" s="67">
        <f t="shared" si="56"/>
        <v>500.45815922590663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108.5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5.6843418860808015E-14</v>
      </c>
      <c r="O96" s="13">
        <f>N96*VLOOKUP('Données projet'!$B$9,Paramètres!$A$1:$I$89,3,0)*VLOOKUP('Données projet'!$B$9,Paramètres!$A$1:$I$89,5,0)</f>
        <v>4.6111381379887463E-14</v>
      </c>
      <c r="P96" s="13">
        <f t="shared" si="87"/>
        <v>7.5804141040779151E-13</v>
      </c>
      <c r="Q96" s="20">
        <f t="shared" si="54"/>
        <v>1.4005661123635408E-12</v>
      </c>
      <c r="R96" s="59">
        <f t="shared" si="55"/>
        <v>434.50000000000142</v>
      </c>
      <c r="S96" s="59">
        <f ca="1">AVERAGE(OFFSET($R$3,0,0,'Données projet'!$E$9+1,1))-AVERAGE(OFFSET($H$3,0,0,'Données projet'!$E$9+1,1))</f>
        <v>273.89826011924487</v>
      </c>
      <c r="T96" s="59">
        <f t="shared" si="88"/>
        <v>332.17519939974227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1.4830268244146869</v>
      </c>
      <c r="AB96" s="21">
        <f>EXP(-LN(2)/2)*AB95+(1-EXP(-LN(2)/2))/(LN(2)/2)*V96*Y96*VLOOKUP('Données projet'!$B$9,Paramètres!$A$1:$I$89,3,0)*0.475*44/12</f>
        <v>3.6129626393520352E-9</v>
      </c>
      <c r="AC96" s="22">
        <f t="shared" si="57"/>
        <v>1.4830268280276495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108.5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18.5</v>
      </c>
      <c r="AI96" s="13">
        <f>IF('Données projet'!$A$62&gt;35,AI95+AH96-AQ95,IF(A96&lt;'Données projet'!$A$62,$AF$205^A96,IF(A96='Données projet'!$A$62,'Données projet'!$B$62,AI95+AH96-AQ95)))</f>
        <v>596.69999999999993</v>
      </c>
      <c r="AJ96" s="13">
        <f>AI96*VLOOKUP('Données projet'!$B$10,Paramètres!$A$1:$I$89,3,0)*VLOOKUP('Données projet'!$B$10,Paramètres!$A$1:$I$89,5,0)</f>
        <v>279.25559999999996</v>
      </c>
      <c r="AK96" s="13">
        <f t="shared" si="89"/>
        <v>66.809671397146161</v>
      </c>
      <c r="AL96" s="20">
        <f t="shared" si="58"/>
        <v>602.73034768336277</v>
      </c>
      <c r="AM96" s="59">
        <f t="shared" si="59"/>
        <v>1037.2303476833627</v>
      </c>
      <c r="AN96" s="59">
        <f ca="1">AVERAGE(OFFSET($AM$3,0,0,'Données projet'!$E$10+1,1))-AVERAGE(OFFSET($H$3,0,0,'Données projet'!$E$10+1,1))</f>
        <v>293.42903587188346</v>
      </c>
      <c r="AO96" s="59">
        <f t="shared" si="90"/>
        <v>267.80827667062124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0.90017218240383978</v>
      </c>
      <c r="AV96" s="21">
        <f>EXP(-LN(2)/25)*AV95+(1-EXP(-LN(2)/25))/(LN(2)/25)*Calculateur!AQ96*Calculateur!AS96*VLOOKUP('Données projet'!$B$10,Paramètres!$A$1:$I$89,3,0)*0.475*44/12</f>
        <v>1.369544894246679</v>
      </c>
      <c r="AW96" s="21">
        <f>EXP(-LN(2)/2)*AW95+(1-EXP(-LN(2)/2))/(LN(2)/2)*AQ96*AT96*VLOOKUP('Données projet'!$B$10,Paramètres!$A$1:$I$89,3,0)*0.475*44/12</f>
        <v>3.2374629113078942E-9</v>
      </c>
      <c r="AX96" s="21">
        <f t="shared" si="60"/>
        <v>2.2697170798879815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108.5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4.9000000000000004</v>
      </c>
      <c r="BD96" s="12">
        <f>IF('Données projet'!$A$88&gt;35,BD95+BC96-BL95,IF(A96&lt;'Données projet'!$A$88,$BA$205^A96,IF(A96='Données projet'!$A$88,'Données projet'!$B$88,BD95+BC96-BL95)))</f>
        <v>268.70000000000039</v>
      </c>
      <c r="BE96" s="13">
        <f>BD96*VLOOKUP('Données projet'!$B$11,Paramètres!$A$1:$I$89,3,0)*VLOOKUP('Données projet'!$B$11,Paramètres!$A$1:$I$89,5,0)</f>
        <v>243.11976000000033</v>
      </c>
      <c r="BF96" s="13">
        <f t="shared" si="91"/>
        <v>59.110256668778582</v>
      </c>
      <c r="BG96" s="20">
        <f t="shared" si="61"/>
        <v>526.38394569812317</v>
      </c>
      <c r="BH96" s="59">
        <f t="shared" si="62"/>
        <v>960.88394569812317</v>
      </c>
      <c r="BI96" s="59">
        <f ca="1">AVERAGE(OFFSET($BH$3,0,0,'Données projet'!$E$11+1,1))-AVERAGE(OFFSET($H$3,0,0,'Données projet'!$E$11+1,1))</f>
        <v>324.41828402031939</v>
      </c>
      <c r="BJ96" s="59">
        <f t="shared" si="92"/>
        <v>233.01060088065992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0.54149844926953228</v>
      </c>
      <c r="BR96" s="21">
        <f>EXP(-LN(2)/2)*BR95+(1-EXP(-LN(2)/2))/(LN(2)/2)*BL96*BO96*VLOOKUP('Données projet'!$B$11,Paramètres!$A$1:$I$89,3,0)*0.475*44/12</f>
        <v>2.0379805187642338E-9</v>
      </c>
      <c r="BS96" s="22">
        <f t="shared" si="63"/>
        <v>0.54149845130751284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108.5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279.00060755204919</v>
      </c>
      <c r="CE96" s="59">
        <f t="shared" si="94"/>
        <v>333.91128554211014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2.0966577272864226</v>
      </c>
      <c r="CL96" s="21">
        <f>EXP(-LN(2)/25)*CL95+(1-EXP(-LN(2)/25))/(LN(2)/25)*Calculateur!CG96*Calculateur!CI96*VLOOKUP('Données projet'!$B$12,Paramètres!$A$1:$I$89,3,0)*0.475*44/12</f>
        <v>4.8520889376894702</v>
      </c>
      <c r="CM96" s="21">
        <f>EXP(-LN(2)/2)*CM95+(1-EXP(-LN(2)/2))/(LN(2)/2)*CG96*CJ96*VLOOKUP('Données projet'!$B$12,Paramètres!$A$1:$I$89,3,0)*0.475*44/12</f>
        <v>7.0970975268267753E-9</v>
      </c>
      <c r="CN96" s="22">
        <f t="shared" si="66"/>
        <v>6.94874667207299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108.5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-1.1368683772161603E-13</v>
      </c>
      <c r="CU96" s="17">
        <f>CT96*VLOOKUP('Données projet'!$B$13,Paramètres!$A$1:$I$89,3,0)*VLOOKUP('Données projet'!$B$13,Paramètres!$A$1:$I$89,5,0)</f>
        <v>-6.7984728957526396E-14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380.01315081072897</v>
      </c>
      <c r="CZ96" s="59">
        <f t="shared" si="96"/>
        <v>404.90871625409181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1.0046484943247451</v>
      </c>
      <c r="DG96" s="21">
        <f>EXP(-LN(2)/25)*DG95+(1-EXP(-LN(2)/25))/(LN(2)/25)*Calculateur!DB96*Calculateur!DD96*VLOOKUP('Données projet'!$B$13,Paramètres!$A$1:$I$89,3,0)*0.475*44/12</f>
        <v>3.7204295976486654</v>
      </c>
      <c r="DH96" s="21">
        <f>EXP(-LN(2)/2)*DH95+(1-EXP(-LN(2)/2))/(LN(2)/2)*DB96*DE96*VLOOKUP('Données projet'!$B$13,Paramètres!$A$1:$I$89,3,0)*0.475*44/12</f>
        <v>9.9780471278842371E-9</v>
      </c>
      <c r="DI96" s="22">
        <f t="shared" si="69"/>
        <v>4.7250781019514569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108.5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-5.6843418860808015E-14</v>
      </c>
      <c r="DP96" s="17">
        <f>DO96*VLOOKUP('Données projet'!$B$14,Paramètres!$A$1:$I$89,3,0)*VLOOKUP('Données projet'!$B$14,Paramètres!$A$1:$I$89,5,0)</f>
        <v>-5.1431925385259088E-14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320.81451813551064</v>
      </c>
      <c r="DU96" s="59">
        <f t="shared" si="98"/>
        <v>522.80818268773976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0.52712145471214633</v>
      </c>
      <c r="EB96" s="21">
        <f>EXP(-LN(2)/25)*EB95+(1-EXP(-LN(2)/25))/(LN(2)/25)*Calculateur!DW96*Calculateur!DY96*VLOOKUP('Données projet'!$B$14,Paramètres!$A$1:$I$89,3,0)*0.475*44/12</f>
        <v>1.8176925871421421</v>
      </c>
      <c r="EC96" s="21">
        <f>EXP(-LN(2)/2)*EC95+(1-EXP(-LN(2)/2))/(LN(2)/2)*DW96*DZ96*VLOOKUP('Données projet'!$B$14,Paramètres!$A$1:$I$89,3,0)*0.475*44/12</f>
        <v>1.9719731707925813E-9</v>
      </c>
      <c r="ED96" s="22">
        <f t="shared" si="72"/>
        <v>2.3448140438262617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108.5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228.3393311631487</v>
      </c>
      <c r="EP96" s="59">
        <f t="shared" si="100"/>
        <v>266.26050497804033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1.7840044189251139</v>
      </c>
      <c r="EW96" s="21">
        <f>EXP(-LN(2)/25)*EW95+(1-EXP(-LN(2)/25))/(LN(2)/25)*Calculateur!ER96*Calculateur!ET96*VLOOKUP('Données projet'!$B$15,Paramètres!$A$1:$I$89,3,0)*0.475*44/12</f>
        <v>2.1498024901784984</v>
      </c>
      <c r="EX96" s="21">
        <f>EXP(-LN(2)/2)*EX95+(1-EXP(-LN(2)/2))/(LN(2)/2)*ER96*EU96*VLOOKUP('Données projet'!$B$15,Paramètres!$A$1:$I$89,3,0)*0.475*44/12</f>
        <v>1.7931154025549606E-9</v>
      </c>
      <c r="EY96" s="22">
        <f t="shared" si="75"/>
        <v>3.933806910896728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108.5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-1.7053025658242404E-13</v>
      </c>
      <c r="FF96" s="17">
        <f>FE96*VLOOKUP('Données projet'!$B$16,Paramètres!$A$1:$I$89,3,0)*VLOOKUP('Données projet'!$B$16,Paramètres!$A$1:$I$89,5,0)</f>
        <v>-9.7543306765146564E-14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242.10913976205194</v>
      </c>
      <c r="FK96" s="59">
        <f t="shared" si="102"/>
        <v>198.24795425321133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1.8894238542682469</v>
      </c>
      <c r="FS96" s="21">
        <f>EXP(-LN(2)/2)*FS95+(1-EXP(-LN(2)/2))/(LN(2)/2)*FM96*FP96*VLOOKUP('Données projet'!$B$16,Paramètres!$A$1:$I$89,3,0)*0.475*44/12</f>
        <v>4.3538624881558751E-9</v>
      </c>
      <c r="FT96" s="22">
        <f t="shared" si="78"/>
        <v>1.8894238586221093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108.5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108.5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45.971640000000015</v>
      </c>
      <c r="D97" s="11">
        <f t="shared" si="86"/>
        <v>13.568387131534614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252.78397483914705</v>
      </c>
      <c r="H97" s="67">
        <f t="shared" si="56"/>
        <v>501.53221392075613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108.5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5.6843418860808015E-14</v>
      </c>
      <c r="O97" s="13">
        <f>N97*VLOOKUP('Données projet'!$B$9,Paramètres!$A$1:$I$89,3,0)*VLOOKUP('Données projet'!$B$9,Paramètres!$A$1:$I$89,5,0)</f>
        <v>4.6111381379887463E-14</v>
      </c>
      <c r="P97" s="13">
        <f t="shared" si="87"/>
        <v>7.5804141040779151E-13</v>
      </c>
      <c r="Q97" s="20">
        <f t="shared" si="54"/>
        <v>1.4005661123635408E-12</v>
      </c>
      <c r="R97" s="59">
        <f t="shared" si="55"/>
        <v>434.50000000000142</v>
      </c>
      <c r="S97" s="59">
        <f ca="1">AVERAGE(OFFSET($R$3,0,0,'Données projet'!$E$9+1,1))-AVERAGE(OFFSET($H$3,0,0,'Données projet'!$E$9+1,1))</f>
        <v>273.89826011924487</v>
      </c>
      <c r="T97" s="59">
        <f t="shared" si="88"/>
        <v>332.17519939974227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1.4424733779120762</v>
      </c>
      <c r="AB97" s="21">
        <f>EXP(-LN(2)/2)*AB96+(1-EXP(-LN(2)/2))/(LN(2)/2)*V97*Y97*VLOOKUP('Données projet'!$B$9,Paramètres!$A$1:$I$89,3,0)*0.475*44/12</f>
        <v>2.5547503824594707E-9</v>
      </c>
      <c r="AC97" s="22">
        <f t="shared" si="57"/>
        <v>1.4424733804668266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108.5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18.5</v>
      </c>
      <c r="AI97" s="13">
        <f>IF('Données projet'!$A$62&gt;35,AI96+AH97-AQ96,IF(A97&lt;'Données projet'!$A$62,$AF$205^A97,IF(A97='Données projet'!$A$62,'Données projet'!$B$62,AI96+AH97-AQ96)))</f>
        <v>615.19999999999993</v>
      </c>
      <c r="AJ97" s="13">
        <f>AI97*VLOOKUP('Données projet'!$B$10,Paramètres!$A$1:$I$89,3,0)*VLOOKUP('Données projet'!$B$10,Paramètres!$A$1:$I$89,5,0)</f>
        <v>287.91359999999997</v>
      </c>
      <c r="AK97" s="13">
        <f t="shared" si="89"/>
        <v>68.636657677063752</v>
      </c>
      <c r="AL97" s="20">
        <f t="shared" si="58"/>
        <v>620.99169878755254</v>
      </c>
      <c r="AM97" s="59">
        <f t="shared" si="59"/>
        <v>1055.4916987875527</v>
      </c>
      <c r="AN97" s="59">
        <f ca="1">AVERAGE(OFFSET($AM$3,0,0,'Données projet'!$E$10+1,1))-AVERAGE(OFFSET($H$3,0,0,'Données projet'!$E$10+1,1))</f>
        <v>293.42903587188346</v>
      </c>
      <c r="AO97" s="59">
        <f t="shared" si="90"/>
        <v>267.80827667062124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0.88252035495771752</v>
      </c>
      <c r="AV97" s="21">
        <f>EXP(-LN(2)/25)*AV96+(1-EXP(-LN(2)/25))/(LN(2)/25)*Calculateur!AQ97*Calculateur!AS97*VLOOKUP('Données projet'!$B$10,Paramètres!$A$1:$I$89,3,0)*0.475*44/12</f>
        <v>1.3320946170922678</v>
      </c>
      <c r="AW97" s="21">
        <f>EXP(-LN(2)/2)*AW96+(1-EXP(-LN(2)/2))/(LN(2)/2)*AQ97*AT97*VLOOKUP('Données projet'!$B$10,Paramètres!$A$1:$I$89,3,0)*0.475*44/12</f>
        <v>2.2892319784257542E-9</v>
      </c>
      <c r="AX97" s="21">
        <f t="shared" si="60"/>
        <v>2.2146149743392174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108.5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4.9000000000000004</v>
      </c>
      <c r="BD97" s="12">
        <f>IF('Données projet'!$A$88&gt;35,BD96+BC97-BL96,IF(A97&lt;'Données projet'!$A$88,$BA$205^A97,IF(A97='Données projet'!$A$88,'Données projet'!$B$88,BD96+BC97-BL96)))</f>
        <v>273.60000000000036</v>
      </c>
      <c r="BE97" s="13">
        <f>BD97*VLOOKUP('Données projet'!$B$11,Paramètres!$A$1:$I$89,3,0)*VLOOKUP('Données projet'!$B$11,Paramètres!$A$1:$I$89,5,0)</f>
        <v>247.55328000000031</v>
      </c>
      <c r="BF97" s="13">
        <f t="shared" si="91"/>
        <v>60.061713068870304</v>
      </c>
      <c r="BG97" s="20">
        <f t="shared" si="61"/>
        <v>535.76277959494962</v>
      </c>
      <c r="BH97" s="59">
        <f t="shared" si="62"/>
        <v>970.26277959494962</v>
      </c>
      <c r="BI97" s="59">
        <f ca="1">AVERAGE(OFFSET($BH$3,0,0,'Données projet'!$E$11+1,1))-AVERAGE(OFFSET($H$3,0,0,'Données projet'!$E$11+1,1))</f>
        <v>324.41828402031939</v>
      </c>
      <c r="BJ97" s="59">
        <f t="shared" si="92"/>
        <v>233.01060088065992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0.52669114569809106</v>
      </c>
      <c r="BR97" s="21">
        <f>EXP(-LN(2)/2)*BR96+(1-EXP(-LN(2)/2))/(LN(2)/2)*BL97*BO97*VLOOKUP('Données projet'!$B$11,Paramètres!$A$1:$I$89,3,0)*0.475*44/12</f>
        <v>1.4410698447442677E-9</v>
      </c>
      <c r="BS97" s="22">
        <f t="shared" si="63"/>
        <v>0.52669114713916088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108.5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279.00060755204919</v>
      </c>
      <c r="CE97" s="59">
        <f t="shared" si="94"/>
        <v>333.91128554211014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2.055543548089275</v>
      </c>
      <c r="CL97" s="21">
        <f>EXP(-LN(2)/25)*CL96+(1-EXP(-LN(2)/25))/(LN(2)/25)*Calculateur!CG97*Calculateur!CI97*VLOOKUP('Données projet'!$B$12,Paramètres!$A$1:$I$89,3,0)*0.475*44/12</f>
        <v>4.7194083105280837</v>
      </c>
      <c r="CM97" s="21">
        <f>EXP(-LN(2)/2)*CM96+(1-EXP(-LN(2)/2))/(LN(2)/2)*CG97*CJ97*VLOOKUP('Données projet'!$B$12,Paramètres!$A$1:$I$89,3,0)*0.475*44/12</f>
        <v>5.0184057879614881E-9</v>
      </c>
      <c r="CN97" s="22">
        <f t="shared" si="66"/>
        <v>6.7749518636357644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108.5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-1.1368683772161603E-13</v>
      </c>
      <c r="CU97" s="17">
        <f>CT97*VLOOKUP('Données projet'!$B$13,Paramètres!$A$1:$I$89,3,0)*VLOOKUP('Données projet'!$B$13,Paramètres!$A$1:$I$89,5,0)</f>
        <v>-6.7984728957526396E-14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380.01315081072897</v>
      </c>
      <c r="CZ97" s="59">
        <f t="shared" si="96"/>
        <v>404.90871625409181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0.98494795012611192</v>
      </c>
      <c r="DG97" s="21">
        <f>EXP(-LN(2)/25)*DG96+(1-EXP(-LN(2)/25))/(LN(2)/25)*Calculateur!DB97*Calculateur!DD97*VLOOKUP('Données projet'!$B$13,Paramètres!$A$1:$I$89,3,0)*0.475*44/12</f>
        <v>3.6186942546520733</v>
      </c>
      <c r="DH97" s="21">
        <f>EXP(-LN(2)/2)*DH96+(1-EXP(-LN(2)/2))/(LN(2)/2)*DB97*DE97*VLOOKUP('Données projet'!$B$13,Paramètres!$A$1:$I$89,3,0)*0.475*44/12</f>
        <v>7.0555447871258984E-9</v>
      </c>
      <c r="DI97" s="22">
        <f t="shared" si="69"/>
        <v>4.6036422118337299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108.5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-5.6843418860808015E-14</v>
      </c>
      <c r="DP97" s="17">
        <f>DO97*VLOOKUP('Données projet'!$B$14,Paramètres!$A$1:$I$89,3,0)*VLOOKUP('Données projet'!$B$14,Paramètres!$A$1:$I$89,5,0)</f>
        <v>-5.1431925385259088E-14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320.81451813551064</v>
      </c>
      <c r="DU97" s="59">
        <f t="shared" si="98"/>
        <v>522.80818268773976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0.51678492449758184</v>
      </c>
      <c r="EB97" s="21">
        <f>EXP(-LN(2)/25)*EB96+(1-EXP(-LN(2)/25))/(LN(2)/25)*Calculateur!DW97*Calculateur!DY97*VLOOKUP('Données projet'!$B$14,Paramètres!$A$1:$I$89,3,0)*0.475*44/12</f>
        <v>1.7679876877584415</v>
      </c>
      <c r="EC97" s="21">
        <f>EXP(-LN(2)/2)*EC96+(1-EXP(-LN(2)/2))/(LN(2)/2)*DW97*DZ97*VLOOKUP('Données projet'!$B$14,Paramètres!$A$1:$I$89,3,0)*0.475*44/12</f>
        <v>1.3943956013853721E-9</v>
      </c>
      <c r="ED97" s="22">
        <f t="shared" si="72"/>
        <v>2.2847726136504192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108.5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228.3393311631487</v>
      </c>
      <c r="EP97" s="59">
        <f t="shared" si="100"/>
        <v>266.26050497804033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1.7490211804052436</v>
      </c>
      <c r="EW97" s="21">
        <f>EXP(-LN(2)/25)*EW96+(1-EXP(-LN(2)/25))/(LN(2)/25)*Calculateur!ER97*Calculateur!ET97*VLOOKUP('Données projet'!$B$15,Paramètres!$A$1:$I$89,3,0)*0.475*44/12</f>
        <v>2.0910160280313681</v>
      </c>
      <c r="EX97" s="21">
        <f>EXP(-LN(2)/2)*EX96+(1-EXP(-LN(2)/2))/(LN(2)/2)*ER97*EU97*VLOOKUP('Données projet'!$B$15,Paramètres!$A$1:$I$89,3,0)*0.475*44/12</f>
        <v>1.2679240605966586E-9</v>
      </c>
      <c r="EY97" s="22">
        <f t="shared" si="75"/>
        <v>3.8400372097045357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108.5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-1.7053025658242404E-13</v>
      </c>
      <c r="FF97" s="17">
        <f>FE97*VLOOKUP('Données projet'!$B$16,Paramètres!$A$1:$I$89,3,0)*VLOOKUP('Données projet'!$B$16,Paramètres!$A$1:$I$89,5,0)</f>
        <v>-9.7543306765146564E-14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242.10913976205194</v>
      </c>
      <c r="FK97" s="59">
        <f t="shared" si="102"/>
        <v>198.24795425321133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1.8377574596127995</v>
      </c>
      <c r="FS97" s="21">
        <f>EXP(-LN(2)/2)*FS96+(1-EXP(-LN(2)/2))/(LN(2)/2)*FM97*FP97*VLOOKUP('Données projet'!$B$16,Paramètres!$A$1:$I$89,3,0)*0.475*44/12</f>
        <v>3.0786456897287538E-9</v>
      </c>
      <c r="FT97" s="22">
        <f t="shared" si="78"/>
        <v>1.8377574626914452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108.5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108.5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46.460700000000017</v>
      </c>
      <c r="D98" s="11">
        <f t="shared" si="86"/>
        <v>13.695851313433566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255.40149855878818</v>
      </c>
      <c r="H98" s="67">
        <f t="shared" si="56"/>
        <v>502.60599353756345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108.5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5.6843418860808015E-14</v>
      </c>
      <c r="O98" s="13">
        <f>N98*VLOOKUP('Données projet'!$B$9,Paramètres!$A$1:$I$89,3,0)*VLOOKUP('Données projet'!$B$9,Paramètres!$A$1:$I$89,5,0)</f>
        <v>4.6111381379887463E-14</v>
      </c>
      <c r="P98" s="13">
        <f t="shared" si="87"/>
        <v>7.5804141040779151E-13</v>
      </c>
      <c r="Q98" s="20">
        <f t="shared" si="54"/>
        <v>1.4005661123635408E-12</v>
      </c>
      <c r="R98" s="59">
        <f t="shared" si="55"/>
        <v>434.50000000000142</v>
      </c>
      <c r="S98" s="59">
        <f ca="1">AVERAGE(OFFSET($R$3,0,0,'Données projet'!$E$9+1,1))-AVERAGE(OFFSET($H$3,0,0,'Données projet'!$E$9+1,1))</f>
        <v>273.89826011924487</v>
      </c>
      <c r="T98" s="59">
        <f t="shared" si="88"/>
        <v>332.17519939974227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1.4030288675366924</v>
      </c>
      <c r="AB98" s="21">
        <f>EXP(-LN(2)/2)*AB97+(1-EXP(-LN(2)/2))/(LN(2)/2)*V98*Y98*VLOOKUP('Données projet'!$B$9,Paramètres!$A$1:$I$89,3,0)*0.475*44/12</f>
        <v>1.8064813196760176E-9</v>
      </c>
      <c r="AC98" s="22">
        <f t="shared" si="57"/>
        <v>1.4030288693431738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108.5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18.5</v>
      </c>
      <c r="AI98" s="13">
        <f>IF('Données projet'!$A$62&gt;35,AI97+AH98-AQ97,IF(A98&lt;'Données projet'!$A$62,$AF$205^A98,IF(A98='Données projet'!$A$62,'Données projet'!$B$62,AI97+AH98-AQ97)))</f>
        <v>633.69999999999993</v>
      </c>
      <c r="AJ98" s="13">
        <f>AI98*VLOOKUP('Données projet'!$B$10,Paramètres!$A$1:$I$89,3,0)*VLOOKUP('Données projet'!$B$10,Paramètres!$A$1:$I$89,5,0)</f>
        <v>296.57159999999999</v>
      </c>
      <c r="AK98" s="13">
        <f t="shared" si="89"/>
        <v>70.457259073622822</v>
      </c>
      <c r="AL98" s="20">
        <f t="shared" si="58"/>
        <v>639.24192955322633</v>
      </c>
      <c r="AM98" s="59">
        <f t="shared" si="59"/>
        <v>1073.7419295532263</v>
      </c>
      <c r="AN98" s="59">
        <f ca="1">AVERAGE(OFFSET($AM$3,0,0,'Données projet'!$E$10+1,1))-AVERAGE(OFFSET($H$3,0,0,'Données projet'!$E$10+1,1))</f>
        <v>293.42903587188346</v>
      </c>
      <c r="AO98" s="59">
        <f t="shared" si="90"/>
        <v>267.80827667062124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0.8652146690812621</v>
      </c>
      <c r="AV98" s="21">
        <f>EXP(-LN(2)/25)*AV97+(1-EXP(-LN(2)/25))/(LN(2)/25)*Calculateur!AQ98*Calculateur!AS98*VLOOKUP('Données projet'!$B$10,Paramètres!$A$1:$I$89,3,0)*0.475*44/12</f>
        <v>1.2956684197360684</v>
      </c>
      <c r="AW98" s="21">
        <f>EXP(-LN(2)/2)*AW97+(1-EXP(-LN(2)/2))/(LN(2)/2)*AQ98*AT98*VLOOKUP('Données projet'!$B$10,Paramètres!$A$1:$I$89,3,0)*0.475*44/12</f>
        <v>1.6187314556539471E-9</v>
      </c>
      <c r="AX98" s="21">
        <f t="shared" si="60"/>
        <v>2.1608830904360619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108.5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4.9000000000000004</v>
      </c>
      <c r="BD98" s="12">
        <f>IF('Données projet'!$A$88&gt;35,BD97+BC98-BL97,IF(A98&lt;'Données projet'!$A$88,$BA$205^A98,IF(A98='Données projet'!$A$88,'Données projet'!$B$88,BD97+BC98-BL97)))</f>
        <v>278.50000000000034</v>
      </c>
      <c r="BE98" s="13">
        <f>BD98*VLOOKUP('Données projet'!$B$11,Paramètres!$A$1:$I$89,3,0)*VLOOKUP('Données projet'!$B$11,Paramètres!$A$1:$I$89,5,0)</f>
        <v>251.98680000000033</v>
      </c>
      <c r="BF98" s="13">
        <f t="shared" si="91"/>
        <v>61.011187970195103</v>
      </c>
      <c r="BG98" s="20">
        <f t="shared" si="61"/>
        <v>545.13816238142374</v>
      </c>
      <c r="BH98" s="59">
        <f t="shared" si="62"/>
        <v>979.63816238142374</v>
      </c>
      <c r="BI98" s="59">
        <f ca="1">AVERAGE(OFFSET($BH$3,0,0,'Données projet'!$E$11+1,1))-AVERAGE(OFFSET($H$3,0,0,'Données projet'!$E$11+1,1))</f>
        <v>324.41828402031939</v>
      </c>
      <c r="BJ98" s="59">
        <f t="shared" si="92"/>
        <v>233.01060088065992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0.51228874862149321</v>
      </c>
      <c r="BR98" s="21">
        <f>EXP(-LN(2)/2)*BR97+(1-EXP(-LN(2)/2))/(LN(2)/2)*BL98*BO98*VLOOKUP('Données projet'!$B$11,Paramètres!$A$1:$I$89,3,0)*0.475*44/12</f>
        <v>1.0189902593821169E-9</v>
      </c>
      <c r="BS98" s="22">
        <f t="shared" si="63"/>
        <v>0.51228874964048343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108.5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279.00060755204919</v>
      </c>
      <c r="CE98" s="59">
        <f t="shared" si="94"/>
        <v>333.91128554211014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2.0152355928690104</v>
      </c>
      <c r="CL98" s="21">
        <f>EXP(-LN(2)/25)*CL97+(1-EXP(-LN(2)/25))/(LN(2)/25)*Calculateur!CG98*Calculateur!CI98*VLOOKUP('Données projet'!$B$12,Paramètres!$A$1:$I$89,3,0)*0.475*44/12</f>
        <v>4.5903558420937962</v>
      </c>
      <c r="CM98" s="21">
        <f>EXP(-LN(2)/2)*CM97+(1-EXP(-LN(2)/2))/(LN(2)/2)*CG98*CJ98*VLOOKUP('Données projet'!$B$12,Paramètres!$A$1:$I$89,3,0)*0.475*44/12</f>
        <v>3.5485487634133877E-9</v>
      </c>
      <c r="CN98" s="22">
        <f t="shared" si="66"/>
        <v>6.6055914385113557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108.5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-1.1368683772161603E-13</v>
      </c>
      <c r="CU98" s="17">
        <f>CT98*VLOOKUP('Données projet'!$B$13,Paramètres!$A$1:$I$89,3,0)*VLOOKUP('Données projet'!$B$13,Paramètres!$A$1:$I$89,5,0)</f>
        <v>-6.7984728957526396E-14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380.01315081072897</v>
      </c>
      <c r="CZ98" s="59">
        <f t="shared" si="96"/>
        <v>404.90871625409181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0.96563372158306837</v>
      </c>
      <c r="DG98" s="21">
        <f>EXP(-LN(2)/25)*DG97+(1-EXP(-LN(2)/25))/(LN(2)/25)*Calculateur!DB98*Calculateur!DD98*VLOOKUP('Données projet'!$B$13,Paramètres!$A$1:$I$89,3,0)*0.475*44/12</f>
        <v>3.5197408699597523</v>
      </c>
      <c r="DH98" s="21">
        <f>EXP(-LN(2)/2)*DH97+(1-EXP(-LN(2)/2))/(LN(2)/2)*DB98*DE98*VLOOKUP('Données projet'!$B$13,Paramètres!$A$1:$I$89,3,0)*0.475*44/12</f>
        <v>4.9890235639421186E-9</v>
      </c>
      <c r="DI98" s="22">
        <f t="shared" si="69"/>
        <v>4.4853745965318437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108.5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-5.6843418860808015E-14</v>
      </c>
      <c r="DP98" s="17">
        <f>DO98*VLOOKUP('Données projet'!$B$14,Paramètres!$A$1:$I$89,3,0)*VLOOKUP('Données projet'!$B$14,Paramètres!$A$1:$I$89,5,0)</f>
        <v>-5.1431925385259088E-14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320.81451813551064</v>
      </c>
      <c r="DU98" s="59">
        <f t="shared" si="98"/>
        <v>522.80818268773976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0.50665108733586406</v>
      </c>
      <c r="EB98" s="21">
        <f>EXP(-LN(2)/25)*EB97+(1-EXP(-LN(2)/25))/(LN(2)/25)*Calculateur!DW98*Calculateur!DY98*VLOOKUP('Données projet'!$B$14,Paramètres!$A$1:$I$89,3,0)*0.475*44/12</f>
        <v>1.7196419714622553</v>
      </c>
      <c r="EC98" s="21">
        <f>EXP(-LN(2)/2)*EC97+(1-EXP(-LN(2)/2))/(LN(2)/2)*DW98*DZ98*VLOOKUP('Données projet'!$B$14,Paramètres!$A$1:$I$89,3,0)*0.475*44/12</f>
        <v>9.8598658539629066E-10</v>
      </c>
      <c r="ED98" s="22">
        <f t="shared" si="72"/>
        <v>2.2262930597841057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108.5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228.3393311631487</v>
      </c>
      <c r="EP98" s="59">
        <f t="shared" si="100"/>
        <v>266.26050497804033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1.7147239418550793</v>
      </c>
      <c r="EW98" s="21">
        <f>EXP(-LN(2)/25)*EW97+(1-EXP(-LN(2)/25))/(LN(2)/25)*Calculateur!ER98*Calculateur!ET98*VLOOKUP('Données projet'!$B$15,Paramètres!$A$1:$I$89,3,0)*0.475*44/12</f>
        <v>2.0338370847830967</v>
      </c>
      <c r="EX98" s="21">
        <f>EXP(-LN(2)/2)*EX97+(1-EXP(-LN(2)/2))/(LN(2)/2)*ER98*EU98*VLOOKUP('Données projet'!$B$15,Paramètres!$A$1:$I$89,3,0)*0.475*44/12</f>
        <v>8.9655770127748031E-10</v>
      </c>
      <c r="EY98" s="22">
        <f t="shared" si="75"/>
        <v>3.7485610275347332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108.5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-1.7053025658242404E-13</v>
      </c>
      <c r="FF98" s="17">
        <f>FE98*VLOOKUP('Données projet'!$B$16,Paramètres!$A$1:$I$89,3,0)*VLOOKUP('Données projet'!$B$16,Paramètres!$A$1:$I$89,5,0)</f>
        <v>-9.7543306765146564E-14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242.10913976205194</v>
      </c>
      <c r="FK98" s="59">
        <f t="shared" si="102"/>
        <v>198.24795425321133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1.7875038852362228</v>
      </c>
      <c r="FS98" s="21">
        <f>EXP(-LN(2)/2)*FS97+(1-EXP(-LN(2)/2))/(LN(2)/2)*FM98*FP98*VLOOKUP('Données projet'!$B$16,Paramètres!$A$1:$I$89,3,0)*0.475*44/12</f>
        <v>2.1769312440779375E-9</v>
      </c>
      <c r="FT98" s="22">
        <f t="shared" si="78"/>
        <v>1.7875038874131541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108.5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108.5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46.949760000000019</v>
      </c>
      <c r="D99" s="11">
        <f t="shared" si="86"/>
        <v>13.823159410758063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258.01835960356942</v>
      </c>
      <c r="H99" s="67">
        <f t="shared" si="56"/>
        <v>503.67950130707027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108.5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5.6843418860808015E-14</v>
      </c>
      <c r="O99" s="13">
        <f>N99*VLOOKUP('Données projet'!$B$9,Paramètres!$A$1:$I$89,3,0)*VLOOKUP('Données projet'!$B$9,Paramètres!$A$1:$I$89,5,0)</f>
        <v>4.6111381379887463E-14</v>
      </c>
      <c r="P99" s="13">
        <f t="shared" si="87"/>
        <v>7.5804141040779151E-13</v>
      </c>
      <c r="Q99" s="20">
        <f t="shared" ref="Q99:Q130" si="107">(O99+P99)*0.475*44/12</f>
        <v>1.4005661123635408E-12</v>
      </c>
      <c r="R99" s="59">
        <f t="shared" si="55"/>
        <v>434.50000000000142</v>
      </c>
      <c r="S99" s="59">
        <f ca="1">AVERAGE(OFFSET($R$3,0,0,'Données projet'!$E$9+1,1))-AVERAGE(OFFSET($H$3,0,0,'Données projet'!$E$9+1,1))</f>
        <v>273.89826011924487</v>
      </c>
      <c r="T99" s="59">
        <f t="shared" si="88"/>
        <v>332.17519939974227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1.3646629693718202</v>
      </c>
      <c r="AB99" s="21">
        <f>EXP(-LN(2)/2)*AB98+(1-EXP(-LN(2)/2))/(LN(2)/2)*V99*Y99*VLOOKUP('Données projet'!$B$9,Paramètres!$A$1:$I$89,3,0)*0.475*44/12</f>
        <v>1.2773751912297354E-9</v>
      </c>
      <c r="AC99" s="22">
        <f t="shared" si="57"/>
        <v>1.3646629706491953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108.5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18.5</v>
      </c>
      <c r="AI99" s="13">
        <f>IF('Données projet'!$A$62&gt;35,AI98+AH99-AQ98,IF(A99&lt;'Données projet'!$A$62,$AF$205^A99,IF(A99='Données projet'!$A$62,'Données projet'!$B$62,AI98+AH99-AQ98)))</f>
        <v>652.19999999999993</v>
      </c>
      <c r="AJ99" s="13">
        <f>AI99*VLOOKUP('Données projet'!$B$10,Paramètres!$A$1:$I$89,3,0)*VLOOKUP('Données projet'!$B$10,Paramètres!$A$1:$I$89,5,0)</f>
        <v>305.22959999999995</v>
      </c>
      <c r="AK99" s="13">
        <f t="shared" si="89"/>
        <v>72.271683388093081</v>
      </c>
      <c r="AL99" s="20">
        <f t="shared" si="58"/>
        <v>657.48140190092874</v>
      </c>
      <c r="AM99" s="59">
        <f t="shared" si="59"/>
        <v>1091.9814019009286</v>
      </c>
      <c r="AN99" s="59">
        <f ca="1">AVERAGE(OFFSET($AM$3,0,0,'Données projet'!$E$10+1,1))-AVERAGE(OFFSET($H$3,0,0,'Données projet'!$E$10+1,1))</f>
        <v>293.42903587188346</v>
      </c>
      <c r="AO99" s="59">
        <f t="shared" si="90"/>
        <v>267.80827667062124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0.84824833714941783</v>
      </c>
      <c r="AV99" s="21">
        <f>EXP(-LN(2)/25)*AV98+(1-EXP(-LN(2)/25))/(LN(2)/25)*Calculateur!AQ99*Calculateur!AS99*VLOOKUP('Données projet'!$B$10,Paramètres!$A$1:$I$89,3,0)*0.475*44/12</f>
        <v>1.2602382986621448</v>
      </c>
      <c r="AW99" s="21">
        <f>EXP(-LN(2)/2)*AW98+(1-EXP(-LN(2)/2))/(LN(2)/2)*AQ99*AT99*VLOOKUP('Données projet'!$B$10,Paramètres!$A$1:$I$89,3,0)*0.475*44/12</f>
        <v>1.1446159892128771E-9</v>
      </c>
      <c r="AX99" s="21">
        <f t="shared" si="60"/>
        <v>2.1084866369561786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108.5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4.9000000000000004</v>
      </c>
      <c r="BD99" s="12">
        <f>IF('Données projet'!$A$88&gt;35,BD98+BC99-BL98,IF(A99&lt;'Données projet'!$A$88,$BA$205^A99,IF(A99='Données projet'!$A$88,'Données projet'!$B$88,BD98+BC99-BL98)))</f>
        <v>283.40000000000032</v>
      </c>
      <c r="BE99" s="13">
        <f>BD99*VLOOKUP('Données projet'!$B$11,Paramètres!$A$1:$I$89,3,0)*VLOOKUP('Données projet'!$B$11,Paramètres!$A$1:$I$89,5,0)</f>
        <v>256.42032000000029</v>
      </c>
      <c r="BF99" s="13">
        <f t="shared" si="91"/>
        <v>61.958720258016967</v>
      </c>
      <c r="BG99" s="20">
        <f t="shared" si="61"/>
        <v>554.51016178271334</v>
      </c>
      <c r="BH99" s="59">
        <f t="shared" si="62"/>
        <v>989.01016178271334</v>
      </c>
      <c r="BI99" s="59">
        <f ca="1">AVERAGE(OFFSET($BH$3,0,0,'Données projet'!$E$11+1,1))-AVERAGE(OFFSET($H$3,0,0,'Données projet'!$E$11+1,1))</f>
        <v>324.41828402031939</v>
      </c>
      <c r="BJ99" s="59">
        <f t="shared" si="92"/>
        <v>233.01060088065992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0.49828018585034406</v>
      </c>
      <c r="BR99" s="21">
        <f>EXP(-LN(2)/2)*BR98+(1-EXP(-LN(2)/2))/(LN(2)/2)*BL99*BO99*VLOOKUP('Données projet'!$B$11,Paramètres!$A$1:$I$89,3,0)*0.475*44/12</f>
        <v>7.2053492237213385E-10</v>
      </c>
      <c r="BS99" s="22">
        <f t="shared" si="63"/>
        <v>0.49828018657087897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108.5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279.00060755204919</v>
      </c>
      <c r="CE99" s="59">
        <f t="shared" si="94"/>
        <v>333.91128554211014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1.97571805206519</v>
      </c>
      <c r="CL99" s="21">
        <f>EXP(-LN(2)/25)*CL98+(1-EXP(-LN(2)/25))/(LN(2)/25)*Calculateur!CG99*Calculateur!CI99*VLOOKUP('Données projet'!$B$12,Paramètres!$A$1:$I$89,3,0)*0.475*44/12</f>
        <v>4.464832320195419</v>
      </c>
      <c r="CM99" s="21">
        <f>EXP(-LN(2)/2)*CM98+(1-EXP(-LN(2)/2))/(LN(2)/2)*CG99*CJ99*VLOOKUP('Données projet'!$B$12,Paramètres!$A$1:$I$89,3,0)*0.475*44/12</f>
        <v>2.5092028939807441E-9</v>
      </c>
      <c r="CN99" s="22">
        <f t="shared" si="66"/>
        <v>6.4405503747698116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108.5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-1.1368683772161603E-13</v>
      </c>
      <c r="CU99" s="17">
        <f>CT99*VLOOKUP('Données projet'!$B$13,Paramètres!$A$1:$I$89,3,0)*VLOOKUP('Données projet'!$B$13,Paramètres!$A$1:$I$89,5,0)</f>
        <v>-6.7984728957526396E-14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380.01315081072897</v>
      </c>
      <c r="CZ99" s="59">
        <f t="shared" si="96"/>
        <v>404.90871625409181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0.94669823328123781</v>
      </c>
      <c r="DG99" s="21">
        <f>EXP(-LN(2)/25)*DG98+(1-EXP(-LN(2)/25))/(LN(2)/25)*Calculateur!DB99*Calculateur!DD99*VLOOKUP('Données projet'!$B$13,Paramètres!$A$1:$I$89,3,0)*0.475*44/12</f>
        <v>3.4234933707755748</v>
      </c>
      <c r="DH99" s="21">
        <f>EXP(-LN(2)/2)*DH98+(1-EXP(-LN(2)/2))/(LN(2)/2)*DB99*DE99*VLOOKUP('Données projet'!$B$13,Paramètres!$A$1:$I$89,3,0)*0.475*44/12</f>
        <v>3.5277723935629492E-9</v>
      </c>
      <c r="DI99" s="22">
        <f t="shared" si="69"/>
        <v>4.3701916075845855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108.5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-5.6843418860808015E-14</v>
      </c>
      <c r="DP99" s="17">
        <f>DO99*VLOOKUP('Données projet'!$B$14,Paramètres!$A$1:$I$89,3,0)*VLOOKUP('Données projet'!$B$14,Paramètres!$A$1:$I$89,5,0)</f>
        <v>-5.1431925385259088E-14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320.81451813551064</v>
      </c>
      <c r="DU99" s="59">
        <f t="shared" si="98"/>
        <v>522.80818268773976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0.49671596853985717</v>
      </c>
      <c r="EB99" s="21">
        <f>EXP(-LN(2)/25)*EB98+(1-EXP(-LN(2)/25))/(LN(2)/25)*Calculateur!DW99*Calculateur!DY99*VLOOKUP('Données projet'!$B$14,Paramètres!$A$1:$I$89,3,0)*0.475*44/12</f>
        <v>1.6726182713205788</v>
      </c>
      <c r="EC99" s="21">
        <f>EXP(-LN(2)/2)*EC98+(1-EXP(-LN(2)/2))/(LN(2)/2)*DW99*DZ99*VLOOKUP('Données projet'!$B$14,Paramètres!$A$1:$I$89,3,0)*0.475*44/12</f>
        <v>6.9719780069268606E-10</v>
      </c>
      <c r="ED99" s="22">
        <f t="shared" si="72"/>
        <v>2.1693342405576339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108.5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228.3393311631487</v>
      </c>
      <c r="EP99" s="59">
        <f t="shared" si="100"/>
        <v>266.26050497804033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1.6810992512336338</v>
      </c>
      <c r="EW99" s="21">
        <f>EXP(-LN(2)/25)*EW98+(1-EXP(-LN(2)/25))/(LN(2)/25)*Calculateur!ER99*Calculateur!ET99*VLOOKUP('Données projet'!$B$15,Paramètres!$A$1:$I$89,3,0)*0.475*44/12</f>
        <v>1.978221702744859</v>
      </c>
      <c r="EX99" s="21">
        <f>EXP(-LN(2)/2)*EX98+(1-EXP(-LN(2)/2))/(LN(2)/2)*ER99*EU99*VLOOKUP('Données projet'!$B$15,Paramètres!$A$1:$I$89,3,0)*0.475*44/12</f>
        <v>6.339620302983293E-10</v>
      </c>
      <c r="EY99" s="22">
        <f t="shared" si="75"/>
        <v>3.659320954612455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108.5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-1.7053025658242404E-13</v>
      </c>
      <c r="FF99" s="17">
        <f>FE99*VLOOKUP('Données projet'!$B$16,Paramètres!$A$1:$I$89,3,0)*VLOOKUP('Données projet'!$B$16,Paramètres!$A$1:$I$89,5,0)</f>
        <v>-9.7543306765146564E-14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242.10913976205194</v>
      </c>
      <c r="FK99" s="59">
        <f t="shared" si="102"/>
        <v>198.24795425321133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1.7386244974936944</v>
      </c>
      <c r="FS99" s="21">
        <f>EXP(-LN(2)/2)*FS98+(1-EXP(-LN(2)/2))/(LN(2)/2)*FM99*FP99*VLOOKUP('Données projet'!$B$16,Paramètres!$A$1:$I$89,3,0)*0.475*44/12</f>
        <v>1.5393228448643769E-9</v>
      </c>
      <c r="FT99" s="22">
        <f t="shared" si="78"/>
        <v>1.7386244990330173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108.5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108.5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47.438820000000021</v>
      </c>
      <c r="D100" s="11">
        <f t="shared" si="86"/>
        <v>13.950313237607581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260.63456567545688</v>
      </c>
      <c r="H100" s="67">
        <f t="shared" si="56"/>
        <v>504.75274038883322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108.5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5.6843418860808015E-14</v>
      </c>
      <c r="O100" s="13">
        <f>N100*VLOOKUP('Données projet'!$B$9,Paramètres!$A$1:$I$89,3,0)*VLOOKUP('Données projet'!$B$9,Paramètres!$A$1:$I$89,5,0)</f>
        <v>4.6111381379887463E-14</v>
      </c>
      <c r="P100" s="13">
        <f t="shared" si="87"/>
        <v>7.5804141040779151E-13</v>
      </c>
      <c r="Q100" s="20">
        <f t="shared" si="107"/>
        <v>1.4005661123635408E-12</v>
      </c>
      <c r="R100" s="59">
        <f t="shared" si="55"/>
        <v>434.50000000000142</v>
      </c>
      <c r="S100" s="59">
        <f ca="1">AVERAGE(OFFSET($R$3,0,0,'Données projet'!$E$9+1,1))-AVERAGE(OFFSET($H$3,0,0,'Données projet'!$E$9+1,1))</f>
        <v>273.89826011924487</v>
      </c>
      <c r="T100" s="59">
        <f t="shared" si="88"/>
        <v>332.17519939974227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1.3273461887098412</v>
      </c>
      <c r="AB100" s="21">
        <f>EXP(-LN(2)/2)*AB99+(1-EXP(-LN(2)/2))/(LN(2)/2)*V100*Y100*VLOOKUP('Données projet'!$B$9,Paramètres!$A$1:$I$89,3,0)*0.475*44/12</f>
        <v>9.0324065983800879E-10</v>
      </c>
      <c r="AC100" s="22">
        <f t="shared" si="57"/>
        <v>1.3273461896130818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108.5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18.5</v>
      </c>
      <c r="AI100" s="13">
        <f>IF('Données projet'!$A$62&gt;35,AI99+AH100-AQ99,IF(A100&lt;'Données projet'!$A$62,$AF$205^A100,IF(A100='Données projet'!$A$62,'Données projet'!$B$62,AI99+AH100-AQ99)))</f>
        <v>670.69999999999993</v>
      </c>
      <c r="AJ100" s="13">
        <f>AI100*VLOOKUP('Données projet'!$B$10,Paramètres!$A$1:$I$89,3,0)*VLOOKUP('Données projet'!$B$10,Paramètres!$A$1:$I$89,5,0)</f>
        <v>313.88759999999996</v>
      </c>
      <c r="AK100" s="13">
        <f t="shared" si="89"/>
        <v>74.080125962367049</v>
      </c>
      <c r="AL100" s="20">
        <f t="shared" si="58"/>
        <v>675.71045605112249</v>
      </c>
      <c r="AM100" s="59">
        <f t="shared" si="59"/>
        <v>1110.2104560511225</v>
      </c>
      <c r="AN100" s="59">
        <f ca="1">AVERAGE(OFFSET($AM$3,0,0,'Données projet'!$E$10+1,1))-AVERAGE(OFFSET($H$3,0,0,'Données projet'!$E$10+1,1))</f>
        <v>293.42903587188346</v>
      </c>
      <c r="AO100" s="59">
        <f t="shared" si="90"/>
        <v>267.80827667062124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0.83161470463831633</v>
      </c>
      <c r="AV100" s="21">
        <f>EXP(-LN(2)/25)*AV99+(1-EXP(-LN(2)/25))/(LN(2)/25)*Calculateur!AQ100*Calculateur!AS100*VLOOKUP('Données projet'!$B$10,Paramètres!$A$1:$I$89,3,0)*0.475*44/12</f>
        <v>1.2257770161121766</v>
      </c>
      <c r="AW100" s="21">
        <f>EXP(-LN(2)/2)*AW99+(1-EXP(-LN(2)/2))/(LN(2)/2)*AQ100*AT100*VLOOKUP('Données projet'!$B$10,Paramètres!$A$1:$I$89,3,0)*0.475*44/12</f>
        <v>8.0936572782697355E-10</v>
      </c>
      <c r="AX100" s="21">
        <f t="shared" si="60"/>
        <v>2.0573917215598589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108.5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4.9000000000000004</v>
      </c>
      <c r="BD100" s="12">
        <f>IF('Données projet'!$A$88&gt;35,BD99+BC100-BL99,IF(A100&lt;'Données projet'!$A$88,$BA$205^A100,IF(A100='Données projet'!$A$88,'Données projet'!$B$88,BD99+BC100-BL99)))</f>
        <v>288.3000000000003</v>
      </c>
      <c r="BE100" s="13">
        <f>BD100*VLOOKUP('Données projet'!$B$11,Paramètres!$A$1:$I$89,3,0)*VLOOKUP('Données projet'!$B$11,Paramètres!$A$1:$I$89,5,0)</f>
        <v>260.85384000000028</v>
      </c>
      <c r="BF100" s="13">
        <f t="shared" si="91"/>
        <v>62.90434739590382</v>
      </c>
      <c r="BG100" s="20">
        <f t="shared" si="61"/>
        <v>563.87884304786633</v>
      </c>
      <c r="BH100" s="59">
        <f t="shared" si="62"/>
        <v>998.37884304786633</v>
      </c>
      <c r="BI100" s="59">
        <f ca="1">AVERAGE(OFFSET($BH$3,0,0,'Données projet'!$E$11+1,1))-AVERAGE(OFFSET($H$3,0,0,'Données projet'!$E$11+1,1))</f>
        <v>324.41828402031939</v>
      </c>
      <c r="BJ100" s="59">
        <f t="shared" si="92"/>
        <v>233.01060088065992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0.48465468796485028</v>
      </c>
      <c r="BR100" s="21">
        <f>EXP(-LN(2)/2)*BR99+(1-EXP(-LN(2)/2))/(LN(2)/2)*BL100*BO100*VLOOKUP('Données projet'!$B$11,Paramètres!$A$1:$I$89,3,0)*0.475*44/12</f>
        <v>5.0949512969105845E-10</v>
      </c>
      <c r="BS100" s="22">
        <f t="shared" si="63"/>
        <v>0.4846546884743454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108.5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279.00060755204919</v>
      </c>
      <c r="CE100" s="59">
        <f t="shared" si="94"/>
        <v>333.91128554211014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1.9369754261332128</v>
      </c>
      <c r="CL100" s="21">
        <f>EXP(-LN(2)/25)*CL99+(1-EXP(-LN(2)/25))/(LN(2)/25)*Calculateur!CG100*Calculateur!CI100*VLOOKUP('Données projet'!$B$12,Paramètres!$A$1:$I$89,3,0)*0.475*44/12</f>
        <v>4.3427412456043477</v>
      </c>
      <c r="CM100" s="21">
        <f>EXP(-LN(2)/2)*CM99+(1-EXP(-LN(2)/2))/(LN(2)/2)*CG100*CJ100*VLOOKUP('Données projet'!$B$12,Paramètres!$A$1:$I$89,3,0)*0.475*44/12</f>
        <v>1.7742743817066938E-9</v>
      </c>
      <c r="CN100" s="22">
        <f t="shared" si="66"/>
        <v>6.2797166735118344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108.5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-1.1368683772161603E-13</v>
      </c>
      <c r="CU100" s="17">
        <f>CT100*VLOOKUP('Données projet'!$B$13,Paramètres!$A$1:$I$89,3,0)*VLOOKUP('Données projet'!$B$13,Paramètres!$A$1:$I$89,5,0)</f>
        <v>-6.7984728957526396E-14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380.01315081072897</v>
      </c>
      <c r="CZ100" s="59">
        <f t="shared" si="96"/>
        <v>404.90871625409181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0.92813405835549867</v>
      </c>
      <c r="DG100" s="21">
        <f>EXP(-LN(2)/25)*DG99+(1-EXP(-LN(2)/25))/(LN(2)/25)*Calculateur!DB100*Calculateur!DD100*VLOOKUP('Données projet'!$B$13,Paramètres!$A$1:$I$89,3,0)*0.475*44/12</f>
        <v>3.3298777645180246</v>
      </c>
      <c r="DH100" s="21">
        <f>EXP(-LN(2)/2)*DH99+(1-EXP(-LN(2)/2))/(LN(2)/2)*DB100*DE100*VLOOKUP('Données projet'!$B$13,Paramètres!$A$1:$I$89,3,0)*0.475*44/12</f>
        <v>2.4945117819710593E-9</v>
      </c>
      <c r="DI100" s="22">
        <f t="shared" si="69"/>
        <v>4.2580118253680359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108.5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-5.6843418860808015E-14</v>
      </c>
      <c r="DP100" s="17">
        <f>DO100*VLOOKUP('Données projet'!$B$14,Paramètres!$A$1:$I$89,3,0)*VLOOKUP('Données projet'!$B$14,Paramètres!$A$1:$I$89,5,0)</f>
        <v>-5.1431925385259088E-14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320.81451813551064</v>
      </c>
      <c r="DU100" s="59">
        <f t="shared" si="98"/>
        <v>522.80818268773976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0.48697567136361591</v>
      </c>
      <c r="EB100" s="21">
        <f>EXP(-LN(2)/25)*EB99+(1-EXP(-LN(2)/25))/(LN(2)/25)*Calculateur!DW100*Calculateur!DY100*VLOOKUP('Données projet'!$B$14,Paramètres!$A$1:$I$89,3,0)*0.475*44/12</f>
        <v>1.6268804367321454</v>
      </c>
      <c r="EC100" s="21">
        <f>EXP(-LN(2)/2)*EC99+(1-EXP(-LN(2)/2))/(LN(2)/2)*DW100*DZ100*VLOOKUP('Données projet'!$B$14,Paramètres!$A$1:$I$89,3,0)*0.475*44/12</f>
        <v>4.9299329269814533E-10</v>
      </c>
      <c r="ED100" s="22">
        <f t="shared" si="72"/>
        <v>2.1138561085887546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108.5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228.3393311631487</v>
      </c>
      <c r="EP100" s="59">
        <f t="shared" si="100"/>
        <v>266.26050497804033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1.6481339202862386</v>
      </c>
      <c r="EW100" s="21">
        <f>EXP(-LN(2)/25)*EW99+(1-EXP(-LN(2)/25))/(LN(2)/25)*Calculateur!ER100*Calculateur!ET100*VLOOKUP('Données projet'!$B$15,Paramètres!$A$1:$I$89,3,0)*0.475*44/12</f>
        <v>1.9241271262531427</v>
      </c>
      <c r="EX100" s="21">
        <f>EXP(-LN(2)/2)*EX99+(1-EXP(-LN(2)/2))/(LN(2)/2)*ER100*EU100*VLOOKUP('Données projet'!$B$15,Paramètres!$A$1:$I$89,3,0)*0.475*44/12</f>
        <v>4.4827885063874015E-10</v>
      </c>
      <c r="EY100" s="22">
        <f t="shared" si="75"/>
        <v>3.5722610469876601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108.5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-1.7053025658242404E-13</v>
      </c>
      <c r="FF100" s="17">
        <f>FE100*VLOOKUP('Données projet'!$B$16,Paramètres!$A$1:$I$89,3,0)*VLOOKUP('Données projet'!$B$16,Paramètres!$A$1:$I$89,5,0)</f>
        <v>-9.7543306765146564E-14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242.10913976205194</v>
      </c>
      <c r="FK100" s="59">
        <f t="shared" si="102"/>
        <v>198.24795425321133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1.6910817191794407</v>
      </c>
      <c r="FS100" s="21">
        <f>EXP(-LN(2)/2)*FS99+(1-EXP(-LN(2)/2))/(LN(2)/2)*FM100*FP100*VLOOKUP('Données projet'!$B$16,Paramètres!$A$1:$I$89,3,0)*0.475*44/12</f>
        <v>1.0884656220389688E-9</v>
      </c>
      <c r="FT100" s="22">
        <f t="shared" si="78"/>
        <v>1.6910817202679063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108.5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108.5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47.927880000000023</v>
      </c>
      <c r="D101" s="11">
        <f t="shared" si="86"/>
        <v>14.077314568522208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263.25012430846283</v>
      </c>
      <c r="H101" s="67">
        <f t="shared" si="56"/>
        <v>505.82571387350953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108.5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5.6843418860808015E-14</v>
      </c>
      <c r="O101" s="13">
        <f>N101*VLOOKUP('Données projet'!$B$9,Paramètres!$A$1:$I$89,3,0)*VLOOKUP('Données projet'!$B$9,Paramètres!$A$1:$I$89,5,0)</f>
        <v>4.6111381379887463E-14</v>
      </c>
      <c r="P101" s="13">
        <f t="shared" si="87"/>
        <v>7.5804141040779151E-13</v>
      </c>
      <c r="Q101" s="20">
        <f t="shared" si="107"/>
        <v>1.4005661123635408E-12</v>
      </c>
      <c r="R101" s="59">
        <f t="shared" si="55"/>
        <v>434.50000000000142</v>
      </c>
      <c r="S101" s="59">
        <f ca="1">AVERAGE(OFFSET($R$3,0,0,'Données projet'!$E$9+1,1))-AVERAGE(OFFSET($H$3,0,0,'Données projet'!$E$9+1,1))</f>
        <v>273.89826011924487</v>
      </c>
      <c r="T101" s="59">
        <f t="shared" si="88"/>
        <v>332.17519939974227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1.2910498373774681</v>
      </c>
      <c r="AB101" s="21">
        <f>EXP(-LN(2)/2)*AB100+(1-EXP(-LN(2)/2))/(LN(2)/2)*V101*Y101*VLOOKUP('Données projet'!$B$9,Paramètres!$A$1:$I$89,3,0)*0.475*44/12</f>
        <v>6.3868759561486768E-10</v>
      </c>
      <c r="AC101" s="22">
        <f t="shared" si="57"/>
        <v>1.2910498380161557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108.5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18.5</v>
      </c>
      <c r="AI101" s="13">
        <f>IF('Données projet'!$A$62&gt;35,AI100+AH101-AQ100,IF(A101&lt;'Données projet'!$A$62,$AF$205^A101,IF(A101='Données projet'!$A$62,'Données projet'!$B$62,AI100+AH101-AQ100)))</f>
        <v>689.19999999999993</v>
      </c>
      <c r="AJ101" s="13">
        <f>AI101*VLOOKUP('Données projet'!$B$10,Paramètres!$A$1:$I$89,3,0)*VLOOKUP('Données projet'!$B$10,Paramètres!$A$1:$I$89,5,0)</f>
        <v>322.54559999999998</v>
      </c>
      <c r="AK101" s="13">
        <f t="shared" si="89"/>
        <v>75.882770748800752</v>
      </c>
      <c r="AL101" s="20">
        <f t="shared" si="58"/>
        <v>693.92941238749461</v>
      </c>
      <c r="AM101" s="59">
        <f t="shared" si="59"/>
        <v>1128.4294123874947</v>
      </c>
      <c r="AN101" s="59">
        <f ca="1">AVERAGE(OFFSET($AM$3,0,0,'Données projet'!$E$10+1,1))-AVERAGE(OFFSET($H$3,0,0,'Données projet'!$E$10+1,1))</f>
        <v>293.42903587188346</v>
      </c>
      <c r="AO101" s="59">
        <f t="shared" si="90"/>
        <v>267.80827667062124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0.81530724751524353</v>
      </c>
      <c r="AV101" s="21">
        <f>EXP(-LN(2)/25)*AV100+(1-EXP(-LN(2)/25))/(LN(2)/25)*Calculateur!AQ101*Calculateur!AS101*VLOOKUP('Données projet'!$B$10,Paramètres!$A$1:$I$89,3,0)*0.475*44/12</f>
        <v>1.1922580791457773</v>
      </c>
      <c r="AW101" s="21">
        <f>EXP(-LN(2)/2)*AW100+(1-EXP(-LN(2)/2))/(LN(2)/2)*AQ101*AT101*VLOOKUP('Données projet'!$B$10,Paramètres!$A$1:$I$89,3,0)*0.475*44/12</f>
        <v>5.7230799460643855E-10</v>
      </c>
      <c r="AX101" s="21">
        <f t="shared" si="60"/>
        <v>2.0075653272333289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108.5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4.9000000000000004</v>
      </c>
      <c r="BD101" s="12">
        <f>IF('Données projet'!$A$88&gt;35,BD100+BC101-BL100,IF(A101&lt;'Données projet'!$A$88,$BA$205^A101,IF(A101='Données projet'!$A$88,'Données projet'!$B$88,BD100+BC101-BL100)))</f>
        <v>293.20000000000027</v>
      </c>
      <c r="BE101" s="13">
        <f>BD101*VLOOKUP('Données projet'!$B$11,Paramètres!$A$1:$I$89,3,0)*VLOOKUP('Données projet'!$B$11,Paramètres!$A$1:$I$89,5,0)</f>
        <v>265.28736000000026</v>
      </c>
      <c r="BF101" s="13">
        <f t="shared" si="91"/>
        <v>63.848105500970064</v>
      </c>
      <c r="BG101" s="20">
        <f t="shared" si="61"/>
        <v>573.24426908085661</v>
      </c>
      <c r="BH101" s="59">
        <f t="shared" si="62"/>
        <v>1007.7442690808566</v>
      </c>
      <c r="BI101" s="59">
        <f ca="1">AVERAGE(OFFSET($BH$3,0,0,'Données projet'!$E$11+1,1))-AVERAGE(OFFSET($H$3,0,0,'Données projet'!$E$11+1,1))</f>
        <v>324.41828402031939</v>
      </c>
      <c r="BJ101" s="59">
        <f t="shared" si="92"/>
        <v>233.01060088065992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0.4714017800355691</v>
      </c>
      <c r="BR101" s="21">
        <f>EXP(-LN(2)/2)*BR100+(1-EXP(-LN(2)/2))/(LN(2)/2)*BL101*BO101*VLOOKUP('Données projet'!$B$11,Paramètres!$A$1:$I$89,3,0)*0.475*44/12</f>
        <v>3.6026746118606693E-10</v>
      </c>
      <c r="BS101" s="22">
        <f t="shared" si="63"/>
        <v>0.47140178039583658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108.5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279.00060755204919</v>
      </c>
      <c r="CE101" s="59">
        <f t="shared" si="94"/>
        <v>333.91128554211014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1.8989925194650932</v>
      </c>
      <c r="CL101" s="21">
        <f>EXP(-LN(2)/25)*CL100+(1-EXP(-LN(2)/25))/(LN(2)/25)*Calculateur!CG101*Calculateur!CI101*VLOOKUP('Données projet'!$B$12,Paramètres!$A$1:$I$89,3,0)*0.475*44/12</f>
        <v>4.2239887578684598</v>
      </c>
      <c r="CM101" s="21">
        <f>EXP(-LN(2)/2)*CM100+(1-EXP(-LN(2)/2))/(LN(2)/2)*CG101*CJ101*VLOOKUP('Données projet'!$B$12,Paramètres!$A$1:$I$89,3,0)*0.475*44/12</f>
        <v>1.254601446990372E-9</v>
      </c>
      <c r="CN101" s="22">
        <f t="shared" si="66"/>
        <v>6.1229812785881546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108.5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-1.1368683772161603E-13</v>
      </c>
      <c r="CU101" s="17">
        <f>CT101*VLOOKUP('Données projet'!$B$13,Paramètres!$A$1:$I$89,3,0)*VLOOKUP('Données projet'!$B$13,Paramètres!$A$1:$I$89,5,0)</f>
        <v>-6.7984728957526396E-14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380.01315081072897</v>
      </c>
      <c r="CZ101" s="59">
        <f t="shared" si="96"/>
        <v>404.90871625409181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0.90993391557702463</v>
      </c>
      <c r="DG101" s="21">
        <f>EXP(-LN(2)/25)*DG100+(1-EXP(-LN(2)/25))/(LN(2)/25)*Calculateur!DB101*Calculateur!DD101*VLOOKUP('Données projet'!$B$13,Paramètres!$A$1:$I$89,3,0)*0.475*44/12</f>
        <v>3.2388220819366182</v>
      </c>
      <c r="DH101" s="21">
        <f>EXP(-LN(2)/2)*DH100+(1-EXP(-LN(2)/2))/(LN(2)/2)*DB101*DE101*VLOOKUP('Données projet'!$B$13,Paramètres!$A$1:$I$89,3,0)*0.475*44/12</f>
        <v>1.7638861967814746E-9</v>
      </c>
      <c r="DI101" s="22">
        <f t="shared" si="69"/>
        <v>4.1487559992775287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108.5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-5.6843418860808015E-14</v>
      </c>
      <c r="DP101" s="17">
        <f>DO101*VLOOKUP('Données projet'!$B$14,Paramètres!$A$1:$I$89,3,0)*VLOOKUP('Données projet'!$B$14,Paramètres!$A$1:$I$89,5,0)</f>
        <v>-5.1431925385259088E-14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320.81451813551064</v>
      </c>
      <c r="DU101" s="59">
        <f t="shared" si="98"/>
        <v>522.80818268773976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0.47742637547400607</v>
      </c>
      <c r="EB101" s="21">
        <f>EXP(-LN(2)/25)*EB100+(1-EXP(-LN(2)/25))/(LN(2)/25)*Calculateur!DW101*Calculateur!DY101*VLOOKUP('Données projet'!$B$14,Paramètres!$A$1:$I$89,3,0)*0.475*44/12</f>
        <v>1.5823933056357811</v>
      </c>
      <c r="EC101" s="21">
        <f>EXP(-LN(2)/2)*EC100+(1-EXP(-LN(2)/2))/(LN(2)/2)*DW101*DZ101*VLOOKUP('Données projet'!$B$14,Paramètres!$A$1:$I$89,3,0)*0.475*44/12</f>
        <v>3.4859890034634303E-10</v>
      </c>
      <c r="ED101" s="22">
        <f t="shared" si="72"/>
        <v>2.0598196814583862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108.5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228.3393311631487</v>
      </c>
      <c r="EP101" s="59">
        <f t="shared" si="100"/>
        <v>266.26050497804033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1.6158150193718555</v>
      </c>
      <c r="EW101" s="21">
        <f>EXP(-LN(2)/25)*EW100+(1-EXP(-LN(2)/25))/(LN(2)/25)*Calculateur!ER101*Calculateur!ET101*VLOOKUP('Données projet'!$B$15,Paramètres!$A$1:$I$89,3,0)*0.475*44/12</f>
        <v>1.8715117688003027</v>
      </c>
      <c r="EX101" s="21">
        <f>EXP(-LN(2)/2)*EX100+(1-EXP(-LN(2)/2))/(LN(2)/2)*ER101*EU101*VLOOKUP('Données projet'!$B$15,Paramètres!$A$1:$I$89,3,0)*0.475*44/12</f>
        <v>3.1698101514916465E-10</v>
      </c>
      <c r="EY101" s="22">
        <f t="shared" si="75"/>
        <v>3.4873267884891392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108.5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-1.7053025658242404E-13</v>
      </c>
      <c r="FF101" s="17">
        <f>FE101*VLOOKUP('Données projet'!$B$16,Paramètres!$A$1:$I$89,3,0)*VLOOKUP('Données projet'!$B$16,Paramètres!$A$1:$I$89,5,0)</f>
        <v>-9.7543306765146564E-14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242.10913976205194</v>
      </c>
      <c r="FK101" s="59">
        <f t="shared" si="102"/>
        <v>198.24795425321133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1.6448390006383564</v>
      </c>
      <c r="FS101" s="21">
        <f>EXP(-LN(2)/2)*FS100+(1-EXP(-LN(2)/2))/(LN(2)/2)*FM101*FP101*VLOOKUP('Données projet'!$B$16,Paramètres!$A$1:$I$89,3,0)*0.475*44/12</f>
        <v>7.6966142243218844E-10</v>
      </c>
      <c r="FT101" s="22">
        <f t="shared" si="78"/>
        <v>1.6448390014080179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108.5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108.5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48.416940000000025</v>
      </c>
      <c r="D102" s="11">
        <f t="shared" si="86"/>
        <v>14.204165139740002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265.86504287398401</v>
      </c>
      <c r="H102" s="67">
        <f t="shared" si="56"/>
        <v>506.89842478504721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108.5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5.6843418860808015E-14</v>
      </c>
      <c r="O102" s="13">
        <f>N102*VLOOKUP('Données projet'!$B$9,Paramètres!$A$1:$I$89,3,0)*VLOOKUP('Données projet'!$B$9,Paramètres!$A$1:$I$89,5,0)</f>
        <v>4.6111381379887463E-14</v>
      </c>
      <c r="P102" s="13">
        <f t="shared" si="87"/>
        <v>7.5804141040779151E-13</v>
      </c>
      <c r="Q102" s="20">
        <f t="shared" si="107"/>
        <v>1.4005661123635408E-12</v>
      </c>
      <c r="R102" s="59">
        <f t="shared" si="55"/>
        <v>434.50000000000142</v>
      </c>
      <c r="S102" s="59">
        <f ca="1">AVERAGE(OFFSET($R$3,0,0,'Données projet'!$E$9+1,1))-AVERAGE(OFFSET($H$3,0,0,'Données projet'!$E$9+1,1))</f>
        <v>273.89826011924487</v>
      </c>
      <c r="T102" s="59">
        <f t="shared" si="88"/>
        <v>332.17519939974227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1.2557460116810211</v>
      </c>
      <c r="AB102" s="21">
        <f>EXP(-LN(2)/2)*AB101+(1-EXP(-LN(2)/2))/(LN(2)/2)*V102*Y102*VLOOKUP('Données projet'!$B$9,Paramètres!$A$1:$I$89,3,0)*0.475*44/12</f>
        <v>4.516203299190044E-10</v>
      </c>
      <c r="AC102" s="22">
        <f t="shared" si="57"/>
        <v>1.2557460121326414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108.5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18.5</v>
      </c>
      <c r="AI102" s="13">
        <f>IF('Données projet'!$A$62&gt;35,AI101+AH102-AQ101,IF(A102&lt;'Données projet'!$A$62,$AF$205^A102,IF(A102='Données projet'!$A$62,'Données projet'!$B$62,AI101+AH102-AQ101)))</f>
        <v>707.69999999999993</v>
      </c>
      <c r="AJ102" s="13">
        <f>AI102*VLOOKUP('Données projet'!$B$10,Paramètres!$A$1:$I$89,3,0)*VLOOKUP('Données projet'!$B$10,Paramètres!$A$1:$I$89,5,0)</f>
        <v>331.20359999999994</v>
      </c>
      <c r="AK102" s="13">
        <f t="shared" si="89"/>
        <v>77.67979126195354</v>
      </c>
      <c r="AL102" s="20">
        <f t="shared" si="58"/>
        <v>712.13857311456889</v>
      </c>
      <c r="AM102" s="59">
        <f t="shared" si="59"/>
        <v>1146.6385731145688</v>
      </c>
      <c r="AN102" s="59">
        <f ca="1">AVERAGE(OFFSET($AM$3,0,0,'Données projet'!$E$10+1,1))-AVERAGE(OFFSET($H$3,0,0,'Données projet'!$E$10+1,1))</f>
        <v>293.42903587188346</v>
      </c>
      <c r="AO102" s="59">
        <f t="shared" si="90"/>
        <v>267.80827667062124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0.79931956967978746</v>
      </c>
      <c r="AV102" s="21">
        <f>EXP(-LN(2)/25)*AV101+(1-EXP(-LN(2)/25))/(LN(2)/25)*Calculateur!AQ102*Calculateur!AS102*VLOOKUP('Données projet'!$B$10,Paramètres!$A$1:$I$89,3,0)*0.475*44/12</f>
        <v>1.1596557192734085</v>
      </c>
      <c r="AW102" s="21">
        <f>EXP(-LN(2)/2)*AW101+(1-EXP(-LN(2)/2))/(LN(2)/2)*AQ102*AT102*VLOOKUP('Données projet'!$B$10,Paramètres!$A$1:$I$89,3,0)*0.475*44/12</f>
        <v>4.0468286391348677E-10</v>
      </c>
      <c r="AX102" s="21">
        <f t="shared" si="60"/>
        <v>1.9589752893578789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108.5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4.9000000000000004</v>
      </c>
      <c r="BD102" s="12">
        <f>IF('Données projet'!$A$88&gt;35,BD101+BC102-BL101,IF(A102&lt;'Données projet'!$A$88,$BA$205^A102,IF(A102='Données projet'!$A$88,'Données projet'!$B$88,BD101+BC102-BL101)))</f>
        <v>298.10000000000025</v>
      </c>
      <c r="BE102" s="13">
        <f>BD102*VLOOKUP('Données projet'!$B$11,Paramètres!$A$1:$I$89,3,0)*VLOOKUP('Données projet'!$B$11,Paramètres!$A$1:$I$89,5,0)</f>
        <v>269.72088000000025</v>
      </c>
      <c r="BF102" s="13">
        <f t="shared" si="91"/>
        <v>64.790029413947011</v>
      </c>
      <c r="BG102" s="20">
        <f t="shared" si="61"/>
        <v>582.60650056262477</v>
      </c>
      <c r="BH102" s="59">
        <f t="shared" si="62"/>
        <v>1017.1065005626248</v>
      </c>
      <c r="BI102" s="59">
        <f ca="1">AVERAGE(OFFSET($BH$3,0,0,'Données projet'!$E$11+1,1))-AVERAGE(OFFSET($H$3,0,0,'Données projet'!$E$11+1,1))</f>
        <v>324.41828402031939</v>
      </c>
      <c r="BJ102" s="59">
        <f t="shared" si="92"/>
        <v>233.01060088065992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0.45851127357055427</v>
      </c>
      <c r="BR102" s="21">
        <f>EXP(-LN(2)/2)*BR101+(1-EXP(-LN(2)/2))/(LN(2)/2)*BL102*BO102*VLOOKUP('Données projet'!$B$11,Paramètres!$A$1:$I$89,3,0)*0.475*44/12</f>
        <v>2.5474756484552923E-10</v>
      </c>
      <c r="BS102" s="22">
        <f t="shared" si="63"/>
        <v>0.45851127382530182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108.5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279.00060755204919</v>
      </c>
      <c r="CE102" s="59">
        <f t="shared" si="94"/>
        <v>333.91128554211014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1.8617544344294499</v>
      </c>
      <c r="CL102" s="21">
        <f>EXP(-LN(2)/25)*CL101+(1-EXP(-LN(2)/25))/(LN(2)/25)*Calculateur!CG102*Calculateur!CI102*VLOOKUP('Données projet'!$B$12,Paramètres!$A$1:$I$89,3,0)*0.475*44/12</f>
        <v>4.1084835631546319</v>
      </c>
      <c r="CM102" s="21">
        <f>EXP(-LN(2)/2)*CM101+(1-EXP(-LN(2)/2))/(LN(2)/2)*CG102*CJ102*VLOOKUP('Données projet'!$B$12,Paramètres!$A$1:$I$89,3,0)*0.475*44/12</f>
        <v>8.8713719085334691E-10</v>
      </c>
      <c r="CN102" s="22">
        <f t="shared" si="66"/>
        <v>5.9702379984712195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108.5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-1.1368683772161603E-13</v>
      </c>
      <c r="CU102" s="17">
        <f>CT102*VLOOKUP('Données projet'!$B$13,Paramètres!$A$1:$I$89,3,0)*VLOOKUP('Données projet'!$B$13,Paramètres!$A$1:$I$89,5,0)</f>
        <v>-6.7984728957526396E-14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380.01315081072897</v>
      </c>
      <c r="CZ102" s="59">
        <f t="shared" si="96"/>
        <v>404.90871625409181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0.89209066649744551</v>
      </c>
      <c r="DG102" s="21">
        <f>EXP(-LN(2)/25)*DG101+(1-EXP(-LN(2)/25))/(LN(2)/25)*Calculateur!DB102*Calculateur!DD102*VLOOKUP('Données projet'!$B$13,Paramètres!$A$1:$I$89,3,0)*0.475*44/12</f>
        <v>3.1502563217838104</v>
      </c>
      <c r="DH102" s="21">
        <f>EXP(-LN(2)/2)*DH101+(1-EXP(-LN(2)/2))/(LN(2)/2)*DB102*DE102*VLOOKUP('Données projet'!$B$13,Paramètres!$A$1:$I$89,3,0)*0.475*44/12</f>
        <v>1.2472558909855296E-9</v>
      </c>
      <c r="DI102" s="22">
        <f t="shared" si="69"/>
        <v>4.0423469895285118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108.5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-5.6843418860808015E-14</v>
      </c>
      <c r="DP102" s="17">
        <f>DO102*VLOOKUP('Données projet'!$B$14,Paramètres!$A$1:$I$89,3,0)*VLOOKUP('Données projet'!$B$14,Paramètres!$A$1:$I$89,5,0)</f>
        <v>-5.1431925385259088E-14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320.81451813551064</v>
      </c>
      <c r="DU102" s="59">
        <f t="shared" si="98"/>
        <v>522.80818268773976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0.46806433545229609</v>
      </c>
      <c r="EB102" s="21">
        <f>EXP(-LN(2)/25)*EB101+(1-EXP(-LN(2)/25))/(LN(2)/25)*Calculateur!DW102*Calculateur!DY102*VLOOKUP('Données projet'!$B$14,Paramètres!$A$1:$I$89,3,0)*0.475*44/12</f>
        <v>1.5391226774787232</v>
      </c>
      <c r="EC102" s="21">
        <f>EXP(-LN(2)/2)*EC101+(1-EXP(-LN(2)/2))/(LN(2)/2)*DW102*DZ102*VLOOKUP('Données projet'!$B$14,Paramètres!$A$1:$I$89,3,0)*0.475*44/12</f>
        <v>2.4649664634907267E-10</v>
      </c>
      <c r="ED102" s="22">
        <f t="shared" si="72"/>
        <v>2.007187013177516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108.5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228.3393311631487</v>
      </c>
      <c r="EP102" s="59">
        <f t="shared" si="100"/>
        <v>266.26050497804033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1.5841298723918202</v>
      </c>
      <c r="EW102" s="21">
        <f>EXP(-LN(2)/25)*EW101+(1-EXP(-LN(2)/25))/(LN(2)/25)*Calculateur!ER102*Calculateur!ET102*VLOOKUP('Données projet'!$B$15,Paramètres!$A$1:$I$89,3,0)*0.475*44/12</f>
        <v>1.8203351810639319</v>
      </c>
      <c r="EX102" s="21">
        <f>EXP(-LN(2)/2)*EX101+(1-EXP(-LN(2)/2))/(LN(2)/2)*ER102*EU102*VLOOKUP('Données projet'!$B$15,Paramètres!$A$1:$I$89,3,0)*0.475*44/12</f>
        <v>2.2413942531937008E-10</v>
      </c>
      <c r="EY102" s="22">
        <f t="shared" si="75"/>
        <v>3.4044650536798913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108.5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-1.7053025658242404E-13</v>
      </c>
      <c r="FF102" s="17">
        <f>FE102*VLOOKUP('Données projet'!$B$16,Paramètres!$A$1:$I$89,3,0)*VLOOKUP('Données projet'!$B$16,Paramètres!$A$1:$I$89,5,0)</f>
        <v>-9.7543306765146564E-14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242.10913976205194</v>
      </c>
      <c r="FK102" s="59">
        <f t="shared" si="102"/>
        <v>198.24795425321133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1.5998607916675769</v>
      </c>
      <c r="FS102" s="21">
        <f>EXP(-LN(2)/2)*FS101+(1-EXP(-LN(2)/2))/(LN(2)/2)*FM102*FP102*VLOOKUP('Données projet'!$B$16,Paramètres!$A$1:$I$89,3,0)*0.475*44/12</f>
        <v>5.4423281101948439E-10</v>
      </c>
      <c r="FT102" s="22">
        <f t="shared" si="78"/>
        <v>1.5998607922118098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108.5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108.5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48.906000000000027</v>
      </c>
      <c r="D103" s="11">
        <f t="shared" si="86"/>
        <v>14.330866650402033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268.47932858591759</v>
      </c>
      <c r="H103" s="67">
        <f t="shared" si="56"/>
        <v>507.97087608278355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108.5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5.6843418860808015E-14</v>
      </c>
      <c r="O103" s="13">
        <f>N103*VLOOKUP('Données projet'!$B$9,Paramètres!$A$1:$I$89,3,0)*VLOOKUP('Données projet'!$B$9,Paramètres!$A$1:$I$89,5,0)</f>
        <v>4.6111381379887463E-14</v>
      </c>
      <c r="P103" s="13">
        <f t="shared" si="87"/>
        <v>7.5804141040779151E-13</v>
      </c>
      <c r="Q103" s="20">
        <f t="shared" si="107"/>
        <v>1.4005661123635408E-12</v>
      </c>
      <c r="R103" s="59">
        <f t="shared" si="55"/>
        <v>434.50000000000142</v>
      </c>
      <c r="S103" s="59">
        <f ca="1">AVERAGE(OFFSET($R$3,0,0,'Données projet'!$E$9+1,1))-AVERAGE(OFFSET($H$3,0,0,'Données projet'!$E$9+1,1))</f>
        <v>273.89826011924487</v>
      </c>
      <c r="T103" s="59">
        <f t="shared" si="88"/>
        <v>332.17519939974227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1.2214075709547909</v>
      </c>
      <c r="AB103" s="21">
        <f>EXP(-LN(2)/2)*AB102+(1-EXP(-LN(2)/2))/(LN(2)/2)*V103*Y103*VLOOKUP('Données projet'!$B$9,Paramètres!$A$1:$I$89,3,0)*0.475*44/12</f>
        <v>3.1934379780743384E-10</v>
      </c>
      <c r="AC103" s="22">
        <f t="shared" si="57"/>
        <v>1.2214075712741348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108.5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726.2</v>
      </c>
      <c r="AG103" s="12">
        <f>VLOOKUP(A103,'Données projet'!$A$61:$I$81,9,0)</f>
        <v>18.5</v>
      </c>
      <c r="AH103" s="12">
        <f t="array" ref="AH103">INDEX(AG:AG,MIN(IF(ISNUMBER(AG103:AG299),ROW(AG103:AG299),"")))</f>
        <v>18.5</v>
      </c>
      <c r="AI103" s="13">
        <f>IF('Données projet'!$A$62&gt;35,AI102+AH103-AQ102,IF(A103&lt;'Données projet'!$A$62,$AF$205^A103,IF(A103='Données projet'!$A$62,'Données projet'!$B$62,AI102+AH103-AQ102)))</f>
        <v>726.19999999999993</v>
      </c>
      <c r="AJ103" s="13">
        <f>AI103*VLOOKUP('Données projet'!$B$10,Paramètres!$A$1:$I$89,3,0)*VLOOKUP('Données projet'!$B$10,Paramètres!$A$1:$I$89,5,0)</f>
        <v>339.86159999999995</v>
      </c>
      <c r="AK103" s="13">
        <f t="shared" si="89"/>
        <v>79.47135142801136</v>
      </c>
      <c r="AL103" s="20">
        <f t="shared" si="58"/>
        <v>730.33822373711973</v>
      </c>
      <c r="AM103" s="59">
        <f t="shared" si="59"/>
        <v>1164.8382237371197</v>
      </c>
      <c r="AN103" s="59">
        <f ca="1">AVERAGE(OFFSET($AM$3,0,0,'Données projet'!$E$10+1,1))-AVERAGE(OFFSET($H$3,0,0,'Données projet'!$E$10+1,1))</f>
        <v>293.42903587188346</v>
      </c>
      <c r="AO103" s="59">
        <f t="shared" si="90"/>
        <v>267.80827667062124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726.2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0.78364540045516407</v>
      </c>
      <c r="AV103" s="21">
        <f>EXP(-LN(2)/25)*AV102+(1-EXP(-LN(2)/25))/(LN(2)/25)*Calculateur!AQ103*Calculateur!AS103*VLOOKUP('Données projet'!$B$10,Paramètres!$A$1:$I$89,3,0)*0.475*44/12</f>
        <v>1.1279448726462333</v>
      </c>
      <c r="AW103" s="21">
        <f>EXP(-LN(2)/2)*AW102+(1-EXP(-LN(2)/2))/(LN(2)/2)*AQ103*AT103*VLOOKUP('Données projet'!$B$10,Paramètres!$A$1:$I$89,3,0)*0.475*44/12</f>
        <v>2.8615399730321928E-10</v>
      </c>
      <c r="AX103" s="21">
        <f t="shared" si="60"/>
        <v>1.9115902733875514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108.5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303</v>
      </c>
      <c r="BB103" s="12">
        <f>VLOOKUP(A103,'Données projet'!$A$87:$I$107,9,0)</f>
        <v>4.9000000000000004</v>
      </c>
      <c r="BC103" s="12">
        <f t="array" ref="BC103">INDEX(BB:BB,MIN(IF(ISNUMBER(BB103:BB299),ROW(BB103:BB299),"")))</f>
        <v>4.9000000000000004</v>
      </c>
      <c r="BD103" s="12">
        <f>IF('Données projet'!$A$88&gt;35,BD102+BC103-BL102,IF(A103&lt;'Données projet'!$A$88,$BA$205^A103,IF(A103='Données projet'!$A$88,'Données projet'!$B$88,BD102+BC103-BL102)))</f>
        <v>303.00000000000023</v>
      </c>
      <c r="BE103" s="13">
        <f>BD103*VLOOKUP('Données projet'!$B$11,Paramètres!$A$1:$I$89,3,0)*VLOOKUP('Données projet'!$B$11,Paramètres!$A$1:$I$89,5,0)</f>
        <v>274.15440000000018</v>
      </c>
      <c r="BF103" s="13">
        <f t="shared" si="91"/>
        <v>65.730152764515836</v>
      </c>
      <c r="BG103" s="20">
        <f t="shared" si="61"/>
        <v>591.96559606486528</v>
      </c>
      <c r="BH103" s="59">
        <f t="shared" si="62"/>
        <v>1026.4655960648652</v>
      </c>
      <c r="BI103" s="59">
        <f ca="1">AVERAGE(OFFSET($BH$3,0,0,'Données projet'!$E$11+1,1))-AVERAGE(OFFSET($H$3,0,0,'Données projet'!$E$11+1,1))</f>
        <v>324.41828402031939</v>
      </c>
      <c r="BJ103" s="59">
        <f t="shared" si="92"/>
        <v>233.01060088065992</v>
      </c>
      <c r="BK103" s="15">
        <f>IF(ISNA(VLOOKUP(A103,'Données projet'!$A$87:$I$107,3,0)),0,VLOOKUP(A103,'Données projet'!$A$87:$I$107,3,0))</f>
        <v>8</v>
      </c>
      <c r="BL103" s="15">
        <f>IF(ISNA(VLOOKUP(A103,'Données projet'!$A$87:$I$107,4,0)),0,VLOOKUP(A103,'Données projet'!$A$87:$I$107,4,0))</f>
        <v>42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0.44597325868270754</v>
      </c>
      <c r="BR103" s="21">
        <f>EXP(-LN(2)/2)*BR102+(1-EXP(-LN(2)/2))/(LN(2)/2)*BL103*BO103*VLOOKUP('Données projet'!$B$11,Paramètres!$A$1:$I$89,3,0)*0.475*44/12</f>
        <v>1.8013373059303346E-10</v>
      </c>
      <c r="BS103" s="22">
        <f t="shared" si="63"/>
        <v>0.44597325886284128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108.5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279.00060755204919</v>
      </c>
      <c r="CE103" s="59">
        <f t="shared" si="94"/>
        <v>333.91128554211014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1.8252465655283663</v>
      </c>
      <c r="CL103" s="21">
        <f>EXP(-LN(2)/25)*CL102+(1-EXP(-LN(2)/25))/(LN(2)/25)*Calculateur!CG103*Calculateur!CI103*VLOOKUP('Données projet'!$B$12,Paramètres!$A$1:$I$89,3,0)*0.475*44/12</f>
        <v>3.9961368640644079</v>
      </c>
      <c r="CM103" s="21">
        <f>EXP(-LN(2)/2)*CM102+(1-EXP(-LN(2)/2))/(LN(2)/2)*CG103*CJ103*VLOOKUP('Données projet'!$B$12,Paramètres!$A$1:$I$89,3,0)*0.475*44/12</f>
        <v>6.2730072349518602E-10</v>
      </c>
      <c r="CN103" s="22">
        <f t="shared" si="66"/>
        <v>5.8213834302200755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108.5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-1.1368683772161603E-13</v>
      </c>
      <c r="CU103" s="17">
        <f>CT103*VLOOKUP('Données projet'!$B$13,Paramètres!$A$1:$I$89,3,0)*VLOOKUP('Données projet'!$B$13,Paramètres!$A$1:$I$89,5,0)</f>
        <v>-6.7984728957526396E-14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380.01315081072897</v>
      </c>
      <c r="CZ103" s="59">
        <f t="shared" si="96"/>
        <v>404.90871625409181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0.87459731264900964</v>
      </c>
      <c r="DG103" s="21">
        <f>EXP(-LN(2)/25)*DG102+(1-EXP(-LN(2)/25))/(LN(2)/25)*Calculateur!DB103*Calculateur!DD103*VLOOKUP('Données projet'!$B$13,Paramètres!$A$1:$I$89,3,0)*0.475*44/12</f>
        <v>3.0641123969998523</v>
      </c>
      <c r="DH103" s="21">
        <f>EXP(-LN(2)/2)*DH102+(1-EXP(-LN(2)/2))/(LN(2)/2)*DB103*DE103*VLOOKUP('Données projet'!$B$13,Paramètres!$A$1:$I$89,3,0)*0.475*44/12</f>
        <v>8.8194309839073729E-10</v>
      </c>
      <c r="DI103" s="22">
        <f t="shared" si="69"/>
        <v>3.9387097105308047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108.5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-5.6843418860808015E-14</v>
      </c>
      <c r="DP103" s="17">
        <f>DO103*VLOOKUP('Données projet'!$B$14,Paramètres!$A$1:$I$89,3,0)*VLOOKUP('Données projet'!$B$14,Paramètres!$A$1:$I$89,5,0)</f>
        <v>-5.1431925385259088E-14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320.81451813551064</v>
      </c>
      <c r="DU103" s="59">
        <f t="shared" si="98"/>
        <v>522.80818268773976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0.45888587932513131</v>
      </c>
      <c r="EB103" s="21">
        <f>EXP(-LN(2)/25)*EB102+(1-EXP(-LN(2)/25))/(LN(2)/25)*Calculateur!DW103*Calculateur!DY103*VLOOKUP('Données projet'!$B$14,Paramètres!$A$1:$I$89,3,0)*0.475*44/12</f>
        <v>1.4970352869241237</v>
      </c>
      <c r="EC103" s="21">
        <f>EXP(-LN(2)/2)*EC102+(1-EXP(-LN(2)/2))/(LN(2)/2)*DW103*DZ103*VLOOKUP('Données projet'!$B$14,Paramètres!$A$1:$I$89,3,0)*0.475*44/12</f>
        <v>1.7429945017317152E-10</v>
      </c>
      <c r="ED103" s="22">
        <f t="shared" si="72"/>
        <v>1.9559211664235545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108.5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228.3393311631487</v>
      </c>
      <c r="EP103" s="59">
        <f t="shared" si="100"/>
        <v>266.26050497804033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1.5530660518180321</v>
      </c>
      <c r="EW103" s="21">
        <f>EXP(-LN(2)/25)*EW102+(1-EXP(-LN(2)/25))/(LN(2)/25)*Calculateur!ER103*Calculateur!ET103*VLOOKUP('Données projet'!$B$15,Paramètres!$A$1:$I$89,3,0)*0.475*44/12</f>
        <v>1.770558019810472</v>
      </c>
      <c r="EX103" s="21">
        <f>EXP(-LN(2)/2)*EX102+(1-EXP(-LN(2)/2))/(LN(2)/2)*ER103*EU103*VLOOKUP('Données projet'!$B$15,Paramètres!$A$1:$I$89,3,0)*0.475*44/12</f>
        <v>1.5849050757458233E-10</v>
      </c>
      <c r="EY103" s="22">
        <f t="shared" si="75"/>
        <v>3.3236240717869947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108.5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-1.7053025658242404E-13</v>
      </c>
      <c r="FF103" s="17">
        <f>FE103*VLOOKUP('Données projet'!$B$16,Paramètres!$A$1:$I$89,3,0)*VLOOKUP('Données projet'!$B$16,Paramètres!$A$1:$I$89,5,0)</f>
        <v>-9.7543306765146564E-14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242.10913976205194</v>
      </c>
      <c r="FK103" s="59">
        <f t="shared" si="102"/>
        <v>198.24795425321133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1.5561125141864045</v>
      </c>
      <c r="FS103" s="21">
        <f>EXP(-LN(2)/2)*FS102+(1-EXP(-LN(2)/2))/(LN(2)/2)*FM103*FP103*VLOOKUP('Données projet'!$B$16,Paramètres!$A$1:$I$89,3,0)*0.475*44/12</f>
        <v>3.8483071121609422E-10</v>
      </c>
      <c r="FT103" s="22">
        <f t="shared" si="78"/>
        <v>1.5561125145712351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108.5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108.5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49.395060000000029</v>
      </c>
      <c r="D104" s="11">
        <f t="shared" si="86"/>
        <v>14.457420763707896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271.09298850556701</v>
      </c>
      <c r="H104" s="67">
        <f t="shared" si="56"/>
        <v>509.04307066345797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108.5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5.6843418860808015E-14</v>
      </c>
      <c r="O104" s="13">
        <f>N104*VLOOKUP('Données projet'!$B$9,Paramètres!$A$1:$I$89,3,0)*VLOOKUP('Données projet'!$B$9,Paramètres!$A$1:$I$89,5,0)</f>
        <v>4.6111381379887463E-14</v>
      </c>
      <c r="P104" s="13">
        <f t="shared" si="87"/>
        <v>7.5804141040779151E-13</v>
      </c>
      <c r="Q104" s="20">
        <f t="shared" si="107"/>
        <v>1.4005661123635408E-12</v>
      </c>
      <c r="R104" s="59">
        <f t="shared" si="55"/>
        <v>434.50000000000142</v>
      </c>
      <c r="S104" s="59">
        <f ca="1">AVERAGE(OFFSET($R$3,0,0,'Données projet'!$E$9+1,1))-AVERAGE(OFFSET($H$3,0,0,'Données projet'!$E$9+1,1))</f>
        <v>273.89826011924487</v>
      </c>
      <c r="T104" s="59">
        <f t="shared" si="88"/>
        <v>332.17519939974227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1.1880081166959995</v>
      </c>
      <c r="AB104" s="21">
        <f>EXP(-LN(2)/2)*AB103+(1-EXP(-LN(2)/2))/(LN(2)/2)*V104*Y104*VLOOKUP('Données projet'!$B$9,Paramètres!$A$1:$I$89,3,0)*0.475*44/12</f>
        <v>2.258101649595022E-10</v>
      </c>
      <c r="AC104" s="22">
        <f t="shared" si="57"/>
        <v>1.1880081169218097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108.5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-5.3205440053716299E-14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293.42903587188346</v>
      </c>
      <c r="AO104" s="59">
        <f t="shared" si="90"/>
        <v>267.80827667062124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0.76827859212873628</v>
      </c>
      <c r="AV104" s="21">
        <f>EXP(-LN(2)/25)*AV103+(1-EXP(-LN(2)/25))/(LN(2)/25)*Calculateur!AQ104*Calculateur!AS104*VLOOKUP('Données projet'!$B$10,Paramètres!$A$1:$I$89,3,0)*0.475*44/12</f>
        <v>1.0971011607876793</v>
      </c>
      <c r="AW104" s="21">
        <f>EXP(-LN(2)/2)*AW103+(1-EXP(-LN(2)/2))/(LN(2)/2)*AQ104*AT104*VLOOKUP('Données projet'!$B$10,Paramètres!$A$1:$I$89,3,0)*0.475*44/12</f>
        <v>2.0234143195674339E-10</v>
      </c>
      <c r="AX104" s="21">
        <f t="shared" si="60"/>
        <v>1.865379753118757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108.5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4.4000000000000004</v>
      </c>
      <c r="BD104" s="12">
        <f>IF('Données projet'!$A$88&gt;35,BD103+BC104-BL103,IF(A104&lt;'Données projet'!$A$88,$BA$205^A104,IF(A104='Données projet'!$A$88,'Données projet'!$B$88,BD103+BC104-BL103)))</f>
        <v>265.4000000000002</v>
      </c>
      <c r="BE104" s="13">
        <f>BD104*VLOOKUP('Données projet'!$B$11,Paramètres!$A$1:$I$89,3,0)*VLOOKUP('Données projet'!$B$11,Paramètres!$A$1:$I$89,5,0)</f>
        <v>240.13392000000016</v>
      </c>
      <c r="BF104" s="13">
        <f t="shared" si="91"/>
        <v>58.468343087048616</v>
      </c>
      <c r="BG104" s="20">
        <f t="shared" si="61"/>
        <v>520.06560820994321</v>
      </c>
      <c r="BH104" s="59">
        <f t="shared" si="62"/>
        <v>954.56560820994321</v>
      </c>
      <c r="BI104" s="59">
        <f ca="1">AVERAGE(OFFSET($BH$3,0,0,'Données projet'!$E$11+1,1))-AVERAGE(OFFSET($H$3,0,0,'Données projet'!$E$11+1,1))</f>
        <v>324.41828402031939</v>
      </c>
      <c r="BJ104" s="59">
        <f t="shared" si="92"/>
        <v>233.01060088065992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0.43377809647131449</v>
      </c>
      <c r="BR104" s="21">
        <f>EXP(-LN(2)/2)*BR103+(1-EXP(-LN(2)/2))/(LN(2)/2)*BL104*BO104*VLOOKUP('Données projet'!$B$11,Paramètres!$A$1:$I$89,3,0)*0.475*44/12</f>
        <v>1.2737378242276461E-10</v>
      </c>
      <c r="BS104" s="22">
        <f t="shared" si="63"/>
        <v>0.43377809659868827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108.5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279.00060755204919</v>
      </c>
      <c r="CE104" s="59">
        <f t="shared" si="94"/>
        <v>333.91128554211014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1.7894545936688318</v>
      </c>
      <c r="CL104" s="21">
        <f>EXP(-LN(2)/25)*CL103+(1-EXP(-LN(2)/25))/(LN(2)/25)*Calculateur!CG104*Calculateur!CI104*VLOOKUP('Données projet'!$B$12,Paramètres!$A$1:$I$89,3,0)*0.475*44/12</f>
        <v>3.8868622913688622</v>
      </c>
      <c r="CM104" s="21">
        <f>EXP(-LN(2)/2)*CM103+(1-EXP(-LN(2)/2))/(LN(2)/2)*CG104*CJ104*VLOOKUP('Données projet'!$B$12,Paramètres!$A$1:$I$89,3,0)*0.475*44/12</f>
        <v>4.4356859542667346E-10</v>
      </c>
      <c r="CN104" s="22">
        <f t="shared" si="66"/>
        <v>5.6763168854812625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108.5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-1.1368683772161603E-13</v>
      </c>
      <c r="CU104" s="17">
        <f>CT104*VLOOKUP('Données projet'!$B$13,Paramètres!$A$1:$I$89,3,0)*VLOOKUP('Données projet'!$B$13,Paramètres!$A$1:$I$89,5,0)</f>
        <v>-6.7984728957526396E-14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380.01315081072897</v>
      </c>
      <c r="CZ104" s="59">
        <f t="shared" si="96"/>
        <v>404.90871625409181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0.85744699279964931</v>
      </c>
      <c r="DG104" s="21">
        <f>EXP(-LN(2)/25)*DG103+(1-EXP(-LN(2)/25))/(LN(2)/25)*Calculateur!DB104*Calculateur!DD104*VLOOKUP('Données projet'!$B$13,Paramètres!$A$1:$I$89,3,0)*0.475*44/12</f>
        <v>2.9803240823692234</v>
      </c>
      <c r="DH104" s="21">
        <f>EXP(-LN(2)/2)*DH103+(1-EXP(-LN(2)/2))/(LN(2)/2)*DB104*DE104*VLOOKUP('Données projet'!$B$13,Paramètres!$A$1:$I$89,3,0)*0.475*44/12</f>
        <v>6.2362794549276482E-10</v>
      </c>
      <c r="DI104" s="22">
        <f t="shared" si="69"/>
        <v>3.8377710757925008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108.5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-5.6843418860808015E-14</v>
      </c>
      <c r="DP104" s="17">
        <f>DO104*VLOOKUP('Données projet'!$B$14,Paramètres!$A$1:$I$89,3,0)*VLOOKUP('Données projet'!$B$14,Paramètres!$A$1:$I$89,5,0)</f>
        <v>-5.1431925385259088E-14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320.81451813551064</v>
      </c>
      <c r="DU104" s="59">
        <f t="shared" si="98"/>
        <v>522.80818268773976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0.44988740712431474</v>
      </c>
      <c r="EB104" s="21">
        <f>EXP(-LN(2)/25)*EB103+(1-EXP(-LN(2)/25))/(LN(2)/25)*Calculateur!DW104*Calculateur!DY104*VLOOKUP('Données projet'!$B$14,Paramètres!$A$1:$I$89,3,0)*0.475*44/12</f>
        <v>1.4560987782775192</v>
      </c>
      <c r="EC104" s="21">
        <f>EXP(-LN(2)/2)*EC103+(1-EXP(-LN(2)/2))/(LN(2)/2)*DW104*DZ104*VLOOKUP('Données projet'!$B$14,Paramètres!$A$1:$I$89,3,0)*0.475*44/12</f>
        <v>1.2324832317453633E-10</v>
      </c>
      <c r="ED104" s="22">
        <f t="shared" si="72"/>
        <v>1.9059861855250821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108.5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228.3393311631487</v>
      </c>
      <c r="EP104" s="59">
        <f t="shared" si="100"/>
        <v>266.26050497804033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1.5226113738186364</v>
      </c>
      <c r="EW104" s="21">
        <f>EXP(-LN(2)/25)*EW103+(1-EXP(-LN(2)/25))/(LN(2)/25)*Calculateur!ER104*Calculateur!ET104*VLOOKUP('Données projet'!$B$15,Paramètres!$A$1:$I$89,3,0)*0.475*44/12</f>
        <v>1.7221420176491551</v>
      </c>
      <c r="EX104" s="21">
        <f>EXP(-LN(2)/2)*EX103+(1-EXP(-LN(2)/2))/(LN(2)/2)*ER104*EU104*VLOOKUP('Données projet'!$B$15,Paramètres!$A$1:$I$89,3,0)*0.475*44/12</f>
        <v>1.1206971265968504E-10</v>
      </c>
      <c r="EY104" s="22">
        <f t="shared" si="75"/>
        <v>3.2447533915798616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108.5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-1.7053025658242404E-13</v>
      </c>
      <c r="FF104" s="17">
        <f>FE104*VLOOKUP('Données projet'!$B$16,Paramètres!$A$1:$I$89,3,0)*VLOOKUP('Données projet'!$B$16,Paramètres!$A$1:$I$89,5,0)</f>
        <v>-9.7543306765146564E-14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242.10913976205194</v>
      </c>
      <c r="FK104" s="59">
        <f t="shared" si="102"/>
        <v>198.24795425321133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1.5135605356535766</v>
      </c>
      <c r="FS104" s="21">
        <f>EXP(-LN(2)/2)*FS103+(1-EXP(-LN(2)/2))/(LN(2)/2)*FM104*FP104*VLOOKUP('Données projet'!$B$16,Paramètres!$A$1:$I$89,3,0)*0.475*44/12</f>
        <v>2.7211640550974219E-10</v>
      </c>
      <c r="FT104" s="22">
        <f t="shared" si="78"/>
        <v>1.513560535925693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108.5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108.5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49.884120000000031</v>
      </c>
      <c r="D105" s="11">
        <f t="shared" si="86"/>
        <v>14.583829108024121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273.70602954634825</v>
      </c>
      <c r="H105" s="67">
        <f t="shared" si="56"/>
        <v>510.11501136314206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108.5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5.6843418860808015E-14</v>
      </c>
      <c r="O105" s="13">
        <f>N105*VLOOKUP('Données projet'!$B$9,Paramètres!$A$1:$I$89,3,0)*VLOOKUP('Données projet'!$B$9,Paramètres!$A$1:$I$89,5,0)</f>
        <v>4.6111381379887463E-14</v>
      </c>
      <c r="P105" s="13">
        <f t="shared" si="87"/>
        <v>7.5804141040779151E-13</v>
      </c>
      <c r="Q105" s="20">
        <f t="shared" si="107"/>
        <v>1.4005661123635408E-12</v>
      </c>
      <c r="R105" s="59">
        <f t="shared" si="55"/>
        <v>434.50000000000142</v>
      </c>
      <c r="S105" s="59">
        <f ca="1">AVERAGE(OFFSET($R$3,0,0,'Données projet'!$E$9+1,1))-AVERAGE(OFFSET($H$3,0,0,'Données projet'!$E$9+1,1))</f>
        <v>273.89826011924487</v>
      </c>
      <c r="T105" s="59">
        <f t="shared" si="88"/>
        <v>332.17519939974227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1.1555219722703158</v>
      </c>
      <c r="AB105" s="21">
        <f>EXP(-LN(2)/2)*AB104+(1-EXP(-LN(2)/2))/(LN(2)/2)*V105*Y105*VLOOKUP('Données projet'!$B$9,Paramètres!$A$1:$I$89,3,0)*0.475*44/12</f>
        <v>1.5967189890371692E-10</v>
      </c>
      <c r="AC105" s="22">
        <f t="shared" si="57"/>
        <v>1.1555219724299877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108.5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-5.3205440053716299E-14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293.42903587188346</v>
      </c>
      <c r="AO105" s="59">
        <f t="shared" si="90"/>
        <v>267.80827667062124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0.75321311754076214</v>
      </c>
      <c r="AV105" s="21">
        <f>EXP(-LN(2)/25)*AV104+(1-EXP(-LN(2)/25))/(LN(2)/25)*Calculateur!AQ105*Calculateur!AS105*VLOOKUP('Données projet'!$B$10,Paramètres!$A$1:$I$89,3,0)*0.475*44/12</f>
        <v>1.0671008718518975</v>
      </c>
      <c r="AW105" s="21">
        <f>EXP(-LN(2)/2)*AW104+(1-EXP(-LN(2)/2))/(LN(2)/2)*AQ105*AT105*VLOOKUP('Données projet'!$B$10,Paramètres!$A$1:$I$89,3,0)*0.475*44/12</f>
        <v>1.4307699865160964E-10</v>
      </c>
      <c r="AX105" s="21">
        <f t="shared" si="60"/>
        <v>1.8203139895357368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108.5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4.4000000000000004</v>
      </c>
      <c r="BD105" s="12">
        <f>IF('Données projet'!$A$88&gt;35,BD104+BC105-BL104,IF(A105&lt;'Données projet'!$A$88,$BA$205^A105,IF(A105='Données projet'!$A$88,'Données projet'!$B$88,BD104+BC105-BL104)))</f>
        <v>269.80000000000018</v>
      </c>
      <c r="BE105" s="13">
        <f>BD105*VLOOKUP('Données projet'!$B$11,Paramètres!$A$1:$I$89,3,0)*VLOOKUP('Données projet'!$B$11,Paramètres!$A$1:$I$89,5,0)</f>
        <v>244.11504000000016</v>
      </c>
      <c r="BF105" s="13">
        <f t="shared" si="91"/>
        <v>59.324023461759062</v>
      </c>
      <c r="BG105" s="20">
        <f t="shared" si="61"/>
        <v>528.48970219589739</v>
      </c>
      <c r="BH105" s="59">
        <f t="shared" si="62"/>
        <v>962.98970219589739</v>
      </c>
      <c r="BI105" s="59">
        <f ca="1">AVERAGE(OFFSET($BH$3,0,0,'Données projet'!$E$11+1,1))-AVERAGE(OFFSET($H$3,0,0,'Données projet'!$E$11+1,1))</f>
        <v>324.41828402031939</v>
      </c>
      <c r="BJ105" s="59">
        <f t="shared" si="92"/>
        <v>233.01060088065992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0.42191641161190774</v>
      </c>
      <c r="BR105" s="21">
        <f>EXP(-LN(2)/2)*BR104+(1-EXP(-LN(2)/2))/(LN(2)/2)*BL105*BO105*VLOOKUP('Données projet'!$B$11,Paramètres!$A$1:$I$89,3,0)*0.475*44/12</f>
        <v>9.0066865296516732E-11</v>
      </c>
      <c r="BS105" s="22">
        <f t="shared" si="63"/>
        <v>0.42191641170197458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108.5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279.00060755204919</v>
      </c>
      <c r="CE105" s="59">
        <f t="shared" si="94"/>
        <v>333.91128554211014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1.7543644805465155</v>
      </c>
      <c r="CL105" s="21">
        <f>EXP(-LN(2)/25)*CL104+(1-EXP(-LN(2)/25))/(LN(2)/25)*Calculateur!CG105*Calculateur!CI105*VLOOKUP('Données projet'!$B$12,Paramètres!$A$1:$I$89,3,0)*0.475*44/12</f>
        <v>3.7805758376101761</v>
      </c>
      <c r="CM105" s="21">
        <f>EXP(-LN(2)/2)*CM104+(1-EXP(-LN(2)/2))/(LN(2)/2)*CG105*CJ105*VLOOKUP('Données projet'!$B$12,Paramètres!$A$1:$I$89,3,0)*0.475*44/12</f>
        <v>3.1365036174759301E-10</v>
      </c>
      <c r="CN105" s="22">
        <f t="shared" si="66"/>
        <v>5.5349403184703423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108.5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-1.1368683772161603E-13</v>
      </c>
      <c r="CU105" s="17">
        <f>CT105*VLOOKUP('Données projet'!$B$13,Paramètres!$A$1:$I$89,3,0)*VLOOKUP('Données projet'!$B$13,Paramètres!$A$1:$I$89,5,0)</f>
        <v>-6.7984728957526396E-14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380.01315081072897</v>
      </c>
      <c r="CZ105" s="59">
        <f t="shared" si="96"/>
        <v>404.90871625409181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0.84063298026187272</v>
      </c>
      <c r="DG105" s="21">
        <f>EXP(-LN(2)/25)*DG104+(1-EXP(-LN(2)/25))/(LN(2)/25)*Calculateur!DB105*Calculateur!DD105*VLOOKUP('Données projet'!$B$13,Paramètres!$A$1:$I$89,3,0)*0.475*44/12</f>
        <v>2.8988269636084052</v>
      </c>
      <c r="DH105" s="21">
        <f>EXP(-LN(2)/2)*DH104+(1-EXP(-LN(2)/2))/(LN(2)/2)*DB105*DE105*VLOOKUP('Données projet'!$B$13,Paramètres!$A$1:$I$89,3,0)*0.475*44/12</f>
        <v>4.4097154919536865E-10</v>
      </c>
      <c r="DI105" s="22">
        <f t="shared" si="69"/>
        <v>3.7394599443112497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108.5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-5.6843418860808015E-14</v>
      </c>
      <c r="DP105" s="17">
        <f>DO105*VLOOKUP('Données projet'!$B$14,Paramètres!$A$1:$I$89,3,0)*VLOOKUP('Données projet'!$B$14,Paramètres!$A$1:$I$89,5,0)</f>
        <v>-5.1431925385259088E-14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320.81451813551064</v>
      </c>
      <c r="DU105" s="59">
        <f t="shared" si="98"/>
        <v>522.80818268773976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0.44106538947483009</v>
      </c>
      <c r="EB105" s="21">
        <f>EXP(-LN(2)/25)*EB104+(1-EXP(-LN(2)/25))/(LN(2)/25)*Calculateur!DW105*Calculateur!DY105*VLOOKUP('Données projet'!$B$14,Paramètres!$A$1:$I$89,3,0)*0.475*44/12</f>
        <v>1.4162816806126137</v>
      </c>
      <c r="EC105" s="21">
        <f>EXP(-LN(2)/2)*EC104+(1-EXP(-LN(2)/2))/(LN(2)/2)*DW105*DZ105*VLOOKUP('Données projet'!$B$14,Paramètres!$A$1:$I$89,3,0)*0.475*44/12</f>
        <v>8.7149725086585758E-11</v>
      </c>
      <c r="ED105" s="22">
        <f t="shared" si="72"/>
        <v>1.8573470701745933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108.5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228.3393311631487</v>
      </c>
      <c r="EP105" s="59">
        <f t="shared" si="100"/>
        <v>266.26050497804033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1.4927538934792894</v>
      </c>
      <c r="EW105" s="21">
        <f>EXP(-LN(2)/25)*EW104+(1-EXP(-LN(2)/25))/(LN(2)/25)*Calculateur!ER105*Calculateur!ET105*VLOOKUP('Données projet'!$B$15,Paramètres!$A$1:$I$89,3,0)*0.475*44/12</f>
        <v>1.6750499536130263</v>
      </c>
      <c r="EX105" s="21">
        <f>EXP(-LN(2)/2)*EX104+(1-EXP(-LN(2)/2))/(LN(2)/2)*ER105*EU105*VLOOKUP('Données projet'!$B$15,Paramètres!$A$1:$I$89,3,0)*0.475*44/12</f>
        <v>7.9245253787291163E-11</v>
      </c>
      <c r="EY105" s="22">
        <f t="shared" si="75"/>
        <v>3.1678038471715606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108.5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-1.7053025658242404E-13</v>
      </c>
      <c r="FF105" s="17">
        <f>FE105*VLOOKUP('Données projet'!$B$16,Paramètres!$A$1:$I$89,3,0)*VLOOKUP('Données projet'!$B$16,Paramètres!$A$1:$I$89,5,0)</f>
        <v>-9.7543306765146564E-14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242.10913976205194</v>
      </c>
      <c r="FK105" s="59">
        <f t="shared" si="102"/>
        <v>198.24795425321133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1.4721721432114403</v>
      </c>
      <c r="FS105" s="21">
        <f>EXP(-LN(2)/2)*FS104+(1-EXP(-LN(2)/2))/(LN(2)/2)*FM105*FP105*VLOOKUP('Données projet'!$B$16,Paramètres!$A$1:$I$89,3,0)*0.475*44/12</f>
        <v>1.9241535560804711E-10</v>
      </c>
      <c r="FT105" s="22">
        <f t="shared" si="78"/>
        <v>1.4721721434038557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108.5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108.5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50.373180000000033</v>
      </c>
      <c r="D106" s="11">
        <f t="shared" si="86"/>
        <v>14.710093277947918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276.31845847830539</v>
      </c>
      <c r="H106" s="67">
        <f t="shared" si="56"/>
        <v>511.18670095909266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108.5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5.6843418860808015E-14</v>
      </c>
      <c r="O106" s="13">
        <f>N106*VLOOKUP('Données projet'!$B$9,Paramètres!$A$1:$I$89,3,0)*VLOOKUP('Données projet'!$B$9,Paramètres!$A$1:$I$89,5,0)</f>
        <v>4.6111381379887463E-14</v>
      </c>
      <c r="P106" s="13">
        <f t="shared" si="87"/>
        <v>7.5804141040779151E-13</v>
      </c>
      <c r="Q106" s="20">
        <f t="shared" si="107"/>
        <v>1.4005661123635408E-12</v>
      </c>
      <c r="R106" s="59">
        <f t="shared" si="55"/>
        <v>434.50000000000142</v>
      </c>
      <c r="S106" s="59">
        <f ca="1">AVERAGE(OFFSET($R$3,0,0,'Données projet'!$E$9+1,1))-AVERAGE(OFFSET($H$3,0,0,'Données projet'!$E$9+1,1))</f>
        <v>273.89826011924487</v>
      </c>
      <c r="T106" s="59">
        <f t="shared" si="88"/>
        <v>332.17519939974227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1.1239241631723245</v>
      </c>
      <c r="AB106" s="21">
        <f>EXP(-LN(2)/2)*AB105+(1-EXP(-LN(2)/2))/(LN(2)/2)*V106*Y106*VLOOKUP('Données projet'!$B$9,Paramètres!$A$1:$I$89,3,0)*0.475*44/12</f>
        <v>1.129050824797511E-10</v>
      </c>
      <c r="AC106" s="22">
        <f t="shared" si="57"/>
        <v>1.1239241632852295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108.5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-5.3205440053716299E-14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293.42903587188346</v>
      </c>
      <c r="AO106" s="59">
        <f t="shared" si="90"/>
        <v>267.80827667062124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0.73844306772042612</v>
      </c>
      <c r="AV106" s="21">
        <f>EXP(-LN(2)/25)*AV105+(1-EXP(-LN(2)/25))/(LN(2)/25)*Calculateur!AQ106*Calculateur!AS106*VLOOKUP('Données projet'!$B$10,Paramètres!$A$1:$I$89,3,0)*0.475*44/12</f>
        <v>1.0379209423947113</v>
      </c>
      <c r="AW106" s="21">
        <f>EXP(-LN(2)/2)*AW105+(1-EXP(-LN(2)/2))/(LN(2)/2)*AQ106*AT106*VLOOKUP('Données projet'!$B$10,Paramètres!$A$1:$I$89,3,0)*0.475*44/12</f>
        <v>1.0117071597837169E-10</v>
      </c>
      <c r="AX106" s="21">
        <f t="shared" si="60"/>
        <v>1.7763640102163081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108.5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4.4000000000000004</v>
      </c>
      <c r="BD106" s="12">
        <f>IF('Données projet'!$A$88&gt;35,BD105+BC106-BL105,IF(A106&lt;'Données projet'!$A$88,$BA$205^A106,IF(A106='Données projet'!$A$88,'Données projet'!$B$88,BD105+BC106-BL105)))</f>
        <v>274.20000000000016</v>
      </c>
      <c r="BE106" s="13">
        <f>BD106*VLOOKUP('Données projet'!$B$11,Paramètres!$A$1:$I$89,3,0)*VLOOKUP('Données projet'!$B$11,Paramètres!$A$1:$I$89,5,0)</f>
        <v>248.09616000000014</v>
      </c>
      <c r="BF106" s="13">
        <f t="shared" si="91"/>
        <v>60.178080967364686</v>
      </c>
      <c r="BG106" s="20">
        <f t="shared" si="61"/>
        <v>536.91096968482714</v>
      </c>
      <c r="BH106" s="59">
        <f t="shared" si="62"/>
        <v>971.41096968482714</v>
      </c>
      <c r="BI106" s="59">
        <f ca="1">AVERAGE(OFFSET($BH$3,0,0,'Données projet'!$E$11+1,1))-AVERAGE(OFFSET($H$3,0,0,'Données projet'!$E$11+1,1))</f>
        <v>324.41828402031939</v>
      </c>
      <c r="BJ106" s="59">
        <f t="shared" si="92"/>
        <v>233.01060088065992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0.41037908514876031</v>
      </c>
      <c r="BR106" s="21">
        <f>EXP(-LN(2)/2)*BR105+(1-EXP(-LN(2)/2))/(LN(2)/2)*BL106*BO106*VLOOKUP('Données projet'!$B$11,Paramètres!$A$1:$I$89,3,0)*0.475*44/12</f>
        <v>6.3686891211382306E-11</v>
      </c>
      <c r="BS106" s="22">
        <f t="shared" si="63"/>
        <v>0.4103790852124472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108.5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279.00060755204919</v>
      </c>
      <c r="CE106" s="59">
        <f t="shared" si="94"/>
        <v>333.91128554211014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1.7199624631396722</v>
      </c>
      <c r="CL106" s="21">
        <f>EXP(-LN(2)/25)*CL105+(1-EXP(-LN(2)/25))/(LN(2)/25)*Calculateur!CG106*Calculateur!CI106*VLOOKUP('Données projet'!$B$12,Paramètres!$A$1:$I$89,3,0)*0.475*44/12</f>
        <v>3.6771957925188832</v>
      </c>
      <c r="CM106" s="21">
        <f>EXP(-LN(2)/2)*CM105+(1-EXP(-LN(2)/2))/(LN(2)/2)*CG106*CJ106*VLOOKUP('Données projet'!$B$12,Paramètres!$A$1:$I$89,3,0)*0.475*44/12</f>
        <v>2.2178429771333673E-10</v>
      </c>
      <c r="CN106" s="22">
        <f t="shared" si="66"/>
        <v>5.3971582558803393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108.5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-1.1368683772161603E-13</v>
      </c>
      <c r="CU106" s="17">
        <f>CT106*VLOOKUP('Données projet'!$B$13,Paramètres!$A$1:$I$89,3,0)*VLOOKUP('Données projet'!$B$13,Paramètres!$A$1:$I$89,5,0)</f>
        <v>-6.7984728957526396E-14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380.01315081072897</v>
      </c>
      <c r="CZ106" s="59">
        <f t="shared" si="96"/>
        <v>404.90871625409181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0.82414868025442689</v>
      </c>
      <c r="DG106" s="21">
        <f>EXP(-LN(2)/25)*DG105+(1-EXP(-LN(2)/25))/(LN(2)/25)*Calculateur!DB106*Calculateur!DD106*VLOOKUP('Données projet'!$B$13,Paramètres!$A$1:$I$89,3,0)*0.475*44/12</f>
        <v>2.8195583878458486</v>
      </c>
      <c r="DH106" s="21">
        <f>EXP(-LN(2)/2)*DH105+(1-EXP(-LN(2)/2))/(LN(2)/2)*DB106*DE106*VLOOKUP('Données projet'!$B$13,Paramètres!$A$1:$I$89,3,0)*0.475*44/12</f>
        <v>3.1181397274638241E-10</v>
      </c>
      <c r="DI106" s="22">
        <f t="shared" si="69"/>
        <v>3.6437070684120898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108.5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-5.6843418860808015E-14</v>
      </c>
      <c r="DP106" s="17">
        <f>DO106*VLOOKUP('Données projet'!$B$14,Paramètres!$A$1:$I$89,3,0)*VLOOKUP('Données projet'!$B$14,Paramètres!$A$1:$I$89,5,0)</f>
        <v>-5.1431925385259088E-14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320.81451813551064</v>
      </c>
      <c r="DU106" s="59">
        <f t="shared" si="98"/>
        <v>522.80818268773976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0.43241636621055241</v>
      </c>
      <c r="EB106" s="21">
        <f>EXP(-LN(2)/25)*EB105+(1-EXP(-LN(2)/25))/(LN(2)/25)*Calculateur!DW106*Calculateur!DY106*VLOOKUP('Données projet'!$B$14,Paramètres!$A$1:$I$89,3,0)*0.475*44/12</f>
        <v>1.3775533835772451</v>
      </c>
      <c r="EC106" s="21">
        <f>EXP(-LN(2)/2)*EC105+(1-EXP(-LN(2)/2))/(LN(2)/2)*DW106*DZ106*VLOOKUP('Données projet'!$B$14,Paramètres!$A$1:$I$89,3,0)*0.475*44/12</f>
        <v>6.1624161587268166E-11</v>
      </c>
      <c r="ED106" s="22">
        <f t="shared" si="72"/>
        <v>1.8099697498494218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108.5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228.3393311631487</v>
      </c>
      <c r="EP106" s="59">
        <f t="shared" si="100"/>
        <v>266.26050497804033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1.4634819001181323</v>
      </c>
      <c r="EW106" s="21">
        <f>EXP(-LN(2)/25)*EW105+(1-EXP(-LN(2)/25))/(LN(2)/25)*Calculateur!ER106*Calculateur!ET106*VLOOKUP('Données projet'!$B$15,Paramètres!$A$1:$I$89,3,0)*0.475*44/12</f>
        <v>1.6292456245444293</v>
      </c>
      <c r="EX106" s="21">
        <f>EXP(-LN(2)/2)*EX105+(1-EXP(-LN(2)/2))/(LN(2)/2)*ER106*EU106*VLOOKUP('Données projet'!$B$15,Paramètres!$A$1:$I$89,3,0)*0.475*44/12</f>
        <v>5.6034856329842519E-11</v>
      </c>
      <c r="EY106" s="22">
        <f t="shared" si="75"/>
        <v>3.0927275247185961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108.5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-1.7053025658242404E-13</v>
      </c>
      <c r="FF106" s="17">
        <f>FE106*VLOOKUP('Données projet'!$B$16,Paramètres!$A$1:$I$89,3,0)*VLOOKUP('Données projet'!$B$16,Paramètres!$A$1:$I$89,5,0)</f>
        <v>-9.7543306765146564E-14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242.10913976205194</v>
      </c>
      <c r="FK106" s="59">
        <f t="shared" si="102"/>
        <v>198.24795425321133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1.431915518537155</v>
      </c>
      <c r="FS106" s="21">
        <f>EXP(-LN(2)/2)*FS105+(1-EXP(-LN(2)/2))/(LN(2)/2)*FM106*FP106*VLOOKUP('Données projet'!$B$16,Paramètres!$A$1:$I$89,3,0)*0.475*44/12</f>
        <v>1.360582027548711E-10</v>
      </c>
      <c r="FT106" s="22">
        <f t="shared" si="78"/>
        <v>1.4319155186732133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108.5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108.5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50.862240000000035</v>
      </c>
      <c r="D107" s="11">
        <f t="shared" si="86"/>
        <v>14.836214835328351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278.93028193244692</v>
      </c>
      <c r="H107" s="67">
        <f t="shared" si="56"/>
        <v>512.25814217153027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108.5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5.6843418860808015E-14</v>
      </c>
      <c r="O107" s="13">
        <f>N107*VLOOKUP('Données projet'!$B$9,Paramètres!$A$1:$I$89,3,0)*VLOOKUP('Données projet'!$B$9,Paramètres!$A$1:$I$89,5,0)</f>
        <v>4.6111381379887463E-14</v>
      </c>
      <c r="P107" s="13">
        <f t="shared" si="87"/>
        <v>7.5804141040779151E-13</v>
      </c>
      <c r="Q107" s="20">
        <f t="shared" si="107"/>
        <v>1.4005661123635408E-12</v>
      </c>
      <c r="R107" s="59">
        <f t="shared" si="55"/>
        <v>434.50000000000142</v>
      </c>
      <c r="S107" s="59">
        <f ca="1">AVERAGE(OFFSET($R$3,0,0,'Données projet'!$E$9+1,1))-AVERAGE(OFFSET($H$3,0,0,'Données projet'!$E$9+1,1))</f>
        <v>273.89826011924487</v>
      </c>
      <c r="T107" s="59">
        <f t="shared" si="88"/>
        <v>332.17519939974227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1.0931903978257742</v>
      </c>
      <c r="AB107" s="21">
        <f>EXP(-LN(2)/2)*AB106+(1-EXP(-LN(2)/2))/(LN(2)/2)*V107*Y107*VLOOKUP('Données projet'!$B$9,Paramètres!$A$1:$I$89,3,0)*0.475*44/12</f>
        <v>7.983594945185846E-11</v>
      </c>
      <c r="AC107" s="22">
        <f t="shared" si="57"/>
        <v>1.0931903979056101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108.5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-5.3205440053716299E-14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293.42903587188346</v>
      </c>
      <c r="AO107" s="59">
        <f t="shared" si="90"/>
        <v>267.80827667062124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0.72396264956822598</v>
      </c>
      <c r="AV107" s="21">
        <f>EXP(-LN(2)/25)*AV106+(1-EXP(-LN(2)/25))/(LN(2)/25)*Calculateur!AQ107*Calculateur!AS107*VLOOKUP('Données projet'!$B$10,Paramètres!$A$1:$I$89,3,0)*0.475*44/12</f>
        <v>1.0095389396430379</v>
      </c>
      <c r="AW107" s="21">
        <f>EXP(-LN(2)/2)*AW106+(1-EXP(-LN(2)/2))/(LN(2)/2)*AQ107*AT107*VLOOKUP('Données projet'!$B$10,Paramètres!$A$1:$I$89,3,0)*0.475*44/12</f>
        <v>7.1538499325804819E-11</v>
      </c>
      <c r="AX107" s="21">
        <f t="shared" si="60"/>
        <v>1.7335015892828023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108.5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4.4000000000000004</v>
      </c>
      <c r="BD107" s="12">
        <f>IF('Données projet'!$A$88&gt;35,BD106+BC107-BL106,IF(A107&lt;'Données projet'!$A$88,$BA$205^A107,IF(A107='Données projet'!$A$88,'Données projet'!$B$88,BD106+BC107-BL106)))</f>
        <v>278.60000000000014</v>
      </c>
      <c r="BE107" s="13">
        <f>BD107*VLOOKUP('Données projet'!$B$11,Paramètres!$A$1:$I$89,3,0)*VLOOKUP('Données projet'!$B$11,Paramètres!$A$1:$I$89,5,0)</f>
        <v>252.07728000000014</v>
      </c>
      <c r="BF107" s="13">
        <f t="shared" si="91"/>
        <v>61.030544652155044</v>
      </c>
      <c r="BG107" s="20">
        <f t="shared" si="61"/>
        <v>545.32946126917022</v>
      </c>
      <c r="BH107" s="59">
        <f t="shared" si="62"/>
        <v>979.82946126917022</v>
      </c>
      <c r="BI107" s="59">
        <f ca="1">AVERAGE(OFFSET($BH$3,0,0,'Données projet'!$E$11+1,1))-AVERAGE(OFFSET($H$3,0,0,'Données projet'!$E$11+1,1))</f>
        <v>324.41828402031939</v>
      </c>
      <c r="BJ107" s="59">
        <f t="shared" si="92"/>
        <v>233.01060088065992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0.39915724748446929</v>
      </c>
      <c r="BR107" s="21">
        <f>EXP(-LN(2)/2)*BR106+(1-EXP(-LN(2)/2))/(LN(2)/2)*BL107*BO107*VLOOKUP('Données projet'!$B$11,Paramètres!$A$1:$I$89,3,0)*0.475*44/12</f>
        <v>4.5033432648258366E-11</v>
      </c>
      <c r="BS107" s="22">
        <f t="shared" si="63"/>
        <v>0.39915724752950271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108.5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279.00060755204919</v>
      </c>
      <c r="CE107" s="59">
        <f t="shared" si="94"/>
        <v>333.91128554211014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1.6862350483110182</v>
      </c>
      <c r="CL107" s="21">
        <f>EXP(-LN(2)/25)*CL106+(1-EXP(-LN(2)/25))/(LN(2)/25)*Calculateur!CG107*Calculateur!CI107*VLOOKUP('Données projet'!$B$12,Paramètres!$A$1:$I$89,3,0)*0.475*44/12</f>
        <v>3.5766426801971321</v>
      </c>
      <c r="CM107" s="21">
        <f>EXP(-LN(2)/2)*CM106+(1-EXP(-LN(2)/2))/(LN(2)/2)*CG107*CJ107*VLOOKUP('Données projet'!$B$12,Paramètres!$A$1:$I$89,3,0)*0.475*44/12</f>
        <v>1.568251808737965E-10</v>
      </c>
      <c r="CN107" s="22">
        <f t="shared" si="66"/>
        <v>5.2628777286649751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108.5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-1.1368683772161603E-13</v>
      </c>
      <c r="CU107" s="17">
        <f>CT107*VLOOKUP('Données projet'!$B$13,Paramètres!$A$1:$I$89,3,0)*VLOOKUP('Données projet'!$B$13,Paramètres!$A$1:$I$89,5,0)</f>
        <v>-6.7984728957526396E-14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380.01315081072897</v>
      </c>
      <c r="CZ107" s="59">
        <f t="shared" si="96"/>
        <v>404.90871625409181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0.80798762731569695</v>
      </c>
      <c r="DG107" s="21">
        <f>EXP(-LN(2)/25)*DG106+(1-EXP(-LN(2)/25))/(LN(2)/25)*Calculateur!DB107*Calculateur!DD107*VLOOKUP('Données projet'!$B$13,Paramètres!$A$1:$I$89,3,0)*0.475*44/12</f>
        <v>2.7424574154560726</v>
      </c>
      <c r="DH107" s="21">
        <f>EXP(-LN(2)/2)*DH106+(1-EXP(-LN(2)/2))/(LN(2)/2)*DB107*DE107*VLOOKUP('Données projet'!$B$13,Paramètres!$A$1:$I$89,3,0)*0.475*44/12</f>
        <v>2.2048577459768432E-10</v>
      </c>
      <c r="DI107" s="22">
        <f t="shared" si="69"/>
        <v>3.5504450429922554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108.5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-5.6843418860808015E-14</v>
      </c>
      <c r="DP107" s="17">
        <f>DO107*VLOOKUP('Données projet'!$B$14,Paramètres!$A$1:$I$89,3,0)*VLOOKUP('Données projet'!$B$14,Paramètres!$A$1:$I$89,5,0)</f>
        <v>-5.1431925385259088E-14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320.81451813551064</v>
      </c>
      <c r="DU107" s="59">
        <f t="shared" si="98"/>
        <v>522.80818268773976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0.42393694501710394</v>
      </c>
      <c r="EB107" s="21">
        <f>EXP(-LN(2)/25)*EB106+(1-EXP(-LN(2)/25))/(LN(2)/25)*Calculateur!DW107*Calculateur!DY107*VLOOKUP('Données projet'!$B$14,Paramètres!$A$1:$I$89,3,0)*0.475*44/12</f>
        <v>1.3398841138609414</v>
      </c>
      <c r="EC107" s="21">
        <f>EXP(-LN(2)/2)*EC106+(1-EXP(-LN(2)/2))/(LN(2)/2)*DW107*DZ107*VLOOKUP('Données projet'!$B$14,Paramètres!$A$1:$I$89,3,0)*0.475*44/12</f>
        <v>4.3574862543292879E-11</v>
      </c>
      <c r="ED107" s="22">
        <f t="shared" si="72"/>
        <v>1.7638210589216203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108.5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228.3393311631487</v>
      </c>
      <c r="EP107" s="59">
        <f t="shared" si="100"/>
        <v>266.26050497804033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1.4347839126926343</v>
      </c>
      <c r="EW107" s="21">
        <f>EXP(-LN(2)/25)*EW106+(1-EXP(-LN(2)/25))/(LN(2)/25)*Calculateur!ER107*Calculateur!ET107*VLOOKUP('Données projet'!$B$15,Paramètres!$A$1:$I$89,3,0)*0.475*44/12</f>
        <v>1.5846938172629581</v>
      </c>
      <c r="EX107" s="21">
        <f>EXP(-LN(2)/2)*EX106+(1-EXP(-LN(2)/2))/(LN(2)/2)*ER107*EU107*VLOOKUP('Données projet'!$B$15,Paramètres!$A$1:$I$89,3,0)*0.475*44/12</f>
        <v>3.9622626893645581E-11</v>
      </c>
      <c r="EY107" s="22">
        <f t="shared" si="75"/>
        <v>3.0194777299952147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108.5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-1.7053025658242404E-13</v>
      </c>
      <c r="FF107" s="17">
        <f>FE107*VLOOKUP('Données projet'!$B$16,Paramètres!$A$1:$I$89,3,0)*VLOOKUP('Données projet'!$B$16,Paramètres!$A$1:$I$89,5,0)</f>
        <v>-9.7543306765146564E-14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242.10913976205194</v>
      </c>
      <c r="FK107" s="59">
        <f t="shared" si="102"/>
        <v>198.24795425321133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1.3927597133815921</v>
      </c>
      <c r="FS107" s="21">
        <f>EXP(-LN(2)/2)*FS106+(1-EXP(-LN(2)/2))/(LN(2)/2)*FM107*FP107*VLOOKUP('Données projet'!$B$16,Paramètres!$A$1:$I$89,3,0)*0.475*44/12</f>
        <v>9.6207677804023555E-11</v>
      </c>
      <c r="FT107" s="22">
        <f t="shared" si="78"/>
        <v>1.3927597134777998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108.5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108.5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51.351300000000037</v>
      </c>
      <c r="D108" s="11">
        <f t="shared" si="86"/>
        <v>14.962195310247191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281.54150640490934</v>
      </c>
      <c r="H108" s="67">
        <f t="shared" si="56"/>
        <v>513.32933766534723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108.5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5.6843418860808015E-14</v>
      </c>
      <c r="O108" s="13">
        <f>N108*VLOOKUP('Données projet'!$B$9,Paramètres!$A$1:$I$89,3,0)*VLOOKUP('Données projet'!$B$9,Paramètres!$A$1:$I$89,5,0)</f>
        <v>4.6111381379887463E-14</v>
      </c>
      <c r="P108" s="13">
        <f t="shared" si="87"/>
        <v>7.5804141040779151E-13</v>
      </c>
      <c r="Q108" s="20">
        <f t="shared" si="107"/>
        <v>1.4005661123635408E-12</v>
      </c>
      <c r="R108" s="59">
        <f t="shared" si="55"/>
        <v>434.50000000000142</v>
      </c>
      <c r="S108" s="59">
        <f ca="1">AVERAGE(OFFSET($R$3,0,0,'Données projet'!$E$9+1,1))-AVERAGE(OFFSET($H$3,0,0,'Données projet'!$E$9+1,1))</f>
        <v>273.89826011924487</v>
      </c>
      <c r="T108" s="59">
        <f t="shared" si="88"/>
        <v>332.17519939974227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1.0632970489088438</v>
      </c>
      <c r="AB108" s="21">
        <f>EXP(-LN(2)/2)*AB107+(1-EXP(-LN(2)/2))/(LN(2)/2)*V108*Y108*VLOOKUP('Données projet'!$B$9,Paramètres!$A$1:$I$89,3,0)*0.475*44/12</f>
        <v>5.645254123987555E-11</v>
      </c>
      <c r="AC108" s="22">
        <f t="shared" si="57"/>
        <v>1.0632970489652964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108.5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-5.3205440053716299E-14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293.42903587188346</v>
      </c>
      <c r="AO108" s="59">
        <f t="shared" si="90"/>
        <v>267.80827667062124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0.7097661835838075</v>
      </c>
      <c r="AV108" s="21">
        <f>EXP(-LN(2)/25)*AV107+(1-EXP(-LN(2)/25))/(LN(2)/25)*Calculateur!AQ108*Calculateur!AS108*VLOOKUP('Données projet'!$B$10,Paramètres!$A$1:$I$89,3,0)*0.475*44/12</f>
        <v>0.98193304424915351</v>
      </c>
      <c r="AW108" s="21">
        <f>EXP(-LN(2)/2)*AW107+(1-EXP(-LN(2)/2))/(LN(2)/2)*AQ108*AT108*VLOOKUP('Données projet'!$B$10,Paramètres!$A$1:$I$89,3,0)*0.475*44/12</f>
        <v>5.0585357989185847E-11</v>
      </c>
      <c r="AX108" s="21">
        <f t="shared" si="60"/>
        <v>1.6916992278835463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108.5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4.4000000000000004</v>
      </c>
      <c r="BD108" s="12">
        <f>IF('Données projet'!$A$88&gt;35,BD107+BC108-BL107,IF(A108&lt;'Données projet'!$A$88,$BA$205^A108,IF(A108='Données projet'!$A$88,'Données projet'!$B$88,BD107+BC108-BL107)))</f>
        <v>283.00000000000011</v>
      </c>
      <c r="BE108" s="13">
        <f>BD108*VLOOKUP('Données projet'!$B$11,Paramètres!$A$1:$I$89,3,0)*VLOOKUP('Données projet'!$B$11,Paramètres!$A$1:$I$89,5,0)</f>
        <v>256.05840000000006</v>
      </c>
      <c r="BF108" s="13">
        <f t="shared" si="91"/>
        <v>61.881442594256484</v>
      </c>
      <c r="BG108" s="20">
        <f t="shared" si="61"/>
        <v>553.74522585166358</v>
      </c>
      <c r="BH108" s="59">
        <f t="shared" si="62"/>
        <v>988.24522585166358</v>
      </c>
      <c r="BI108" s="59">
        <f ca="1">AVERAGE(OFFSET($BH$3,0,0,'Données projet'!$E$11+1,1))-AVERAGE(OFFSET($H$3,0,0,'Données projet'!$E$11+1,1))</f>
        <v>324.41828402031939</v>
      </c>
      <c r="BJ108" s="59">
        <f t="shared" si="92"/>
        <v>233.01060088065992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0.38824227156123914</v>
      </c>
      <c r="BR108" s="21">
        <f>EXP(-LN(2)/2)*BR107+(1-EXP(-LN(2)/2))/(LN(2)/2)*BL108*BO108*VLOOKUP('Données projet'!$B$11,Paramètres!$A$1:$I$89,3,0)*0.475*44/12</f>
        <v>3.1843445605691153E-11</v>
      </c>
      <c r="BS108" s="22">
        <f t="shared" si="63"/>
        <v>0.38824227159308261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108.5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279.00060755204919</v>
      </c>
      <c r="CE108" s="59">
        <f t="shared" si="94"/>
        <v>333.91128554211014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1.6531690075154626</v>
      </c>
      <c r="CL108" s="21">
        <f>EXP(-LN(2)/25)*CL107+(1-EXP(-LN(2)/25))/(LN(2)/25)*Calculateur!CG108*Calculateur!CI108*VLOOKUP('Données projet'!$B$12,Paramètres!$A$1:$I$89,3,0)*0.475*44/12</f>
        <v>3.4788391980196773</v>
      </c>
      <c r="CM108" s="21">
        <f>EXP(-LN(2)/2)*CM107+(1-EXP(-LN(2)/2))/(LN(2)/2)*CG108*CJ108*VLOOKUP('Données projet'!$B$12,Paramètres!$A$1:$I$89,3,0)*0.475*44/12</f>
        <v>1.1089214885666836E-10</v>
      </c>
      <c r="CN108" s="22">
        <f t="shared" si="66"/>
        <v>5.1320082056460317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108.5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-1.1368683772161603E-13</v>
      </c>
      <c r="CU108" s="17">
        <f>CT108*VLOOKUP('Données projet'!$B$13,Paramètres!$A$1:$I$89,3,0)*VLOOKUP('Données projet'!$B$13,Paramètres!$A$1:$I$89,5,0)</f>
        <v>-6.7984728957526396E-14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380.01315081072897</v>
      </c>
      <c r="CZ108" s="59">
        <f t="shared" si="96"/>
        <v>404.90871625409181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0.79214348276782653</v>
      </c>
      <c r="DG108" s="21">
        <f>EXP(-LN(2)/25)*DG107+(1-EXP(-LN(2)/25))/(LN(2)/25)*Calculateur!DB108*Calculateur!DD108*VLOOKUP('Données projet'!$B$13,Paramètres!$A$1:$I$89,3,0)*0.475*44/12</f>
        <v>2.6674647732108587</v>
      </c>
      <c r="DH108" s="21">
        <f>EXP(-LN(2)/2)*DH107+(1-EXP(-LN(2)/2))/(LN(2)/2)*DB108*DE108*VLOOKUP('Données projet'!$B$13,Paramètres!$A$1:$I$89,3,0)*0.475*44/12</f>
        <v>1.5590698637319121E-10</v>
      </c>
      <c r="DI108" s="22">
        <f t="shared" si="69"/>
        <v>3.459608256134592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108.5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-5.6843418860808015E-14</v>
      </c>
      <c r="DP108" s="17">
        <f>DO108*VLOOKUP('Données projet'!$B$14,Paramètres!$A$1:$I$89,3,0)*VLOOKUP('Données projet'!$B$14,Paramètres!$A$1:$I$89,5,0)</f>
        <v>-5.1431925385259088E-14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320.81451813551064</v>
      </c>
      <c r="DU108" s="59">
        <f t="shared" si="98"/>
        <v>522.80818268773976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0.41562380010132272</v>
      </c>
      <c r="EB108" s="21">
        <f>EXP(-LN(2)/25)*EB107+(1-EXP(-LN(2)/25))/(LN(2)/25)*Calculateur!DW108*Calculateur!DY108*VLOOKUP('Données projet'!$B$14,Paramètres!$A$1:$I$89,3,0)*0.475*44/12</f>
        <v>1.3032449123059708</v>
      </c>
      <c r="EC108" s="21">
        <f>EXP(-LN(2)/2)*EC107+(1-EXP(-LN(2)/2))/(LN(2)/2)*DW108*DZ108*VLOOKUP('Données projet'!$B$14,Paramètres!$A$1:$I$89,3,0)*0.475*44/12</f>
        <v>3.0812080793634083E-11</v>
      </c>
      <c r="ED108" s="22">
        <f t="shared" si="72"/>
        <v>1.7188687124381057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108.5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228.3393311631487</v>
      </c>
      <c r="EP108" s="59">
        <f t="shared" si="100"/>
        <v>266.26050497804033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1.4066486752965064</v>
      </c>
      <c r="EW108" s="21">
        <f>EXP(-LN(2)/25)*EW107+(1-EXP(-LN(2)/25))/(LN(2)/25)*Calculateur!ER108*Calculateur!ET108*VLOOKUP('Données projet'!$B$15,Paramètres!$A$1:$I$89,3,0)*0.475*44/12</f>
        <v>1.5413602814944765</v>
      </c>
      <c r="EX108" s="21">
        <f>EXP(-LN(2)/2)*EX107+(1-EXP(-LN(2)/2))/(LN(2)/2)*ER108*EU108*VLOOKUP('Données projet'!$B$15,Paramètres!$A$1:$I$89,3,0)*0.475*44/12</f>
        <v>2.801742816492126E-11</v>
      </c>
      <c r="EY108" s="22">
        <f t="shared" si="75"/>
        <v>2.9480089568190007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108.5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-1.7053025658242404E-13</v>
      </c>
      <c r="FF108" s="17">
        <f>FE108*VLOOKUP('Données projet'!$B$16,Paramètres!$A$1:$I$89,3,0)*VLOOKUP('Données projet'!$B$16,Paramètres!$A$1:$I$89,5,0)</f>
        <v>-9.7543306765146564E-14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242.10913976205194</v>
      </c>
      <c r="FK108" s="59">
        <f t="shared" si="102"/>
        <v>198.24795425321133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1.3546746257771223</v>
      </c>
      <c r="FS108" s="21">
        <f>EXP(-LN(2)/2)*FS107+(1-EXP(-LN(2)/2))/(LN(2)/2)*FM108*FP108*VLOOKUP('Données projet'!$B$16,Paramètres!$A$1:$I$89,3,0)*0.475*44/12</f>
        <v>6.8029101377435548E-11</v>
      </c>
      <c r="FT108" s="22">
        <f t="shared" si="78"/>
        <v>1.3546746258451514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108.5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108.5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51.84036000000004</v>
      </c>
      <c r="D109" s="11">
        <f t="shared" si="86"/>
        <v>15.088036201961287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284.15213826095868</v>
      </c>
      <c r="H109" s="67">
        <f t="shared" si="56"/>
        <v>514.40029005174927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108.5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5.6843418860808015E-14</v>
      </c>
      <c r="O109" s="13">
        <f>N109*VLOOKUP('Données projet'!$B$9,Paramètres!$A$1:$I$89,3,0)*VLOOKUP('Données projet'!$B$9,Paramètres!$A$1:$I$89,5,0)</f>
        <v>4.6111381379887463E-14</v>
      </c>
      <c r="P109" s="13">
        <f t="shared" si="87"/>
        <v>7.5804141040779151E-13</v>
      </c>
      <c r="Q109" s="20">
        <f t="shared" si="107"/>
        <v>1.4005661123635408E-12</v>
      </c>
      <c r="R109" s="59">
        <f t="shared" si="55"/>
        <v>434.50000000000142</v>
      </c>
      <c r="S109" s="59">
        <f ca="1">AVERAGE(OFFSET($R$3,0,0,'Données projet'!$E$9+1,1))-AVERAGE(OFFSET($H$3,0,0,'Données projet'!$E$9+1,1))</f>
        <v>273.89826011924487</v>
      </c>
      <c r="T109" s="59">
        <f t="shared" si="88"/>
        <v>332.17519939974227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1.0342211351900699</v>
      </c>
      <c r="AB109" s="21">
        <f>EXP(-LN(2)/2)*AB108+(1-EXP(-LN(2)/2))/(LN(2)/2)*V109*Y109*VLOOKUP('Données projet'!$B$9,Paramètres!$A$1:$I$89,3,0)*0.475*44/12</f>
        <v>3.991797472592923E-11</v>
      </c>
      <c r="AC109" s="22">
        <f t="shared" si="57"/>
        <v>1.0342211352299879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108.5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-5.3205440053716299E-14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293.42903587188346</v>
      </c>
      <c r="AO109" s="59">
        <f t="shared" si="90"/>
        <v>267.80827667062124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0.6958481016383542</v>
      </c>
      <c r="AV109" s="21">
        <f>EXP(-LN(2)/25)*AV108+(1-EXP(-LN(2)/25))/(LN(2)/25)*Calculateur!AQ109*Calculateur!AS109*VLOOKUP('Données projet'!$B$10,Paramètres!$A$1:$I$89,3,0)*0.475*44/12</f>
        <v>0.95508203351654586</v>
      </c>
      <c r="AW109" s="21">
        <f>EXP(-LN(2)/2)*AW108+(1-EXP(-LN(2)/2))/(LN(2)/2)*AQ109*AT109*VLOOKUP('Données projet'!$B$10,Paramètres!$A$1:$I$89,3,0)*0.475*44/12</f>
        <v>3.576924966290241E-11</v>
      </c>
      <c r="AX109" s="21">
        <f t="shared" si="60"/>
        <v>1.6509301351906691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108.5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4.4000000000000004</v>
      </c>
      <c r="BD109" s="12">
        <f>IF('Données projet'!$A$88&gt;35,BD108+BC109-BL108,IF(A109&lt;'Données projet'!$A$88,$BA$205^A109,IF(A109='Données projet'!$A$88,'Données projet'!$B$88,BD108+BC109-BL108)))</f>
        <v>287.40000000000009</v>
      </c>
      <c r="BE109" s="13">
        <f>BD109*VLOOKUP('Données projet'!$B$11,Paramètres!$A$1:$I$89,3,0)*VLOOKUP('Données projet'!$B$11,Paramètres!$A$1:$I$89,5,0)</f>
        <v>260.03952000000004</v>
      </c>
      <c r="BF109" s="13">
        <f t="shared" si="91"/>
        <v>62.730801948604871</v>
      </c>
      <c r="BG109" s="20">
        <f t="shared" si="61"/>
        <v>562.15831072715355</v>
      </c>
      <c r="BH109" s="59">
        <f t="shared" si="62"/>
        <v>996.65831072715355</v>
      </c>
      <c r="BI109" s="59">
        <f ca="1">AVERAGE(OFFSET($BH$3,0,0,'Données projet'!$E$11+1,1))-AVERAGE(OFFSET($H$3,0,0,'Données projet'!$E$11+1,1))</f>
        <v>324.41828402031939</v>
      </c>
      <c r="BJ109" s="59">
        <f t="shared" si="92"/>
        <v>233.01060088065992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0.37762576622862332</v>
      </c>
      <c r="BR109" s="21">
        <f>EXP(-LN(2)/2)*BR108+(1-EXP(-LN(2)/2))/(LN(2)/2)*BL109*BO109*VLOOKUP('Données projet'!$B$11,Paramètres!$A$1:$I$89,3,0)*0.475*44/12</f>
        <v>2.2516716324129183E-11</v>
      </c>
      <c r="BS109" s="22">
        <f t="shared" si="63"/>
        <v>0.37762576625114003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108.5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279.00060755204919</v>
      </c>
      <c r="CE109" s="59">
        <f t="shared" si="94"/>
        <v>333.91128554211014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1.6207513716116142</v>
      </c>
      <c r="CL109" s="21">
        <f>EXP(-LN(2)/25)*CL108+(1-EXP(-LN(2)/25))/(LN(2)/25)*Calculateur!CG109*Calculateur!CI109*VLOOKUP('Données projet'!$B$12,Paramètres!$A$1:$I$89,3,0)*0.475*44/12</f>
        <v>3.383710157205627</v>
      </c>
      <c r="CM109" s="21">
        <f>EXP(-LN(2)/2)*CM108+(1-EXP(-LN(2)/2))/(LN(2)/2)*CG109*CJ109*VLOOKUP('Données projet'!$B$12,Paramètres!$A$1:$I$89,3,0)*0.475*44/12</f>
        <v>7.8412590436898252E-11</v>
      </c>
      <c r="CN109" s="22">
        <f t="shared" si="66"/>
        <v>5.0044615288956544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108.5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-1.1368683772161603E-13</v>
      </c>
      <c r="CU109" s="17">
        <f>CT109*VLOOKUP('Données projet'!$B$13,Paramètres!$A$1:$I$89,3,0)*VLOOKUP('Données projet'!$B$13,Paramètres!$A$1:$I$89,5,0)</f>
        <v>-6.7984728957526396E-14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380.01315081072897</v>
      </c>
      <c r="CZ109" s="59">
        <f t="shared" si="96"/>
        <v>404.90871625409181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0.77661003223056591</v>
      </c>
      <c r="DG109" s="21">
        <f>EXP(-LN(2)/25)*DG108+(1-EXP(-LN(2)/25))/(LN(2)/25)*Calculateur!DB109*Calculateur!DD109*VLOOKUP('Données projet'!$B$13,Paramètres!$A$1:$I$89,3,0)*0.475*44/12</f>
        <v>2.594522808711532</v>
      </c>
      <c r="DH109" s="21">
        <f>EXP(-LN(2)/2)*DH108+(1-EXP(-LN(2)/2))/(LN(2)/2)*DB109*DE109*VLOOKUP('Données projet'!$B$13,Paramètres!$A$1:$I$89,3,0)*0.475*44/12</f>
        <v>1.1024288729884216E-10</v>
      </c>
      <c r="DI109" s="22">
        <f t="shared" si="69"/>
        <v>3.3711328410523409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108.5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-5.6843418860808015E-14</v>
      </c>
      <c r="DP109" s="17">
        <f>DO109*VLOOKUP('Données projet'!$B$14,Paramètres!$A$1:$I$89,3,0)*VLOOKUP('Données projet'!$B$14,Paramètres!$A$1:$I$89,5,0)</f>
        <v>-5.1431925385259088E-14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320.81451813551064</v>
      </c>
      <c r="DU109" s="59">
        <f t="shared" si="98"/>
        <v>522.80818268773976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0.40747367088682224</v>
      </c>
      <c r="EB109" s="21">
        <f>EXP(-LN(2)/25)*EB108+(1-EXP(-LN(2)/25))/(LN(2)/25)*Calculateur!DW109*Calculateur!DY109*VLOOKUP('Données projet'!$B$14,Paramètres!$A$1:$I$89,3,0)*0.475*44/12</f>
        <v>1.2676076116442927</v>
      </c>
      <c r="EC109" s="21">
        <f>EXP(-LN(2)/2)*EC108+(1-EXP(-LN(2)/2))/(LN(2)/2)*DW109*DZ109*VLOOKUP('Données projet'!$B$14,Paramètres!$A$1:$I$89,3,0)*0.475*44/12</f>
        <v>2.1787431271646439E-11</v>
      </c>
      <c r="ED109" s="22">
        <f t="shared" si="72"/>
        <v>1.6750812825529025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108.5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228.3393311631487</v>
      </c>
      <c r="EP109" s="59">
        <f t="shared" si="100"/>
        <v>266.26050497804033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1.3790651527449163</v>
      </c>
      <c r="EW109" s="21">
        <f>EXP(-LN(2)/25)*EW108+(1-EXP(-LN(2)/25))/(LN(2)/25)*Calculateur!ER109*Calculateur!ET109*VLOOKUP('Données projet'!$B$15,Paramètres!$A$1:$I$89,3,0)*0.475*44/12</f>
        <v>1.4992117035403956</v>
      </c>
      <c r="EX109" s="21">
        <f>EXP(-LN(2)/2)*EX108+(1-EXP(-LN(2)/2))/(LN(2)/2)*ER109*EU109*VLOOKUP('Données projet'!$B$15,Paramètres!$A$1:$I$89,3,0)*0.475*44/12</f>
        <v>1.9811313446822791E-11</v>
      </c>
      <c r="EY109" s="22">
        <f t="shared" si="75"/>
        <v>2.8782768563051229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108.5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-1.7053025658242404E-13</v>
      </c>
      <c r="FF109" s="17">
        <f>FE109*VLOOKUP('Données projet'!$B$16,Paramètres!$A$1:$I$89,3,0)*VLOOKUP('Données projet'!$B$16,Paramètres!$A$1:$I$89,5,0)</f>
        <v>-9.7543306765146564E-14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242.10913976205194</v>
      </c>
      <c r="FK109" s="59">
        <f t="shared" si="102"/>
        <v>198.24795425321133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1.3176309768960044</v>
      </c>
      <c r="FS109" s="21">
        <f>EXP(-LN(2)/2)*FS108+(1-EXP(-LN(2)/2))/(LN(2)/2)*FM109*FP109*VLOOKUP('Données projet'!$B$16,Paramètres!$A$1:$I$89,3,0)*0.475*44/12</f>
        <v>4.8103838902011778E-11</v>
      </c>
      <c r="FT109" s="22">
        <f t="shared" si="78"/>
        <v>1.3176309769441081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108.5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108.5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52.329420000000042</v>
      </c>
      <c r="D110" s="11">
        <f t="shared" si="86"/>
        <v>15.213738979808399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286.76218373883586</v>
      </c>
      <c r="H110" s="67">
        <f t="shared" si="56"/>
        <v>515.47100188983302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108.5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5.6843418860808015E-14</v>
      </c>
      <c r="O110" s="13">
        <f>N110*VLOOKUP('Données projet'!$B$9,Paramètres!$A$1:$I$89,3,0)*VLOOKUP('Données projet'!$B$9,Paramètres!$A$1:$I$89,5,0)</f>
        <v>4.6111381379887463E-14</v>
      </c>
      <c r="P110" s="13">
        <f t="shared" si="87"/>
        <v>7.5804141040779151E-13</v>
      </c>
      <c r="Q110" s="20">
        <f t="shared" si="107"/>
        <v>1.4005661123635408E-12</v>
      </c>
      <c r="R110" s="59">
        <f t="shared" si="55"/>
        <v>434.50000000000142</v>
      </c>
      <c r="S110" s="59">
        <f ca="1">AVERAGE(OFFSET($R$3,0,0,'Données projet'!$E$9+1,1))-AVERAGE(OFFSET($H$3,0,0,'Données projet'!$E$9+1,1))</f>
        <v>273.89826011924487</v>
      </c>
      <c r="T110" s="59">
        <f t="shared" si="88"/>
        <v>332.17519939974227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1.0059403038609716</v>
      </c>
      <c r="AB110" s="21">
        <f>EXP(-LN(2)/2)*AB109+(1-EXP(-LN(2)/2))/(LN(2)/2)*V110*Y110*VLOOKUP('Données projet'!$B$9,Paramètres!$A$1:$I$89,3,0)*0.475*44/12</f>
        <v>2.8226270619937775E-11</v>
      </c>
      <c r="AC110" s="22">
        <f t="shared" si="57"/>
        <v>1.0059403038891979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108.5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-5.3205440053716299E-14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293.42903587188346</v>
      </c>
      <c r="AO110" s="59">
        <f t="shared" si="90"/>
        <v>267.80827667062124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0.68220294479065957</v>
      </c>
      <c r="AV110" s="21">
        <f>EXP(-LN(2)/25)*AV109+(1-EXP(-LN(2)/25))/(LN(2)/25)*Calculateur!AQ110*Calculateur!AS110*VLOOKUP('Données projet'!$B$10,Paramètres!$A$1:$I$89,3,0)*0.475*44/12</f>
        <v>0.92896526508445465</v>
      </c>
      <c r="AW110" s="21">
        <f>EXP(-LN(2)/2)*AW109+(1-EXP(-LN(2)/2))/(LN(2)/2)*AQ110*AT110*VLOOKUP('Données projet'!$B$10,Paramètres!$A$1:$I$89,3,0)*0.475*44/12</f>
        <v>2.5292678994592923E-11</v>
      </c>
      <c r="AX110" s="21">
        <f t="shared" si="60"/>
        <v>1.611168209900407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108.5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4.4000000000000004</v>
      </c>
      <c r="BD110" s="12">
        <f>IF('Données projet'!$A$88&gt;35,BD109+BC110-BL109,IF(A110&lt;'Données projet'!$A$88,$BA$205^A110,IF(A110='Données projet'!$A$88,'Données projet'!$B$88,BD109+BC110-BL109)))</f>
        <v>291.80000000000007</v>
      </c>
      <c r="BE110" s="13">
        <f>BD110*VLOOKUP('Données projet'!$B$11,Paramètres!$A$1:$I$89,3,0)*VLOOKUP('Données projet'!$B$11,Paramètres!$A$1:$I$89,5,0)</f>
        <v>264.02064000000007</v>
      </c>
      <c r="BF110" s="13">
        <f t="shared" si="91"/>
        <v>63.578648990959174</v>
      </c>
      <c r="BG110" s="20">
        <f t="shared" si="61"/>
        <v>570.56876165925394</v>
      </c>
      <c r="BH110" s="59">
        <f t="shared" si="62"/>
        <v>1005.0687616592539</v>
      </c>
      <c r="BI110" s="59">
        <f ca="1">AVERAGE(OFFSET($BH$3,0,0,'Données projet'!$E$11+1,1))-AVERAGE(OFFSET($H$3,0,0,'Données projet'!$E$11+1,1))</f>
        <v>324.41828402031939</v>
      </c>
      <c r="BJ110" s="59">
        <f t="shared" si="92"/>
        <v>233.01060088065992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0.36729956979262562</v>
      </c>
      <c r="BR110" s="21">
        <f>EXP(-LN(2)/2)*BR109+(1-EXP(-LN(2)/2))/(LN(2)/2)*BL110*BO110*VLOOKUP('Données projet'!$B$11,Paramètres!$A$1:$I$89,3,0)*0.475*44/12</f>
        <v>1.5921722802845577E-11</v>
      </c>
      <c r="BS110" s="22">
        <f t="shared" si="63"/>
        <v>0.36729956980854733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108.5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279.00060755204919</v>
      </c>
      <c r="CE110" s="59">
        <f t="shared" si="94"/>
        <v>333.91128554211014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1.5889694257750349</v>
      </c>
      <c r="CL110" s="21">
        <f>EXP(-LN(2)/25)*CL109+(1-EXP(-LN(2)/25))/(LN(2)/25)*Calculateur!CG110*Calculateur!CI110*VLOOKUP('Données projet'!$B$12,Paramètres!$A$1:$I$89,3,0)*0.475*44/12</f>
        <v>3.2911824250152555</v>
      </c>
      <c r="CM110" s="21">
        <f>EXP(-LN(2)/2)*CM109+(1-EXP(-LN(2)/2))/(LN(2)/2)*CG110*CJ110*VLOOKUP('Données projet'!$B$12,Paramètres!$A$1:$I$89,3,0)*0.475*44/12</f>
        <v>5.5446074428334182E-11</v>
      </c>
      <c r="CN110" s="22">
        <f t="shared" si="66"/>
        <v>4.8801518508457367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108.5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-1.1368683772161603E-13</v>
      </c>
      <c r="CU110" s="17">
        <f>CT110*VLOOKUP('Données projet'!$B$13,Paramètres!$A$1:$I$89,3,0)*VLOOKUP('Données projet'!$B$13,Paramètres!$A$1:$I$89,5,0)</f>
        <v>-6.7984728957526396E-14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380.01315081072897</v>
      </c>
      <c r="CZ110" s="59">
        <f t="shared" si="96"/>
        <v>404.90871625409181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0.7613811831838716</v>
      </c>
      <c r="DG110" s="21">
        <f>EXP(-LN(2)/25)*DG109+(1-EXP(-LN(2)/25))/(LN(2)/25)*Calculateur!DB110*Calculateur!DD110*VLOOKUP('Données projet'!$B$13,Paramètres!$A$1:$I$89,3,0)*0.475*44/12</f>
        <v>2.5235754460672903</v>
      </c>
      <c r="DH110" s="21">
        <f>EXP(-LN(2)/2)*DH109+(1-EXP(-LN(2)/2))/(LN(2)/2)*DB110*DE110*VLOOKUP('Données projet'!$B$13,Paramètres!$A$1:$I$89,3,0)*0.475*44/12</f>
        <v>7.7953493186595603E-11</v>
      </c>
      <c r="DI110" s="22">
        <f t="shared" si="69"/>
        <v>3.2849566293291157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108.5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-5.6843418860808015E-14</v>
      </c>
      <c r="DP110" s="17">
        <f>DO110*VLOOKUP('Données projet'!$B$14,Paramètres!$A$1:$I$89,3,0)*VLOOKUP('Données projet'!$B$14,Paramètres!$A$1:$I$89,5,0)</f>
        <v>-5.1431925385259088E-14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320.81451813551064</v>
      </c>
      <c r="DU110" s="59">
        <f t="shared" si="98"/>
        <v>522.80818268773976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0.39948336073513013</v>
      </c>
      <c r="EB110" s="21">
        <f>EXP(-LN(2)/25)*EB109+(1-EXP(-LN(2)/25))/(LN(2)/25)*Calculateur!DW110*Calculateur!DY110*VLOOKUP('Données projet'!$B$14,Paramètres!$A$1:$I$89,3,0)*0.475*44/12</f>
        <v>1.2329448148432924</v>
      </c>
      <c r="EC110" s="21">
        <f>EXP(-LN(2)/2)*EC109+(1-EXP(-LN(2)/2))/(LN(2)/2)*DW110*DZ110*VLOOKUP('Données projet'!$B$14,Paramètres!$A$1:$I$89,3,0)*0.475*44/12</f>
        <v>1.5406040396817042E-11</v>
      </c>
      <c r="ED110" s="22">
        <f t="shared" si="72"/>
        <v>1.6324281755938286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108.5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228.3393311631487</v>
      </c>
      <c r="EP110" s="59">
        <f t="shared" si="100"/>
        <v>266.26050497804033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1.3520225262462753</v>
      </c>
      <c r="EW110" s="21">
        <f>EXP(-LN(2)/25)*EW109+(1-EXP(-LN(2)/25))/(LN(2)/25)*Calculateur!ER110*Calculateur!ET110*VLOOKUP('Données projet'!$B$15,Paramètres!$A$1:$I$89,3,0)*0.475*44/12</f>
        <v>1.4582156806669664</v>
      </c>
      <c r="EX110" s="21">
        <f>EXP(-LN(2)/2)*EX109+(1-EXP(-LN(2)/2))/(LN(2)/2)*ER110*EU110*VLOOKUP('Données projet'!$B$15,Paramètres!$A$1:$I$89,3,0)*0.475*44/12</f>
        <v>1.400871408246063E-11</v>
      </c>
      <c r="EY110" s="22">
        <f t="shared" si="75"/>
        <v>2.8102382069272505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108.5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-1.7053025658242404E-13</v>
      </c>
      <c r="FF110" s="17">
        <f>FE110*VLOOKUP('Données projet'!$B$16,Paramètres!$A$1:$I$89,3,0)*VLOOKUP('Données projet'!$B$16,Paramètres!$A$1:$I$89,5,0)</f>
        <v>-9.7543306765146564E-14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242.10913976205194</v>
      </c>
      <c r="FK110" s="59">
        <f t="shared" si="102"/>
        <v>198.24795425321133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1.2816002885415816</v>
      </c>
      <c r="FS110" s="21">
        <f>EXP(-LN(2)/2)*FS109+(1-EXP(-LN(2)/2))/(LN(2)/2)*FM110*FP110*VLOOKUP('Données projet'!$B$16,Paramètres!$A$1:$I$89,3,0)*0.475*44/12</f>
        <v>3.4014550688717774E-11</v>
      </c>
      <c r="FT110" s="22">
        <f t="shared" si="78"/>
        <v>1.2816002885755962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108.5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108.5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52.818480000000044</v>
      </c>
      <c r="D111" s="11">
        <f t="shared" si="86"/>
        <v>15.339305084078129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289.37164895345467</v>
      </c>
      <c r="H111" s="67">
        <f t="shared" si="56"/>
        <v>516.54147568810276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108.5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5.6843418860808015E-14</v>
      </c>
      <c r="O111" s="13">
        <f>N111*VLOOKUP('Données projet'!$B$9,Paramètres!$A$1:$I$89,3,0)*VLOOKUP('Données projet'!$B$9,Paramètres!$A$1:$I$89,5,0)</f>
        <v>4.6111381379887463E-14</v>
      </c>
      <c r="P111" s="13">
        <f t="shared" si="87"/>
        <v>7.5804141040779151E-13</v>
      </c>
      <c r="Q111" s="20">
        <f t="shared" si="107"/>
        <v>1.4005661123635408E-12</v>
      </c>
      <c r="R111" s="59">
        <f t="shared" si="55"/>
        <v>434.50000000000142</v>
      </c>
      <c r="S111" s="59">
        <f ca="1">AVERAGE(OFFSET($R$3,0,0,'Données projet'!$E$9+1,1))-AVERAGE(OFFSET($H$3,0,0,'Données projet'!$E$9+1,1))</f>
        <v>273.89826011924487</v>
      </c>
      <c r="T111" s="59">
        <f t="shared" si="88"/>
        <v>332.17519939974227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0.97843281335179177</v>
      </c>
      <c r="AB111" s="21">
        <f>EXP(-LN(2)/2)*AB110+(1-EXP(-LN(2)/2))/(LN(2)/2)*V111*Y111*VLOOKUP('Données projet'!$B$9,Paramètres!$A$1:$I$89,3,0)*0.475*44/12</f>
        <v>1.9958987362964615E-11</v>
      </c>
      <c r="AC111" s="22">
        <f t="shared" si="57"/>
        <v>0.97843281337175081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108.5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-5.3205440053716299E-14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293.42903587188346</v>
      </c>
      <c r="AO111" s="59">
        <f t="shared" si="90"/>
        <v>267.80827667062124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0.66882536114602431</v>
      </c>
      <c r="AV111" s="21">
        <f>EXP(-LN(2)/25)*AV110+(1-EXP(-LN(2)/25))/(LN(2)/25)*Calculateur!AQ111*Calculateur!AS111*VLOOKUP('Données projet'!$B$10,Paramètres!$A$1:$I$89,3,0)*0.475*44/12</f>
        <v>0.90356266105856009</v>
      </c>
      <c r="AW111" s="21">
        <f>EXP(-LN(2)/2)*AW110+(1-EXP(-LN(2)/2))/(LN(2)/2)*AQ111*AT111*VLOOKUP('Données projet'!$B$10,Paramètres!$A$1:$I$89,3,0)*0.475*44/12</f>
        <v>1.7884624831451205E-11</v>
      </c>
      <c r="AX111" s="21">
        <f t="shared" si="60"/>
        <v>1.5723880222224691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108.5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4.4000000000000004</v>
      </c>
      <c r="BD111" s="12">
        <f>IF('Données projet'!$A$88&gt;35,BD110+BC111-BL110,IF(A111&lt;'Données projet'!$A$88,$BA$205^A111,IF(A111='Données projet'!$A$88,'Données projet'!$B$88,BD110+BC111-BL110)))</f>
        <v>296.20000000000005</v>
      </c>
      <c r="BE111" s="13">
        <f>BD111*VLOOKUP('Données projet'!$B$11,Paramètres!$A$1:$I$89,3,0)*VLOOKUP('Données projet'!$B$11,Paramètres!$A$1:$I$89,5,0)</f>
        <v>268.00176000000005</v>
      </c>
      <c r="BF111" s="13">
        <f t="shared" si="91"/>
        <v>64.425009159185578</v>
      </c>
      <c r="BG111" s="20">
        <f t="shared" si="61"/>
        <v>578.97662295224825</v>
      </c>
      <c r="BH111" s="59">
        <f t="shared" si="62"/>
        <v>1013.4766229522482</v>
      </c>
      <c r="BI111" s="59">
        <f ca="1">AVERAGE(OFFSET($BH$3,0,0,'Données projet'!$E$11+1,1))-AVERAGE(OFFSET($H$3,0,0,'Données projet'!$E$11+1,1))</f>
        <v>324.41828402031939</v>
      </c>
      <c r="BJ111" s="59">
        <f t="shared" si="92"/>
        <v>233.01060088065992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0.35725574374120139</v>
      </c>
      <c r="BR111" s="21">
        <f>EXP(-LN(2)/2)*BR110+(1-EXP(-LN(2)/2))/(LN(2)/2)*BL111*BO111*VLOOKUP('Données projet'!$B$11,Paramètres!$A$1:$I$89,3,0)*0.475*44/12</f>
        <v>1.1258358162064591E-11</v>
      </c>
      <c r="BS111" s="22">
        <f t="shared" si="63"/>
        <v>0.35725574375245978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108.5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279.00060755204919</v>
      </c>
      <c r="CE111" s="59">
        <f t="shared" si="94"/>
        <v>333.91128554211014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1.5578107045112379</v>
      </c>
      <c r="CL111" s="21">
        <f>EXP(-LN(2)/25)*CL110+(1-EXP(-LN(2)/25))/(LN(2)/25)*Calculateur!CG111*Calculateur!CI111*VLOOKUP('Données projet'!$B$12,Paramètres!$A$1:$I$89,3,0)*0.475*44/12</f>
        <v>3.2011848685274518</v>
      </c>
      <c r="CM111" s="21">
        <f>EXP(-LN(2)/2)*CM110+(1-EXP(-LN(2)/2))/(LN(2)/2)*CG111*CJ111*VLOOKUP('Données projet'!$B$12,Paramètres!$A$1:$I$89,3,0)*0.475*44/12</f>
        <v>3.9206295218449126E-11</v>
      </c>
      <c r="CN111" s="22">
        <f t="shared" si="66"/>
        <v>4.7589955730778959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108.5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-1.1368683772161603E-13</v>
      </c>
      <c r="CU111" s="17">
        <f>CT111*VLOOKUP('Données projet'!$B$13,Paramètres!$A$1:$I$89,3,0)*VLOOKUP('Données projet'!$B$13,Paramètres!$A$1:$I$89,5,0)</f>
        <v>-6.7984728957526396E-14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380.01315081072897</v>
      </c>
      <c r="CZ111" s="59">
        <f t="shared" si="96"/>
        <v>404.90871625409181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0.74645096257830224</v>
      </c>
      <c r="DG111" s="21">
        <f>EXP(-LN(2)/25)*DG110+(1-EXP(-LN(2)/25))/(LN(2)/25)*Calculateur!DB111*Calculateur!DD111*VLOOKUP('Données projet'!$B$13,Paramètres!$A$1:$I$89,3,0)*0.475*44/12</f>
        <v>2.4545681427855155</v>
      </c>
      <c r="DH111" s="21">
        <f>EXP(-LN(2)/2)*DH110+(1-EXP(-LN(2)/2))/(LN(2)/2)*DB111*DE111*VLOOKUP('Données projet'!$B$13,Paramètres!$A$1:$I$89,3,0)*0.475*44/12</f>
        <v>5.5121443649421081E-11</v>
      </c>
      <c r="DI111" s="22">
        <f t="shared" si="69"/>
        <v>3.201019105418939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108.5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-5.6843418860808015E-14</v>
      </c>
      <c r="DP111" s="17">
        <f>DO111*VLOOKUP('Données projet'!$B$14,Paramètres!$A$1:$I$89,3,0)*VLOOKUP('Données projet'!$B$14,Paramètres!$A$1:$I$89,5,0)</f>
        <v>-5.1431925385259088E-14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320.81451813551064</v>
      </c>
      <c r="DU111" s="59">
        <f t="shared" si="98"/>
        <v>522.80818268773976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0.39164973569190475</v>
      </c>
      <c r="EB111" s="21">
        <f>EXP(-LN(2)/25)*EB110+(1-EXP(-LN(2)/25))/(LN(2)/25)*Calculateur!DW111*Calculateur!DY111*VLOOKUP('Données projet'!$B$14,Paramètres!$A$1:$I$89,3,0)*0.475*44/12</f>
        <v>1.1992298740436527</v>
      </c>
      <c r="EC111" s="21">
        <f>EXP(-LN(2)/2)*EC110+(1-EXP(-LN(2)/2))/(LN(2)/2)*DW111*DZ111*VLOOKUP('Données projet'!$B$14,Paramètres!$A$1:$I$89,3,0)*0.475*44/12</f>
        <v>1.089371563582322E-11</v>
      </c>
      <c r="ED111" s="22">
        <f t="shared" si="72"/>
        <v>1.590879609746451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108.5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228.3393311631487</v>
      </c>
      <c r="EP111" s="59">
        <f t="shared" si="100"/>
        <v>266.26050497804033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1.3255101891588992</v>
      </c>
      <c r="EW111" s="21">
        <f>EXP(-LN(2)/25)*EW110+(1-EXP(-LN(2)/25))/(LN(2)/25)*Calculateur!ER111*Calculateur!ET111*VLOOKUP('Données projet'!$B$15,Paramètres!$A$1:$I$89,3,0)*0.475*44/12</f>
        <v>1.4183406961948983</v>
      </c>
      <c r="EX111" s="21">
        <f>EXP(-LN(2)/2)*EX110+(1-EXP(-LN(2)/2))/(LN(2)/2)*ER111*EU111*VLOOKUP('Données projet'!$B$15,Paramètres!$A$1:$I$89,3,0)*0.475*44/12</f>
        <v>9.9056567234113953E-12</v>
      </c>
      <c r="EY111" s="22">
        <f t="shared" si="75"/>
        <v>2.7438508853637034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108.5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-1.7053025658242404E-13</v>
      </c>
      <c r="FF111" s="17">
        <f>FE111*VLOOKUP('Données projet'!$B$16,Paramètres!$A$1:$I$89,3,0)*VLOOKUP('Données projet'!$B$16,Paramètres!$A$1:$I$89,5,0)</f>
        <v>-9.7543306765146564E-14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242.10913976205194</v>
      </c>
      <c r="FK111" s="59">
        <f t="shared" si="102"/>
        <v>198.24795425321133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1.2465548612549819</v>
      </c>
      <c r="FS111" s="21">
        <f>EXP(-LN(2)/2)*FS110+(1-EXP(-LN(2)/2))/(LN(2)/2)*FM111*FP111*VLOOKUP('Données projet'!$B$16,Paramètres!$A$1:$I$89,3,0)*0.475*44/12</f>
        <v>2.4051919451005889E-11</v>
      </c>
      <c r="FT111" s="22">
        <f t="shared" si="78"/>
        <v>1.2465548612790338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108.5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108.5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53.307540000000046</v>
      </c>
      <c r="D112" s="11">
        <f t="shared" si="86"/>
        <v>15.464735926849766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291.9805398999589</v>
      </c>
      <c r="H112" s="67">
        <f t="shared" si="56"/>
        <v>517.61171390593006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108.5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5.6843418860808015E-14</v>
      </c>
      <c r="O112" s="13">
        <f>N112*VLOOKUP('Données projet'!$B$9,Paramètres!$A$1:$I$89,3,0)*VLOOKUP('Données projet'!$B$9,Paramètres!$A$1:$I$89,5,0)</f>
        <v>4.6111381379887463E-14</v>
      </c>
      <c r="P112" s="13">
        <f t="shared" si="87"/>
        <v>7.5804141040779151E-13</v>
      </c>
      <c r="Q112" s="20">
        <f t="shared" si="107"/>
        <v>1.4005661123635408E-12</v>
      </c>
      <c r="R112" s="59">
        <f t="shared" si="55"/>
        <v>434.50000000000142</v>
      </c>
      <c r="S112" s="59">
        <f ca="1">AVERAGE(OFFSET($R$3,0,0,'Données projet'!$E$9+1,1))-AVERAGE(OFFSET($H$3,0,0,'Données projet'!$E$9+1,1))</f>
        <v>273.89826011924487</v>
      </c>
      <c r="T112" s="59">
        <f t="shared" si="88"/>
        <v>332.17519939974227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0.95167751661714162</v>
      </c>
      <c r="AB112" s="21">
        <f>EXP(-LN(2)/2)*AB111+(1-EXP(-LN(2)/2))/(LN(2)/2)*V112*Y112*VLOOKUP('Données projet'!$B$9,Paramètres!$A$1:$I$89,3,0)*0.475*44/12</f>
        <v>1.4113135309968887E-11</v>
      </c>
      <c r="AC112" s="22">
        <f t="shared" si="57"/>
        <v>0.95167751663125477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108.5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-5.3205440053716299E-14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293.42903587188346</v>
      </c>
      <c r="AO112" s="59">
        <f t="shared" si="90"/>
        <v>267.80827667062124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0.65571010375714001</v>
      </c>
      <c r="AV112" s="21">
        <f>EXP(-LN(2)/25)*AV111+(1-EXP(-LN(2)/25))/(LN(2)/25)*Calculateur!AQ112*Calculateur!AS112*VLOOKUP('Données projet'!$B$10,Paramètres!$A$1:$I$89,3,0)*0.475*44/12</f>
        <v>0.87885469257561855</v>
      </c>
      <c r="AW112" s="21">
        <f>EXP(-LN(2)/2)*AW111+(1-EXP(-LN(2)/2))/(LN(2)/2)*AQ112*AT112*VLOOKUP('Données projet'!$B$10,Paramètres!$A$1:$I$89,3,0)*0.475*44/12</f>
        <v>1.2646339497296462E-11</v>
      </c>
      <c r="AX112" s="21">
        <f t="shared" si="60"/>
        <v>1.5345647963454048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108.5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4.4000000000000004</v>
      </c>
      <c r="BD112" s="12">
        <f>IF('Données projet'!$A$88&gt;35,BD111+BC112-BL111,IF(A112&lt;'Données projet'!$A$88,$BA$205^A112,IF(A112='Données projet'!$A$88,'Données projet'!$B$88,BD111+BC112-BL111)))</f>
        <v>300.60000000000002</v>
      </c>
      <c r="BE112" s="13">
        <f>BD112*VLOOKUP('Données projet'!$B$11,Paramètres!$A$1:$I$89,3,0)*VLOOKUP('Données projet'!$B$11,Paramètres!$A$1:$I$89,5,0)</f>
        <v>271.98288000000002</v>
      </c>
      <c r="BF112" s="13">
        <f t="shared" si="91"/>
        <v>65.269907092018755</v>
      </c>
      <c r="BG112" s="20">
        <f t="shared" si="61"/>
        <v>587.38193751859933</v>
      </c>
      <c r="BH112" s="59">
        <f t="shared" si="62"/>
        <v>1021.8819375185993</v>
      </c>
      <c r="BI112" s="59">
        <f ca="1">AVERAGE(OFFSET($BH$3,0,0,'Données projet'!$E$11+1,1))-AVERAGE(OFFSET($H$3,0,0,'Données projet'!$E$11+1,1))</f>
        <v>324.41828402031939</v>
      </c>
      <c r="BJ112" s="59">
        <f t="shared" si="92"/>
        <v>233.01060088065992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0.3474865666413352</v>
      </c>
      <c r="BR112" s="21">
        <f>EXP(-LN(2)/2)*BR111+(1-EXP(-LN(2)/2))/(LN(2)/2)*BL112*BO112*VLOOKUP('Données projet'!$B$11,Paramètres!$A$1:$I$89,3,0)*0.475*44/12</f>
        <v>7.9608614014227883E-12</v>
      </c>
      <c r="BS112" s="22">
        <f t="shared" si="63"/>
        <v>0.34748656664929606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108.5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279.00060755204919</v>
      </c>
      <c r="CE112" s="59">
        <f t="shared" si="94"/>
        <v>333.91128554211014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1.5272629867664806</v>
      </c>
      <c r="CL112" s="21">
        <f>EXP(-LN(2)/25)*CL111+(1-EXP(-LN(2)/25))/(LN(2)/25)*Calculateur!CG112*Calculateur!CI112*VLOOKUP('Données projet'!$B$12,Paramètres!$A$1:$I$89,3,0)*0.475*44/12</f>
        <v>3.1136482999545727</v>
      </c>
      <c r="CM112" s="21">
        <f>EXP(-LN(2)/2)*CM111+(1-EXP(-LN(2)/2))/(LN(2)/2)*CG112*CJ112*VLOOKUP('Données projet'!$B$12,Paramètres!$A$1:$I$89,3,0)*0.475*44/12</f>
        <v>2.7723037214167091E-11</v>
      </c>
      <c r="CN112" s="22">
        <f t="shared" si="66"/>
        <v>4.6409112867487758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108.5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-1.1368683772161603E-13</v>
      </c>
      <c r="CU112" s="17">
        <f>CT112*VLOOKUP('Données projet'!$B$13,Paramètres!$A$1:$I$89,3,0)*VLOOKUP('Données projet'!$B$13,Paramètres!$A$1:$I$89,5,0)</f>
        <v>-6.7984728957526396E-14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380.01315081072897</v>
      </c>
      <c r="CZ112" s="59">
        <f t="shared" si="96"/>
        <v>404.90871625409181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0.73181351449227272</v>
      </c>
      <c r="DG112" s="21">
        <f>EXP(-LN(2)/25)*DG111+(1-EXP(-LN(2)/25))/(LN(2)/25)*Calculateur!DB112*Calculateur!DD112*VLOOKUP('Données projet'!$B$13,Paramètres!$A$1:$I$89,3,0)*0.475*44/12</f>
        <v>2.3874478478409169</v>
      </c>
      <c r="DH112" s="21">
        <f>EXP(-LN(2)/2)*DH111+(1-EXP(-LN(2)/2))/(LN(2)/2)*DB112*DE112*VLOOKUP('Données projet'!$B$13,Paramètres!$A$1:$I$89,3,0)*0.475*44/12</f>
        <v>3.8976746593297801E-11</v>
      </c>
      <c r="DI112" s="22">
        <f t="shared" si="69"/>
        <v>3.1192613623721663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108.5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-5.6843418860808015E-14</v>
      </c>
      <c r="DP112" s="17">
        <f>DO112*VLOOKUP('Données projet'!$B$14,Paramètres!$A$1:$I$89,3,0)*VLOOKUP('Données projet'!$B$14,Paramètres!$A$1:$I$89,5,0)</f>
        <v>-5.1431925385259088E-14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320.81451813551064</v>
      </c>
      <c r="DU112" s="59">
        <f t="shared" si="98"/>
        <v>522.80818268773976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0.38396972325773754</v>
      </c>
      <c r="EB112" s="21">
        <f>EXP(-LN(2)/25)*EB111+(1-EXP(-LN(2)/25))/(LN(2)/25)*Calculateur!DW112*Calculateur!DY112*VLOOKUP('Données projet'!$B$14,Paramètres!$A$1:$I$89,3,0)*0.475*44/12</f>
        <v>1.1664368700731709</v>
      </c>
      <c r="EC112" s="21">
        <f>EXP(-LN(2)/2)*EC111+(1-EXP(-LN(2)/2))/(LN(2)/2)*DW112*DZ112*VLOOKUP('Données projet'!$B$14,Paramètres!$A$1:$I$89,3,0)*0.475*44/12</f>
        <v>7.7030201984085208E-12</v>
      </c>
      <c r="ED112" s="22">
        <f t="shared" si="72"/>
        <v>1.5504065933386113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108.5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228.3393311631487</v>
      </c>
      <c r="EP112" s="59">
        <f t="shared" si="100"/>
        <v>266.26050497804033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1.2995177428308777</v>
      </c>
      <c r="EW112" s="21">
        <f>EXP(-LN(2)/25)*EW111+(1-EXP(-LN(2)/25))/(LN(2)/25)*Calculateur!ER112*Calculateur!ET112*VLOOKUP('Données projet'!$B$15,Paramètres!$A$1:$I$89,3,0)*0.475*44/12</f>
        <v>1.3795560952701533</v>
      </c>
      <c r="EX112" s="21">
        <f>EXP(-LN(2)/2)*EX111+(1-EXP(-LN(2)/2))/(LN(2)/2)*ER112*EU112*VLOOKUP('Données projet'!$B$15,Paramètres!$A$1:$I$89,3,0)*0.475*44/12</f>
        <v>7.0043570412303149E-12</v>
      </c>
      <c r="EY112" s="22">
        <f t="shared" si="75"/>
        <v>2.6790738381080352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108.5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-1.7053025658242404E-13</v>
      </c>
      <c r="FF112" s="17">
        <f>FE112*VLOOKUP('Données projet'!$B$16,Paramètres!$A$1:$I$89,3,0)*VLOOKUP('Données projet'!$B$16,Paramètres!$A$1:$I$89,5,0)</f>
        <v>-9.7543306765146564E-14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242.10913976205194</v>
      </c>
      <c r="FK112" s="59">
        <f t="shared" si="102"/>
        <v>198.24795425321133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1.2124677530204933</v>
      </c>
      <c r="FS112" s="21">
        <f>EXP(-LN(2)/2)*FS111+(1-EXP(-LN(2)/2))/(LN(2)/2)*FM112*FP112*VLOOKUP('Données projet'!$B$16,Paramètres!$A$1:$I$89,3,0)*0.475*44/12</f>
        <v>1.7007275344358887E-11</v>
      </c>
      <c r="FT112" s="22">
        <f t="shared" si="78"/>
        <v>1.2124677530375005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108.5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108.5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53.796600000000048</v>
      </c>
      <c r="D113" s="11">
        <f t="shared" si="86"/>
        <v>15.590032892798448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294.58886245714456</v>
      </c>
      <c r="H113" s="67">
        <f t="shared" si="56"/>
        <v>518.68171895495743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108.5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5.6843418860808015E-14</v>
      </c>
      <c r="O113" s="13">
        <f>N113*VLOOKUP('Données projet'!$B$9,Paramètres!$A$1:$I$89,3,0)*VLOOKUP('Données projet'!$B$9,Paramètres!$A$1:$I$89,5,0)</f>
        <v>4.6111381379887463E-14</v>
      </c>
      <c r="P113" s="13">
        <f t="shared" si="87"/>
        <v>7.5804141040779151E-13</v>
      </c>
      <c r="Q113" s="20">
        <f t="shared" si="107"/>
        <v>1.4005661123635408E-12</v>
      </c>
      <c r="R113" s="59">
        <f t="shared" si="55"/>
        <v>434.50000000000142</v>
      </c>
      <c r="S113" s="59">
        <f ca="1">AVERAGE(OFFSET($R$3,0,0,'Données projet'!$E$9+1,1))-AVERAGE(OFFSET($H$3,0,0,'Données projet'!$E$9+1,1))</f>
        <v>273.89826011924487</v>
      </c>
      <c r="T113" s="59">
        <f t="shared" si="88"/>
        <v>332.17519939974227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0.92565384487870039</v>
      </c>
      <c r="AB113" s="21">
        <f>EXP(-LN(2)/2)*AB112+(1-EXP(-LN(2)/2))/(LN(2)/2)*V113*Y113*VLOOKUP('Données projet'!$B$9,Paramètres!$A$1:$I$89,3,0)*0.475*44/12</f>
        <v>9.9794936814823075E-12</v>
      </c>
      <c r="AC113" s="22">
        <f t="shared" si="57"/>
        <v>0.92565384488867986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108.5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-5.3205440053716299E-14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293.42903587188346</v>
      </c>
      <c r="AO113" s="59">
        <f t="shared" si="90"/>
        <v>267.80827667062124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0.64285202856613466</v>
      </c>
      <c r="AV113" s="21">
        <f>EXP(-LN(2)/25)*AV112+(1-EXP(-LN(2)/25))/(LN(2)/25)*Calculateur!AQ113*Calculateur!AS113*VLOOKUP('Données projet'!$B$10,Paramètres!$A$1:$I$89,3,0)*0.475*44/12</f>
        <v>0.85482236479017859</v>
      </c>
      <c r="AW113" s="21">
        <f>EXP(-LN(2)/2)*AW112+(1-EXP(-LN(2)/2))/(LN(2)/2)*AQ113*AT113*VLOOKUP('Données projet'!$B$10,Paramètres!$A$1:$I$89,3,0)*0.475*44/12</f>
        <v>8.9423124157256024E-12</v>
      </c>
      <c r="AX113" s="21">
        <f t="shared" si="60"/>
        <v>1.4976743933652557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108.5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305</v>
      </c>
      <c r="BB113" s="12">
        <f>VLOOKUP(A113,'Données projet'!$A$87:$I$107,9,0)</f>
        <v>4.4000000000000004</v>
      </c>
      <c r="BC113" s="12">
        <f t="array" ref="BC113">INDEX(BB:BB,MIN(IF(ISNUMBER(BB113:BB309),ROW(BB113:BB309),"")))</f>
        <v>4.4000000000000004</v>
      </c>
      <c r="BD113" s="12">
        <f>IF('Données projet'!$A$88&gt;35,BD112+BC113-BL112,IF(A113&lt;'Données projet'!$A$88,$BA$205^A113,IF(A113='Données projet'!$A$88,'Données projet'!$B$88,BD112+BC113-BL112)))</f>
        <v>305</v>
      </c>
      <c r="BE113" s="13">
        <f>BD113*VLOOKUP('Données projet'!$B$11,Paramètres!$A$1:$I$89,3,0)*VLOOKUP('Données projet'!$B$11,Paramètres!$A$1:$I$89,5,0)</f>
        <v>275.964</v>
      </c>
      <c r="BF113" s="13">
        <f t="shared" si="91"/>
        <v>66.113366665488911</v>
      </c>
      <c r="BG113" s="20">
        <f t="shared" si="61"/>
        <v>595.7847469423931</v>
      </c>
      <c r="BH113" s="59">
        <f t="shared" si="62"/>
        <v>1030.2847469423932</v>
      </c>
      <c r="BI113" s="59">
        <f ca="1">AVERAGE(OFFSET($BH$3,0,0,'Données projet'!$E$11+1,1))-AVERAGE(OFFSET($H$3,0,0,'Données projet'!$E$11+1,1))</f>
        <v>324.41828402031939</v>
      </c>
      <c r="BJ113" s="59">
        <f t="shared" si="92"/>
        <v>233.01060088065992</v>
      </c>
      <c r="BK113" s="15">
        <f>IF(ISNA(VLOOKUP(A113,'Données projet'!$A$87:$I$107,3,0)),0,VLOOKUP(A113,'Données projet'!$A$87:$I$107,3,0))</f>
        <v>9</v>
      </c>
      <c r="BL113" s="15">
        <f>IF(ISNA(VLOOKUP(A113,'Données projet'!$A$87:$I$107,4,0)),0,VLOOKUP(A113,'Données projet'!$A$87:$I$107,4,0))</f>
        <v>39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0.33798452820300356</v>
      </c>
      <c r="BR113" s="21">
        <f>EXP(-LN(2)/2)*BR112+(1-EXP(-LN(2)/2))/(LN(2)/2)*BL113*BO113*VLOOKUP('Données projet'!$B$11,Paramètres!$A$1:$I$89,3,0)*0.475*44/12</f>
        <v>5.6291790810322957E-12</v>
      </c>
      <c r="BS113" s="22">
        <f t="shared" si="63"/>
        <v>0.33798452820863273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108.5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279.00060755204919</v>
      </c>
      <c r="CE113" s="59">
        <f t="shared" si="94"/>
        <v>333.91128554211014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1.4973142911344302</v>
      </c>
      <c r="CL113" s="21">
        <f>EXP(-LN(2)/25)*CL112+(1-EXP(-LN(2)/25))/(LN(2)/25)*Calculateur!CG113*Calculateur!CI113*VLOOKUP('Données projet'!$B$12,Paramètres!$A$1:$I$89,3,0)*0.475*44/12</f>
        <v>3.0285054234526672</v>
      </c>
      <c r="CM113" s="21">
        <f>EXP(-LN(2)/2)*CM112+(1-EXP(-LN(2)/2))/(LN(2)/2)*CG113*CJ113*VLOOKUP('Données projet'!$B$12,Paramètres!$A$1:$I$89,3,0)*0.475*44/12</f>
        <v>1.9603147609224563E-11</v>
      </c>
      <c r="CN113" s="22">
        <f t="shared" si="66"/>
        <v>4.5258197146067003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108.5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-1.1368683772161603E-13</v>
      </c>
      <c r="CU113" s="17">
        <f>CT113*VLOOKUP('Données projet'!$B$13,Paramètres!$A$1:$I$89,3,0)*VLOOKUP('Données projet'!$B$13,Paramètres!$A$1:$I$89,5,0)</f>
        <v>-6.7984728957526396E-14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380.01315081072897</v>
      </c>
      <c r="CZ113" s="59">
        <f t="shared" si="96"/>
        <v>404.90871625409181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0.71746309783524853</v>
      </c>
      <c r="DG113" s="21">
        <f>EXP(-LN(2)/25)*DG112+(1-EXP(-LN(2)/25))/(LN(2)/25)*Calculateur!DB113*Calculateur!DD113*VLOOKUP('Données projet'!$B$13,Paramètres!$A$1:$I$89,3,0)*0.475*44/12</f>
        <v>2.3221629608912813</v>
      </c>
      <c r="DH113" s="21">
        <f>EXP(-LN(2)/2)*DH112+(1-EXP(-LN(2)/2))/(LN(2)/2)*DB113*DE113*VLOOKUP('Données projet'!$B$13,Paramètres!$A$1:$I$89,3,0)*0.475*44/12</f>
        <v>2.756072182471054E-11</v>
      </c>
      <c r="DI113" s="22">
        <f t="shared" si="69"/>
        <v>3.0396260587540902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108.5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-5.6843418860808015E-14</v>
      </c>
      <c r="DP113" s="17">
        <f>DO113*VLOOKUP('Données projet'!$B$14,Paramètres!$A$1:$I$89,3,0)*VLOOKUP('Données projet'!$B$14,Paramètres!$A$1:$I$89,5,0)</f>
        <v>-5.1431925385259088E-14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320.81451813551064</v>
      </c>
      <c r="DU113" s="59">
        <f t="shared" si="98"/>
        <v>522.80818268773976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0.37644031118305932</v>
      </c>
      <c r="EB113" s="21">
        <f>EXP(-LN(2)/25)*EB112+(1-EXP(-LN(2)/25))/(LN(2)/25)*Calculateur!DW113*Calculateur!DY113*VLOOKUP('Données projet'!$B$14,Paramètres!$A$1:$I$89,3,0)*0.475*44/12</f>
        <v>1.134540592520771</v>
      </c>
      <c r="EC113" s="21">
        <f>EXP(-LN(2)/2)*EC112+(1-EXP(-LN(2)/2))/(LN(2)/2)*DW113*DZ113*VLOOKUP('Données projet'!$B$14,Paramètres!$A$1:$I$89,3,0)*0.475*44/12</f>
        <v>5.4468578179116099E-12</v>
      </c>
      <c r="ED113" s="22">
        <f t="shared" si="72"/>
        <v>1.5109809037092772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108.5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228.3393311631487</v>
      </c>
      <c r="EP113" s="59">
        <f t="shared" si="100"/>
        <v>266.26050497804033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1.274034992521522</v>
      </c>
      <c r="EW113" s="21">
        <f>EXP(-LN(2)/25)*EW112+(1-EXP(-LN(2)/25))/(LN(2)/25)*Calculateur!ER113*Calculateur!ET113*VLOOKUP('Données projet'!$B$15,Paramètres!$A$1:$I$89,3,0)*0.475*44/12</f>
        <v>1.3418320612972889</v>
      </c>
      <c r="EX113" s="21">
        <f>EXP(-LN(2)/2)*EX112+(1-EXP(-LN(2)/2))/(LN(2)/2)*ER113*EU113*VLOOKUP('Données projet'!$B$15,Paramètres!$A$1:$I$89,3,0)*0.475*44/12</f>
        <v>4.9528283617056977E-12</v>
      </c>
      <c r="EY113" s="22">
        <f t="shared" si="75"/>
        <v>2.6158670538237638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108.5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-1.7053025658242404E-13</v>
      </c>
      <c r="FF113" s="17">
        <f>FE113*VLOOKUP('Données projet'!$B$16,Paramètres!$A$1:$I$89,3,0)*VLOOKUP('Données projet'!$B$16,Paramètres!$A$1:$I$89,5,0)</f>
        <v>-9.7543306765146564E-14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242.10913976205194</v>
      </c>
      <c r="FK113" s="59">
        <f t="shared" si="102"/>
        <v>198.24795425321133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1.1793127585532399</v>
      </c>
      <c r="FS113" s="21">
        <f>EXP(-LN(2)/2)*FS112+(1-EXP(-LN(2)/2))/(LN(2)/2)*FM113*FP113*VLOOKUP('Données projet'!$B$16,Paramètres!$A$1:$I$89,3,0)*0.475*44/12</f>
        <v>1.2025959725502944E-11</v>
      </c>
      <c r="FT113" s="22">
        <f t="shared" si="78"/>
        <v>1.1793127585652659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108.5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108.5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54.28566000000005</v>
      </c>
      <c r="D114" s="11">
        <f t="shared" si="86"/>
        <v>15.715197339971127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297.1966223907549</v>
      </c>
      <c r="H114" s="67">
        <f t="shared" si="56"/>
        <v>519.75149320044977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108.5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5.6843418860808015E-14</v>
      </c>
      <c r="O114" s="13">
        <f>N114*VLOOKUP('Données projet'!$B$9,Paramètres!$A$1:$I$89,3,0)*VLOOKUP('Données projet'!$B$9,Paramètres!$A$1:$I$89,5,0)</f>
        <v>4.6111381379887463E-14</v>
      </c>
      <c r="P114" s="13">
        <f t="shared" si="87"/>
        <v>7.5804141040779151E-13</v>
      </c>
      <c r="Q114" s="20">
        <f t="shared" si="107"/>
        <v>1.4005661123635408E-12</v>
      </c>
      <c r="R114" s="59">
        <f t="shared" si="55"/>
        <v>434.50000000000142</v>
      </c>
      <c r="S114" s="59">
        <f ca="1">AVERAGE(OFFSET($R$3,0,0,'Données projet'!$E$9+1,1))-AVERAGE(OFFSET($H$3,0,0,'Données projet'!$E$9+1,1))</f>
        <v>273.89826011924487</v>
      </c>
      <c r="T114" s="59">
        <f t="shared" si="88"/>
        <v>332.17519939974227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0.9003417918124722</v>
      </c>
      <c r="AB114" s="21">
        <f>EXP(-LN(2)/2)*AB113+(1-EXP(-LN(2)/2))/(LN(2)/2)*V114*Y114*VLOOKUP('Données projet'!$B$9,Paramètres!$A$1:$I$89,3,0)*0.475*44/12</f>
        <v>7.0565676549844437E-12</v>
      </c>
      <c r="AC114" s="22">
        <f t="shared" si="57"/>
        <v>0.90034179181952878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108.5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-5.3205440053716299E-14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293.42903587188346</v>
      </c>
      <c r="AO114" s="59">
        <f t="shared" si="90"/>
        <v>267.80827667062124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0.63024609238697338</v>
      </c>
      <c r="AV114" s="21">
        <f>EXP(-LN(2)/25)*AV113+(1-EXP(-LN(2)/25))/(LN(2)/25)*Calculateur!AQ114*Calculateur!AS114*VLOOKUP('Données projet'!$B$10,Paramètres!$A$1:$I$89,3,0)*0.475*44/12</f>
        <v>0.83144720227183666</v>
      </c>
      <c r="AW114" s="21">
        <f>EXP(-LN(2)/2)*AW113+(1-EXP(-LN(2)/2))/(LN(2)/2)*AQ114*AT114*VLOOKUP('Données projet'!$B$10,Paramètres!$A$1:$I$89,3,0)*0.475*44/12</f>
        <v>6.3231697486482308E-12</v>
      </c>
      <c r="AX114" s="21">
        <f t="shared" si="60"/>
        <v>1.4616932946651333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108.5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3.7</v>
      </c>
      <c r="BD114" s="12">
        <f>IF('Données projet'!$A$88&gt;35,BD113+BC114-BL113,IF(A114&lt;'Données projet'!$A$88,$BA$205^A114,IF(A114='Données projet'!$A$88,'Données projet'!$B$88,BD113+BC114-BL113)))</f>
        <v>269.7</v>
      </c>
      <c r="BE114" s="13">
        <f>BD114*VLOOKUP('Données projet'!$B$11,Paramètres!$A$1:$I$89,3,0)*VLOOKUP('Données projet'!$B$11,Paramètres!$A$1:$I$89,5,0)</f>
        <v>244.02455999999998</v>
      </c>
      <c r="BF114" s="13">
        <f t="shared" si="91"/>
        <v>59.304594314969279</v>
      </c>
      <c r="BG114" s="20">
        <f t="shared" si="61"/>
        <v>528.29827709857148</v>
      </c>
      <c r="BH114" s="59">
        <f t="shared" si="62"/>
        <v>962.79827709857148</v>
      </c>
      <c r="BI114" s="59">
        <f ca="1">AVERAGE(OFFSET($BH$3,0,0,'Données projet'!$E$11+1,1))-AVERAGE(OFFSET($H$3,0,0,'Données projet'!$E$11+1,1))</f>
        <v>324.41828402031939</v>
      </c>
      <c r="BJ114" s="59">
        <f t="shared" si="92"/>
        <v>233.01060088065992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0.32874232350545857</v>
      </c>
      <c r="BR114" s="21">
        <f>EXP(-LN(2)/2)*BR113+(1-EXP(-LN(2)/2))/(LN(2)/2)*BL114*BO114*VLOOKUP('Données projet'!$B$11,Paramètres!$A$1:$I$89,3,0)*0.475*44/12</f>
        <v>3.9804307007113941E-12</v>
      </c>
      <c r="BS114" s="22">
        <f t="shared" si="63"/>
        <v>0.32874232350943899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108.5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279.00060755204919</v>
      </c>
      <c r="CE114" s="59">
        <f t="shared" si="94"/>
        <v>333.91128554211014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1.4679528711568235</v>
      </c>
      <c r="CL114" s="21">
        <f>EXP(-LN(2)/25)*CL113+(1-EXP(-LN(2)/25))/(LN(2)/25)*Calculateur!CG114*Calculateur!CI114*VLOOKUP('Données projet'!$B$12,Paramètres!$A$1:$I$89,3,0)*0.475*44/12</f>
        <v>2.9456907833861754</v>
      </c>
      <c r="CM114" s="21">
        <f>EXP(-LN(2)/2)*CM113+(1-EXP(-LN(2)/2))/(LN(2)/2)*CG114*CJ114*VLOOKUP('Données projet'!$B$12,Paramètres!$A$1:$I$89,3,0)*0.475*44/12</f>
        <v>1.3861518607083546E-11</v>
      </c>
      <c r="CN114" s="22">
        <f t="shared" si="66"/>
        <v>4.4136436545568607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108.5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-1.1368683772161603E-13</v>
      </c>
      <c r="CU114" s="17">
        <f>CT114*VLOOKUP('Données projet'!$B$13,Paramètres!$A$1:$I$89,3,0)*VLOOKUP('Données projet'!$B$13,Paramètres!$A$1:$I$89,5,0)</f>
        <v>-6.7984728957526396E-14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380.01315081072897</v>
      </c>
      <c r="CZ114" s="59">
        <f t="shared" si="96"/>
        <v>404.90871625409181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0.7033940840959787</v>
      </c>
      <c r="DG114" s="21">
        <f>EXP(-LN(2)/25)*DG113+(1-EXP(-LN(2)/25))/(LN(2)/25)*Calculateur!DB114*Calculateur!DD114*VLOOKUP('Données projet'!$B$13,Paramètres!$A$1:$I$89,3,0)*0.475*44/12</f>
        <v>2.2586632926084667</v>
      </c>
      <c r="DH114" s="21">
        <f>EXP(-LN(2)/2)*DH113+(1-EXP(-LN(2)/2))/(LN(2)/2)*DB114*DE114*VLOOKUP('Données projet'!$B$13,Paramètres!$A$1:$I$89,3,0)*0.475*44/12</f>
        <v>1.9488373296648901E-11</v>
      </c>
      <c r="DI114" s="22">
        <f t="shared" si="69"/>
        <v>2.9620573767239335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108.5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-5.6843418860808015E-14</v>
      </c>
      <c r="DP114" s="17">
        <f>DO114*VLOOKUP('Données projet'!$B$14,Paramètres!$A$1:$I$89,3,0)*VLOOKUP('Données projet'!$B$14,Paramètres!$A$1:$I$89,5,0)</f>
        <v>-5.1431925385259088E-14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320.81451813551064</v>
      </c>
      <c r="DU114" s="59">
        <f t="shared" si="98"/>
        <v>522.80818268773976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0.36905854628667767</v>
      </c>
      <c r="EB114" s="21">
        <f>EXP(-LN(2)/25)*EB113+(1-EXP(-LN(2)/25))/(LN(2)/25)*Calculateur!DW114*Calculateur!DY114*VLOOKUP('Données projet'!$B$14,Paramètres!$A$1:$I$89,3,0)*0.475*44/12</f>
        <v>1.1035165203553938</v>
      </c>
      <c r="EC114" s="21">
        <f>EXP(-LN(2)/2)*EC113+(1-EXP(-LN(2)/2))/(LN(2)/2)*DW114*DZ114*VLOOKUP('Données projet'!$B$14,Paramètres!$A$1:$I$89,3,0)*0.475*44/12</f>
        <v>3.8515100992042604E-12</v>
      </c>
      <c r="ED114" s="22">
        <f t="shared" si="72"/>
        <v>1.472575066645923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108.5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228.3393311631487</v>
      </c>
      <c r="EP114" s="59">
        <f t="shared" si="100"/>
        <v>266.26050497804033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1.2490519434027896</v>
      </c>
      <c r="EW114" s="21">
        <f>EXP(-LN(2)/25)*EW113+(1-EXP(-LN(2)/25))/(LN(2)/25)*Calculateur!ER114*Calculateur!ET114*VLOOKUP('Données projet'!$B$15,Paramètres!$A$1:$I$89,3,0)*0.475*44/12</f>
        <v>1.3051395930172334</v>
      </c>
      <c r="EX114" s="21">
        <f>EXP(-LN(2)/2)*EX113+(1-EXP(-LN(2)/2))/(LN(2)/2)*ER114*EU114*VLOOKUP('Données projet'!$B$15,Paramètres!$A$1:$I$89,3,0)*0.475*44/12</f>
        <v>3.5021785206151575E-12</v>
      </c>
      <c r="EY114" s="22">
        <f t="shared" si="75"/>
        <v>2.554191536423525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108.5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-1.7053025658242404E-13</v>
      </c>
      <c r="FF114" s="17">
        <f>FE114*VLOOKUP('Données projet'!$B$16,Paramètres!$A$1:$I$89,3,0)*VLOOKUP('Données projet'!$B$16,Paramètres!$A$1:$I$89,5,0)</f>
        <v>-9.7543306765146564E-14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242.10913976205194</v>
      </c>
      <c r="FK114" s="59">
        <f t="shared" si="102"/>
        <v>198.24795425321133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1.1470643891532391</v>
      </c>
      <c r="FS114" s="21">
        <f>EXP(-LN(2)/2)*FS113+(1-EXP(-LN(2)/2))/(LN(2)/2)*FM114*FP114*VLOOKUP('Données projet'!$B$16,Paramètres!$A$1:$I$89,3,0)*0.475*44/12</f>
        <v>8.5036376721794435E-12</v>
      </c>
      <c r="FT114" s="22">
        <f t="shared" si="78"/>
        <v>1.1470643891617427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108.5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108.5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54.774720000000052</v>
      </c>
      <c r="D115" s="11">
        <f t="shared" si="86"/>
        <v>15.840230600533879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299.80382535665285</v>
      </c>
      <c r="H115" s="67">
        <f t="shared" si="56"/>
        <v>520.8210389625965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108.5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5.6843418860808015E-14</v>
      </c>
      <c r="O115" s="13">
        <f>N115*VLOOKUP('Données projet'!$B$9,Paramètres!$A$1:$I$89,3,0)*VLOOKUP('Données projet'!$B$9,Paramètres!$A$1:$I$89,5,0)</f>
        <v>4.6111381379887463E-14</v>
      </c>
      <c r="P115" s="13">
        <f t="shared" si="87"/>
        <v>7.5804141040779151E-13</v>
      </c>
      <c r="Q115" s="20">
        <f t="shared" si="107"/>
        <v>1.4005661123635408E-12</v>
      </c>
      <c r="R115" s="59">
        <f t="shared" si="55"/>
        <v>434.50000000000142</v>
      </c>
      <c r="S115" s="59">
        <f ca="1">AVERAGE(OFFSET($R$3,0,0,'Données projet'!$E$9+1,1))-AVERAGE(OFFSET($H$3,0,0,'Données projet'!$E$9+1,1))</f>
        <v>273.89826011924487</v>
      </c>
      <c r="T115" s="59">
        <f t="shared" si="88"/>
        <v>332.17519939974227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0.87572189816844304</v>
      </c>
      <c r="AB115" s="21">
        <f>EXP(-LN(2)/2)*AB114+(1-EXP(-LN(2)/2))/(LN(2)/2)*V115*Y115*VLOOKUP('Données projet'!$B$9,Paramètres!$A$1:$I$89,3,0)*0.475*44/12</f>
        <v>4.9897468407411538E-12</v>
      </c>
      <c r="AC115" s="22">
        <f t="shared" si="57"/>
        <v>0.87572189817343282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108.5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-5.3205440053716299E-14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293.42903587188346</v>
      </c>
      <c r="AO115" s="59">
        <f t="shared" si="90"/>
        <v>267.80827667062124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0.61788735092742364</v>
      </c>
      <c r="AV115" s="21">
        <f>EXP(-LN(2)/25)*AV114+(1-EXP(-LN(2)/25))/(LN(2)/25)*Calculateur!AQ115*Calculateur!AS115*VLOOKUP('Données projet'!$B$10,Paramètres!$A$1:$I$89,3,0)*0.475*44/12</f>
        <v>0.80871123480180518</v>
      </c>
      <c r="AW115" s="21">
        <f>EXP(-LN(2)/2)*AW114+(1-EXP(-LN(2)/2))/(LN(2)/2)*AQ115*AT115*VLOOKUP('Données projet'!$B$10,Paramètres!$A$1:$I$89,3,0)*0.475*44/12</f>
        <v>4.4711562078628012E-12</v>
      </c>
      <c r="AX115" s="21">
        <f t="shared" si="60"/>
        <v>1.4265985857337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108.5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3.7</v>
      </c>
      <c r="BD115" s="12">
        <f>IF('Données projet'!$A$88&gt;35,BD114+BC115-BL114,IF(A115&lt;'Données projet'!$A$88,$BA$205^A115,IF(A115='Données projet'!$A$88,'Données projet'!$B$88,BD114+BC115-BL114)))</f>
        <v>273.39999999999998</v>
      </c>
      <c r="BE115" s="13">
        <f>BD115*VLOOKUP('Données projet'!$B$11,Paramètres!$A$1:$I$89,3,0)*VLOOKUP('Données projet'!$B$11,Paramètres!$A$1:$I$89,5,0)</f>
        <v>247.37231999999997</v>
      </c>
      <c r="BF115" s="13">
        <f t="shared" si="91"/>
        <v>60.022917171131049</v>
      </c>
      <c r="BG115" s="20">
        <f t="shared" si="61"/>
        <v>535.38003807305324</v>
      </c>
      <c r="BH115" s="59">
        <f t="shared" si="62"/>
        <v>969.88003807305324</v>
      </c>
      <c r="BI115" s="59">
        <f ca="1">AVERAGE(OFFSET($BH$3,0,0,'Données projet'!$E$11+1,1))-AVERAGE(OFFSET($H$3,0,0,'Données projet'!$E$11+1,1))</f>
        <v>324.41828402031939</v>
      </c>
      <c r="BJ115" s="59">
        <f t="shared" si="92"/>
        <v>233.01060088065992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0.31975284738139437</v>
      </c>
      <c r="BR115" s="21">
        <f>EXP(-LN(2)/2)*BR114+(1-EXP(-LN(2)/2))/(LN(2)/2)*BL115*BO115*VLOOKUP('Données projet'!$B$11,Paramètres!$A$1:$I$89,3,0)*0.475*44/12</f>
        <v>2.8145895405161479E-12</v>
      </c>
      <c r="BS115" s="22">
        <f t="shared" si="63"/>
        <v>0.31975284738420895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108.5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279.00060755204919</v>
      </c>
      <c r="CE115" s="59">
        <f t="shared" si="94"/>
        <v>333.91128554211014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1.4391672107162798</v>
      </c>
      <c r="CL115" s="21">
        <f>EXP(-LN(2)/25)*CL114+(1-EXP(-LN(2)/25))/(LN(2)/25)*Calculateur!CG115*Calculateur!CI115*VLOOKUP('Données projet'!$B$12,Paramètres!$A$1:$I$89,3,0)*0.475*44/12</f>
        <v>2.8651407140073344</v>
      </c>
      <c r="CM115" s="21">
        <f>EXP(-LN(2)/2)*CM114+(1-EXP(-LN(2)/2))/(LN(2)/2)*CG115*CJ115*VLOOKUP('Données projet'!$B$12,Paramètres!$A$1:$I$89,3,0)*0.475*44/12</f>
        <v>9.8015738046122815E-12</v>
      </c>
      <c r="CN115" s="22">
        <f t="shared" si="66"/>
        <v>4.3043079247334166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108.5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-1.1368683772161603E-13</v>
      </c>
      <c r="CU115" s="17">
        <f>CT115*VLOOKUP('Données projet'!$B$13,Paramètres!$A$1:$I$89,3,0)*VLOOKUP('Données projet'!$B$13,Paramètres!$A$1:$I$89,5,0)</f>
        <v>-6.7984728957526396E-14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380.01315081072897</v>
      </c>
      <c r="CZ115" s="59">
        <f t="shared" si="96"/>
        <v>404.90871625409181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0.68960095513488484</v>
      </c>
      <c r="DG115" s="21">
        <f>EXP(-LN(2)/25)*DG114+(1-EXP(-LN(2)/25))/(LN(2)/25)*Calculateur!DB115*Calculateur!DD115*VLOOKUP('Données projet'!$B$13,Paramètres!$A$1:$I$89,3,0)*0.475*44/12</f>
        <v>2.196900026094148</v>
      </c>
      <c r="DH115" s="21">
        <f>EXP(-LN(2)/2)*DH114+(1-EXP(-LN(2)/2))/(LN(2)/2)*DB115*DE115*VLOOKUP('Données projet'!$B$13,Paramètres!$A$1:$I$89,3,0)*0.475*44/12</f>
        <v>1.378036091235527E-11</v>
      </c>
      <c r="DI115" s="22">
        <f t="shared" si="69"/>
        <v>2.8865009812428135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108.5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-5.6843418860808015E-14</v>
      </c>
      <c r="DP115" s="17">
        <f>DO115*VLOOKUP('Données projet'!$B$14,Paramètres!$A$1:$I$89,3,0)*VLOOKUP('Données projet'!$B$14,Paramètres!$A$1:$I$89,5,0)</f>
        <v>-5.1431925385259088E-14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320.81451813551064</v>
      </c>
      <c r="DU115" s="59">
        <f t="shared" si="98"/>
        <v>522.80818268773976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0.36182153329748201</v>
      </c>
      <c r="EB115" s="21">
        <f>EXP(-LN(2)/25)*EB114+(1-EXP(-LN(2)/25))/(LN(2)/25)*Calculateur!DW115*Calculateur!DY115*VLOOKUP('Données projet'!$B$14,Paramètres!$A$1:$I$89,3,0)*0.475*44/12</f>
        <v>1.0733408030748639</v>
      </c>
      <c r="EC115" s="21">
        <f>EXP(-LN(2)/2)*EC114+(1-EXP(-LN(2)/2))/(LN(2)/2)*DW115*DZ115*VLOOKUP('Données projet'!$B$14,Paramètres!$A$1:$I$89,3,0)*0.475*44/12</f>
        <v>2.7234289089558049E-12</v>
      </c>
      <c r="ED115" s="22">
        <f t="shared" si="72"/>
        <v>1.4351623363750694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108.5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228.3393311631487</v>
      </c>
      <c r="EP115" s="59">
        <f t="shared" si="100"/>
        <v>266.26050497804033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1.2245587966391203</v>
      </c>
      <c r="EW115" s="21">
        <f>EXP(-LN(2)/25)*EW114+(1-EXP(-LN(2)/25))/(LN(2)/25)*Calculateur!ER115*Calculateur!ET115*VLOOKUP('Données projet'!$B$15,Paramètres!$A$1:$I$89,3,0)*0.475*44/12</f>
        <v>1.2694504822118688</v>
      </c>
      <c r="EX115" s="21">
        <f>EXP(-LN(2)/2)*EX114+(1-EXP(-LN(2)/2))/(LN(2)/2)*ER115*EU115*VLOOKUP('Données projet'!$B$15,Paramètres!$A$1:$I$89,3,0)*0.475*44/12</f>
        <v>2.4764141808528488E-12</v>
      </c>
      <c r="EY115" s="22">
        <f t="shared" si="75"/>
        <v>2.4940092788534654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108.5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-1.7053025658242404E-13</v>
      </c>
      <c r="FF115" s="17">
        <f>FE115*VLOOKUP('Données projet'!$B$16,Paramètres!$A$1:$I$89,3,0)*VLOOKUP('Données projet'!$B$16,Paramètres!$A$1:$I$89,5,0)</f>
        <v>-9.7543306765146564E-14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242.10913976205194</v>
      </c>
      <c r="FK115" s="59">
        <f t="shared" si="102"/>
        <v>198.24795425321133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1.1156978531103492</v>
      </c>
      <c r="FS115" s="21">
        <f>EXP(-LN(2)/2)*FS114+(1-EXP(-LN(2)/2))/(LN(2)/2)*FM115*FP115*VLOOKUP('Données projet'!$B$16,Paramètres!$A$1:$I$89,3,0)*0.475*44/12</f>
        <v>6.0129798627514722E-12</v>
      </c>
      <c r="FT115" s="22">
        <f t="shared" si="78"/>
        <v>1.1156978531163622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108.5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108.5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55.263780000000054</v>
      </c>
      <c r="D116" s="11">
        <f t="shared" si="86"/>
        <v>15.96513398149172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302.4104769038774</v>
      </c>
      <c r="H116" s="67">
        <f t="shared" si="56"/>
        <v>521.89035851776475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108.5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5.6843418860808015E-14</v>
      </c>
      <c r="O116" s="13">
        <f>N116*VLOOKUP('Données projet'!$B$9,Paramètres!$A$1:$I$89,3,0)*VLOOKUP('Données projet'!$B$9,Paramètres!$A$1:$I$89,5,0)</f>
        <v>4.6111381379887463E-14</v>
      </c>
      <c r="P116" s="13">
        <f t="shared" si="87"/>
        <v>7.5804141040779151E-13</v>
      </c>
      <c r="Q116" s="20">
        <f t="shared" si="107"/>
        <v>1.4005661123635408E-12</v>
      </c>
      <c r="R116" s="59">
        <f t="shared" si="55"/>
        <v>434.50000000000142</v>
      </c>
      <c r="S116" s="59">
        <f ca="1">AVERAGE(OFFSET($R$3,0,0,'Données projet'!$E$9+1,1))-AVERAGE(OFFSET($H$3,0,0,'Données projet'!$E$9+1,1))</f>
        <v>273.89826011924487</v>
      </c>
      <c r="T116" s="59">
        <f t="shared" si="88"/>
        <v>332.17519939974227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0.8517752368108138</v>
      </c>
      <c r="AB116" s="21">
        <f>EXP(-LN(2)/2)*AB115+(1-EXP(-LN(2)/2))/(LN(2)/2)*V116*Y116*VLOOKUP('Données projet'!$B$9,Paramètres!$A$1:$I$89,3,0)*0.475*44/12</f>
        <v>3.5282838274922219E-12</v>
      </c>
      <c r="AC116" s="22">
        <f t="shared" si="57"/>
        <v>0.85177523681434208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108.5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-5.3205440053716299E-14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293.42903587188346</v>
      </c>
      <c r="AO116" s="59">
        <f t="shared" si="90"/>
        <v>267.80827667062124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0.60577095684980775</v>
      </c>
      <c r="AV116" s="21">
        <f>EXP(-LN(2)/25)*AV115+(1-EXP(-LN(2)/25))/(LN(2)/25)*Calculateur!AQ116*Calculateur!AS116*VLOOKUP('Données projet'!$B$10,Paramètres!$A$1:$I$89,3,0)*0.475*44/12</f>
        <v>0.78659698355787433</v>
      </c>
      <c r="AW116" s="21">
        <f>EXP(-LN(2)/2)*AW115+(1-EXP(-LN(2)/2))/(LN(2)/2)*AQ116*AT116*VLOOKUP('Données projet'!$B$10,Paramètres!$A$1:$I$89,3,0)*0.475*44/12</f>
        <v>3.1615848743241154E-12</v>
      </c>
      <c r="AX116" s="21">
        <f t="shared" si="60"/>
        <v>1.3923679404108438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108.5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3.7</v>
      </c>
      <c r="BD116" s="12">
        <f>IF('Données projet'!$A$88&gt;35,BD115+BC116-BL115,IF(A116&lt;'Données projet'!$A$88,$BA$205^A116,IF(A116='Données projet'!$A$88,'Données projet'!$B$88,BD115+BC116-BL115)))</f>
        <v>277.09999999999997</v>
      </c>
      <c r="BE116" s="13">
        <f>BD116*VLOOKUP('Données projet'!$B$11,Paramètres!$A$1:$I$89,3,0)*VLOOKUP('Données projet'!$B$11,Paramètres!$A$1:$I$89,5,0)</f>
        <v>250.72007999999994</v>
      </c>
      <c r="BF116" s="13">
        <f t="shared" si="91"/>
        <v>60.740109326032758</v>
      </c>
      <c r="BG116" s="20">
        <f t="shared" si="61"/>
        <v>542.45982974284027</v>
      </c>
      <c r="BH116" s="59">
        <f t="shared" si="62"/>
        <v>976.95982974284027</v>
      </c>
      <c r="BI116" s="59">
        <f ca="1">AVERAGE(OFFSET($BH$3,0,0,'Données projet'!$E$11+1,1))-AVERAGE(OFFSET($H$3,0,0,'Données projet'!$E$11+1,1))</f>
        <v>324.41828402031939</v>
      </c>
      <c r="BJ116" s="59">
        <f t="shared" si="92"/>
        <v>233.01060088065992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0.31100918895467872</v>
      </c>
      <c r="BR116" s="21">
        <f>EXP(-LN(2)/2)*BR115+(1-EXP(-LN(2)/2))/(LN(2)/2)*BL116*BO116*VLOOKUP('Données projet'!$B$11,Paramètres!$A$1:$I$89,3,0)*0.475*44/12</f>
        <v>1.9902153503556971E-12</v>
      </c>
      <c r="BS116" s="22">
        <f t="shared" si="63"/>
        <v>0.31100918895666896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108.5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279.00060755204919</v>
      </c>
      <c r="CE116" s="59">
        <f t="shared" si="94"/>
        <v>333.91128554211014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1.4109460195194561</v>
      </c>
      <c r="CL116" s="21">
        <f>EXP(-LN(2)/25)*CL115+(1-EXP(-LN(2)/25))/(LN(2)/25)*Calculateur!CG116*Calculateur!CI116*VLOOKUP('Données projet'!$B$12,Paramètres!$A$1:$I$89,3,0)*0.475*44/12</f>
        <v>2.7867932905116022</v>
      </c>
      <c r="CM116" s="21">
        <f>EXP(-LN(2)/2)*CM115+(1-EXP(-LN(2)/2))/(LN(2)/2)*CG116*CJ116*VLOOKUP('Données projet'!$B$12,Paramètres!$A$1:$I$89,3,0)*0.475*44/12</f>
        <v>6.9307593035417728E-12</v>
      </c>
      <c r="CN116" s="22">
        <f t="shared" si="66"/>
        <v>4.1977393100379885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108.5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-1.1368683772161603E-13</v>
      </c>
      <c r="CU116" s="17">
        <f>CT116*VLOOKUP('Données projet'!$B$13,Paramètres!$A$1:$I$89,3,0)*VLOOKUP('Données projet'!$B$13,Paramètres!$A$1:$I$89,5,0)</f>
        <v>-6.7984728957526396E-14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380.01315081072897</v>
      </c>
      <c r="CZ116" s="59">
        <f t="shared" si="96"/>
        <v>404.90871625409181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0.67607830101974009</v>
      </c>
      <c r="DG116" s="21">
        <f>EXP(-LN(2)/25)*DG115+(1-EXP(-LN(2)/25))/(LN(2)/25)*Calculateur!DB116*Calculateur!DD116*VLOOKUP('Données projet'!$B$13,Paramètres!$A$1:$I$89,3,0)*0.475*44/12</f>
        <v>2.1368256793506522</v>
      </c>
      <c r="DH116" s="21">
        <f>EXP(-LN(2)/2)*DH115+(1-EXP(-LN(2)/2))/(LN(2)/2)*DB116*DE116*VLOOKUP('Données projet'!$B$13,Paramètres!$A$1:$I$89,3,0)*0.475*44/12</f>
        <v>9.7441866483244503E-12</v>
      </c>
      <c r="DI116" s="22">
        <f t="shared" si="69"/>
        <v>2.8129039803801366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108.5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-5.6843418860808015E-14</v>
      </c>
      <c r="DP116" s="17">
        <f>DO116*VLOOKUP('Données projet'!$B$14,Paramètres!$A$1:$I$89,3,0)*VLOOKUP('Données projet'!$B$14,Paramètres!$A$1:$I$89,5,0)</f>
        <v>-5.1431925385259088E-14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320.81451813551064</v>
      </c>
      <c r="DU116" s="59">
        <f t="shared" si="98"/>
        <v>522.80818268773976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0.35472643371886242</v>
      </c>
      <c r="EB116" s="21">
        <f>EXP(-LN(2)/25)*EB115+(1-EXP(-LN(2)/25))/(LN(2)/25)*Calculateur!DW116*Calculateur!DY116*VLOOKUP('Données projet'!$B$14,Paramètres!$A$1:$I$89,3,0)*0.475*44/12</f>
        <v>1.0439902423702421</v>
      </c>
      <c r="EC116" s="21">
        <f>EXP(-LN(2)/2)*EC115+(1-EXP(-LN(2)/2))/(LN(2)/2)*DW116*DZ116*VLOOKUP('Données projet'!$B$14,Paramètres!$A$1:$I$89,3,0)*0.475*44/12</f>
        <v>1.9257550496021302E-12</v>
      </c>
      <c r="ED116" s="22">
        <f t="shared" si="72"/>
        <v>1.3987166760910303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108.5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228.3393311631487</v>
      </c>
      <c r="EP116" s="59">
        <f t="shared" si="100"/>
        <v>266.26050497804033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1.2005459455441421</v>
      </c>
      <c r="EW116" s="21">
        <f>EXP(-LN(2)/25)*EW115+(1-EXP(-LN(2)/25))/(LN(2)/25)*Calculateur!ER116*Calculateur!ET116*VLOOKUP('Données projet'!$B$15,Paramètres!$A$1:$I$89,3,0)*0.475*44/12</f>
        <v>1.2347372920182857</v>
      </c>
      <c r="EX116" s="21">
        <f>EXP(-LN(2)/2)*EX115+(1-EXP(-LN(2)/2))/(LN(2)/2)*ER116*EU116*VLOOKUP('Données projet'!$B$15,Paramètres!$A$1:$I$89,3,0)*0.475*44/12</f>
        <v>1.7510892603075787E-12</v>
      </c>
      <c r="EY116" s="22">
        <f t="shared" si="75"/>
        <v>2.4352832375641786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108.5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-1.7053025658242404E-13</v>
      </c>
      <c r="FF116" s="17">
        <f>FE116*VLOOKUP('Données projet'!$B$16,Paramètres!$A$1:$I$89,3,0)*VLOOKUP('Données projet'!$B$16,Paramètres!$A$1:$I$89,5,0)</f>
        <v>-9.7543306765146564E-14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242.10913976205194</v>
      </c>
      <c r="FK116" s="59">
        <f t="shared" si="102"/>
        <v>198.24795425321133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1.0851890366450465</v>
      </c>
      <c r="FS116" s="21">
        <f>EXP(-LN(2)/2)*FS115+(1-EXP(-LN(2)/2))/(LN(2)/2)*FM116*FP116*VLOOKUP('Données projet'!$B$16,Paramètres!$A$1:$I$89,3,0)*0.475*44/12</f>
        <v>4.2518188360897218E-12</v>
      </c>
      <c r="FT116" s="22">
        <f t="shared" si="78"/>
        <v>1.0851890366492982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108.5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108.5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55.752840000000056</v>
      </c>
      <c r="D117" s="11">
        <f t="shared" si="86"/>
        <v>16.089908765382084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305.01658247758741</v>
      </c>
      <c r="H117" s="67">
        <f t="shared" si="56"/>
        <v>522.95945409970727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108.5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5.6843418860808015E-14</v>
      </c>
      <c r="O117" s="13">
        <f>N117*VLOOKUP('Données projet'!$B$9,Paramètres!$A$1:$I$89,3,0)*VLOOKUP('Données projet'!$B$9,Paramètres!$A$1:$I$89,5,0)</f>
        <v>4.6111381379887463E-14</v>
      </c>
      <c r="P117" s="13">
        <f t="shared" si="87"/>
        <v>7.5804141040779151E-13</v>
      </c>
      <c r="Q117" s="20">
        <f t="shared" si="107"/>
        <v>1.4005661123635408E-12</v>
      </c>
      <c r="R117" s="59">
        <f t="shared" si="55"/>
        <v>434.50000000000142</v>
      </c>
      <c r="S117" s="59">
        <f ca="1">AVERAGE(OFFSET($R$3,0,0,'Données projet'!$E$9+1,1))-AVERAGE(OFFSET($H$3,0,0,'Données projet'!$E$9+1,1))</f>
        <v>273.89826011924487</v>
      </c>
      <c r="T117" s="59">
        <f t="shared" si="88"/>
        <v>332.17519939974227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0.82848339816730909</v>
      </c>
      <c r="AB117" s="21">
        <f>EXP(-LN(2)/2)*AB116+(1-EXP(-LN(2)/2))/(LN(2)/2)*V117*Y117*VLOOKUP('Données projet'!$B$9,Paramètres!$A$1:$I$89,3,0)*0.475*44/12</f>
        <v>2.4948734203705769E-12</v>
      </c>
      <c r="AC117" s="22">
        <f t="shared" si="57"/>
        <v>0.82848339816980399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108.5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-5.3205440053716299E-14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293.42903587188346</v>
      </c>
      <c r="AO117" s="59">
        <f t="shared" si="90"/>
        <v>267.80827667062124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0.59389215786978322</v>
      </c>
      <c r="AV117" s="21">
        <f>EXP(-LN(2)/25)*AV116+(1-EXP(-LN(2)/25))/(LN(2)/25)*Calculateur!AQ117*Calculateur!AS117*VLOOKUP('Données projet'!$B$10,Paramètres!$A$1:$I$89,3,0)*0.475*44/12</f>
        <v>0.76508744767714665</v>
      </c>
      <c r="AW117" s="21">
        <f>EXP(-LN(2)/2)*AW116+(1-EXP(-LN(2)/2))/(LN(2)/2)*AQ117*AT117*VLOOKUP('Données projet'!$B$10,Paramètres!$A$1:$I$89,3,0)*0.475*44/12</f>
        <v>2.2355781039314006E-12</v>
      </c>
      <c r="AX117" s="21">
        <f t="shared" si="60"/>
        <v>1.3589796055491654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108.5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3.7</v>
      </c>
      <c r="BD117" s="12">
        <f>IF('Données projet'!$A$88&gt;35,BD116+BC117-BL116,IF(A117&lt;'Données projet'!$A$88,$BA$205^A117,IF(A117='Données projet'!$A$88,'Données projet'!$B$88,BD116+BC117-BL116)))</f>
        <v>280.79999999999995</v>
      </c>
      <c r="BE117" s="13">
        <f>BD117*VLOOKUP('Données projet'!$B$11,Paramètres!$A$1:$I$89,3,0)*VLOOKUP('Données projet'!$B$11,Paramètres!$A$1:$I$89,5,0)</f>
        <v>254.06783999999996</v>
      </c>
      <c r="BF117" s="13">
        <f t="shared" si="91"/>
        <v>61.456187622750718</v>
      </c>
      <c r="BG117" s="20">
        <f t="shared" si="61"/>
        <v>549.53768144295748</v>
      </c>
      <c r="BH117" s="59">
        <f t="shared" si="62"/>
        <v>984.03768144295748</v>
      </c>
      <c r="BI117" s="59">
        <f ca="1">AVERAGE(OFFSET($BH$3,0,0,'Données projet'!$E$11+1,1))-AVERAGE(OFFSET($H$3,0,0,'Données projet'!$E$11+1,1))</f>
        <v>324.41828402031939</v>
      </c>
      <c r="BJ117" s="59">
        <f t="shared" si="92"/>
        <v>233.01060088065992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0.30250462632745062</v>
      </c>
      <c r="BR117" s="21">
        <f>EXP(-LN(2)/2)*BR116+(1-EXP(-LN(2)/2))/(LN(2)/2)*BL117*BO117*VLOOKUP('Données projet'!$B$11,Paramètres!$A$1:$I$89,3,0)*0.475*44/12</f>
        <v>1.4072947702580739E-12</v>
      </c>
      <c r="BS117" s="22">
        <f t="shared" si="63"/>
        <v>0.30250462632885794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108.5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279.00060755204919</v>
      </c>
      <c r="CE117" s="59">
        <f t="shared" si="94"/>
        <v>333.91128554211014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1.383278228668775</v>
      </c>
      <c r="CL117" s="21">
        <f>EXP(-LN(2)/25)*CL116+(1-EXP(-LN(2)/25))/(LN(2)/25)*Calculateur!CG117*Calculateur!CI117*VLOOKUP('Données projet'!$B$12,Paramètres!$A$1:$I$89,3,0)*0.475*44/12</f>
        <v>2.7105882814314728</v>
      </c>
      <c r="CM117" s="21">
        <f>EXP(-LN(2)/2)*CM116+(1-EXP(-LN(2)/2))/(LN(2)/2)*CG117*CJ117*VLOOKUP('Données projet'!$B$12,Paramètres!$A$1:$I$89,3,0)*0.475*44/12</f>
        <v>4.9007869023061408E-12</v>
      </c>
      <c r="CN117" s="22">
        <f t="shared" si="66"/>
        <v>4.0938665101051486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108.5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-1.1368683772161603E-13</v>
      </c>
      <c r="CU117" s="17">
        <f>CT117*VLOOKUP('Données projet'!$B$13,Paramètres!$A$1:$I$89,3,0)*VLOOKUP('Données projet'!$B$13,Paramètres!$A$1:$I$89,5,0)</f>
        <v>-6.7984728957526396E-14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380.01315081072897</v>
      </c>
      <c r="CZ117" s="59">
        <f t="shared" si="96"/>
        <v>404.90871625409181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0.66282081790378877</v>
      </c>
      <c r="DG117" s="21">
        <f>EXP(-LN(2)/25)*DG116+(1-EXP(-LN(2)/25))/(LN(2)/25)*Calculateur!DB117*Calculateur!DD117*VLOOKUP('Données projet'!$B$13,Paramètres!$A$1:$I$89,3,0)*0.475*44/12</f>
        <v>2.0783940687780298</v>
      </c>
      <c r="DH117" s="21">
        <f>EXP(-LN(2)/2)*DH116+(1-EXP(-LN(2)/2))/(LN(2)/2)*DB117*DE117*VLOOKUP('Données projet'!$B$13,Paramètres!$A$1:$I$89,3,0)*0.475*44/12</f>
        <v>6.8901804561776351E-12</v>
      </c>
      <c r="DI117" s="22">
        <f t="shared" si="69"/>
        <v>2.7412148866887085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108.5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-5.6843418860808015E-14</v>
      </c>
      <c r="DP117" s="17">
        <f>DO117*VLOOKUP('Données projet'!$B$14,Paramètres!$A$1:$I$89,3,0)*VLOOKUP('Données projet'!$B$14,Paramètres!$A$1:$I$89,5,0)</f>
        <v>-5.1431925385259088E-14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320.81451813551064</v>
      </c>
      <c r="DU117" s="59">
        <f t="shared" si="98"/>
        <v>522.80818268773976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0.34777046471539613</v>
      </c>
      <c r="EB117" s="21">
        <f>EXP(-LN(2)/25)*EB116+(1-EXP(-LN(2)/25))/(LN(2)/25)*Calculateur!DW117*Calculateur!DY117*VLOOKUP('Données projet'!$B$14,Paramètres!$A$1:$I$89,3,0)*0.475*44/12</f>
        <v>1.015442274291567</v>
      </c>
      <c r="EC117" s="21">
        <f>EXP(-LN(2)/2)*EC116+(1-EXP(-LN(2)/2))/(LN(2)/2)*DW117*DZ117*VLOOKUP('Données projet'!$B$14,Paramètres!$A$1:$I$89,3,0)*0.475*44/12</f>
        <v>1.3617144544779025E-12</v>
      </c>
      <c r="ED117" s="22">
        <f t="shared" si="72"/>
        <v>1.3632127390083248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108.5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228.3393311631487</v>
      </c>
      <c r="EP117" s="59">
        <f t="shared" si="100"/>
        <v>266.26050497804033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1.1770039718127434</v>
      </c>
      <c r="EW117" s="21">
        <f>EXP(-LN(2)/25)*EW116+(1-EXP(-LN(2)/25))/(LN(2)/25)*Calculateur!ER117*Calculateur!ET117*VLOOKUP('Données projet'!$B$15,Paramètres!$A$1:$I$89,3,0)*0.475*44/12</f>
        <v>1.2009733358360335</v>
      </c>
      <c r="EX117" s="21">
        <f>EXP(-LN(2)/2)*EX116+(1-EXP(-LN(2)/2))/(LN(2)/2)*ER117*EU117*VLOOKUP('Données projet'!$B$15,Paramètres!$A$1:$I$89,3,0)*0.475*44/12</f>
        <v>1.2382070904264244E-12</v>
      </c>
      <c r="EY117" s="22">
        <f t="shared" si="75"/>
        <v>2.3779773076500152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108.5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-1.7053025658242404E-13</v>
      </c>
      <c r="FF117" s="17">
        <f>FE117*VLOOKUP('Données projet'!$B$16,Paramètres!$A$1:$I$89,3,0)*VLOOKUP('Données projet'!$B$16,Paramètres!$A$1:$I$89,5,0)</f>
        <v>-9.7543306765146564E-14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242.10913976205194</v>
      </c>
      <c r="FK117" s="59">
        <f t="shared" si="102"/>
        <v>198.24795425321133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1.0555144853703766</v>
      </c>
      <c r="FS117" s="21">
        <f>EXP(-LN(2)/2)*FS116+(1-EXP(-LN(2)/2))/(LN(2)/2)*FM117*FP117*VLOOKUP('Données projet'!$B$16,Paramètres!$A$1:$I$89,3,0)*0.475*44/12</f>
        <v>3.0064899313757361E-12</v>
      </c>
      <c r="FT117" s="22">
        <f t="shared" si="78"/>
        <v>1.0555144853733831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108.5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108.5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56.241900000000058</v>
      </c>
      <c r="D118" s="11">
        <f t="shared" si="86"/>
        <v>16.214556210943506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307.62214742190082</v>
      </c>
      <c r="H118" s="67">
        <f t="shared" si="56"/>
        <v>524.02832790072671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108.5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5.6843418860808015E-14</v>
      </c>
      <c r="O118" s="13">
        <f>N118*VLOOKUP('Données projet'!$B$9,Paramètres!$A$1:$I$89,3,0)*VLOOKUP('Données projet'!$B$9,Paramètres!$A$1:$I$89,5,0)</f>
        <v>4.6111381379887463E-14</v>
      </c>
      <c r="P118" s="13">
        <f t="shared" si="87"/>
        <v>7.5804141040779151E-13</v>
      </c>
      <c r="Q118" s="20">
        <f t="shared" si="107"/>
        <v>1.4005661123635408E-12</v>
      </c>
      <c r="R118" s="59">
        <f t="shared" si="55"/>
        <v>434.50000000000142</v>
      </c>
      <c r="S118" s="59">
        <f ca="1">AVERAGE(OFFSET($R$3,0,0,'Données projet'!$E$9+1,1))-AVERAGE(OFFSET($H$3,0,0,'Données projet'!$E$9+1,1))</f>
        <v>273.89826011924487</v>
      </c>
      <c r="T118" s="59">
        <f t="shared" si="88"/>
        <v>332.17519939974227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0.80582847607637564</v>
      </c>
      <c r="AB118" s="21">
        <f>EXP(-LN(2)/2)*AB117+(1-EXP(-LN(2)/2))/(LN(2)/2)*V118*Y118*VLOOKUP('Données projet'!$B$9,Paramètres!$A$1:$I$89,3,0)*0.475*44/12</f>
        <v>1.7641419137461109E-12</v>
      </c>
      <c r="AC118" s="22">
        <f t="shared" si="57"/>
        <v>0.80582847607813979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108.5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-5.3205440053716299E-14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293.42903587188346</v>
      </c>
      <c r="AO118" s="59">
        <f t="shared" si="90"/>
        <v>267.80827667062124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0.58224629489240498</v>
      </c>
      <c r="AV118" s="21">
        <f>EXP(-LN(2)/25)*AV117+(1-EXP(-LN(2)/25))/(LN(2)/25)*Calculateur!AQ118*Calculateur!AS118*VLOOKUP('Données projet'!$B$10,Paramètres!$A$1:$I$89,3,0)*0.475*44/12</f>
        <v>0.7441660911862148</v>
      </c>
      <c r="AW118" s="21">
        <f>EXP(-LN(2)/2)*AW117+(1-EXP(-LN(2)/2))/(LN(2)/2)*AQ118*AT118*VLOOKUP('Données projet'!$B$10,Paramètres!$A$1:$I$89,3,0)*0.475*44/12</f>
        <v>1.5807924371620577E-12</v>
      </c>
      <c r="AX118" s="21">
        <f t="shared" si="60"/>
        <v>1.3264123860802004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108.5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3.7</v>
      </c>
      <c r="BD118" s="12">
        <f>IF('Données projet'!$A$88&gt;35,BD117+BC118-BL117,IF(A118&lt;'Données projet'!$A$88,$BA$205^A118,IF(A118='Données projet'!$A$88,'Données projet'!$B$88,BD117+BC118-BL117)))</f>
        <v>284.49999999999994</v>
      </c>
      <c r="BE118" s="13">
        <f>BD118*VLOOKUP('Données projet'!$B$11,Paramètres!$A$1:$I$89,3,0)*VLOOKUP('Données projet'!$B$11,Paramètres!$A$1:$I$89,5,0)</f>
        <v>257.41559999999993</v>
      </c>
      <c r="BF118" s="13">
        <f t="shared" si="91"/>
        <v>62.171168434977119</v>
      </c>
      <c r="BG118" s="20">
        <f t="shared" si="61"/>
        <v>556.61362169091831</v>
      </c>
      <c r="BH118" s="59">
        <f t="shared" si="62"/>
        <v>991.11362169091831</v>
      </c>
      <c r="BI118" s="59">
        <f ca="1">AVERAGE(OFFSET($BH$3,0,0,'Données projet'!$E$11+1,1))-AVERAGE(OFFSET($H$3,0,0,'Données projet'!$E$11+1,1))</f>
        <v>324.41828402031939</v>
      </c>
      <c r="BJ118" s="59">
        <f t="shared" si="92"/>
        <v>233.01060088065992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0.29423262141249956</v>
      </c>
      <c r="BR118" s="21">
        <f>EXP(-LN(2)/2)*BR117+(1-EXP(-LN(2)/2))/(LN(2)/2)*BL118*BO118*VLOOKUP('Données projet'!$B$11,Paramètres!$A$1:$I$89,3,0)*0.475*44/12</f>
        <v>9.9510767517784854E-13</v>
      </c>
      <c r="BS118" s="22">
        <f t="shared" si="63"/>
        <v>0.29423262141349465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108.5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279.00060755204919</v>
      </c>
      <c r="CE118" s="59">
        <f t="shared" si="94"/>
        <v>333.91128554211014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1.3561529863209898</v>
      </c>
      <c r="CL118" s="21">
        <f>EXP(-LN(2)/25)*CL117+(1-EXP(-LN(2)/25))/(LN(2)/25)*Calculateur!CG118*Calculateur!CI118*VLOOKUP('Données projet'!$B$12,Paramètres!$A$1:$I$89,3,0)*0.475*44/12</f>
        <v>2.6364671023320865</v>
      </c>
      <c r="CM118" s="21">
        <f>EXP(-LN(2)/2)*CM117+(1-EXP(-LN(2)/2))/(LN(2)/2)*CG118*CJ118*VLOOKUP('Données projet'!$B$12,Paramètres!$A$1:$I$89,3,0)*0.475*44/12</f>
        <v>3.4653796517708864E-12</v>
      </c>
      <c r="CN118" s="22">
        <f t="shared" si="66"/>
        <v>3.9926200886565417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108.5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-1.1368683772161603E-13</v>
      </c>
      <c r="CU118" s="17">
        <f>CT118*VLOOKUP('Données projet'!$B$13,Paramètres!$A$1:$I$89,3,0)*VLOOKUP('Données projet'!$B$13,Paramètres!$A$1:$I$89,5,0)</f>
        <v>-6.7984728957526396E-14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380.01315081072897</v>
      </c>
      <c r="CZ118" s="59">
        <f t="shared" si="96"/>
        <v>404.90871625409181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0.64982330594547499</v>
      </c>
      <c r="DG118" s="21">
        <f>EXP(-LN(2)/25)*DG117+(1-EXP(-LN(2)/25))/(LN(2)/25)*Calculateur!DB118*Calculateur!DD118*VLOOKUP('Données projet'!$B$13,Paramètres!$A$1:$I$89,3,0)*0.475*44/12</f>
        <v>2.0215602736693006</v>
      </c>
      <c r="DH118" s="21">
        <f>EXP(-LN(2)/2)*DH117+(1-EXP(-LN(2)/2))/(LN(2)/2)*DB118*DE118*VLOOKUP('Données projet'!$B$13,Paramètres!$A$1:$I$89,3,0)*0.475*44/12</f>
        <v>4.8720933241622252E-12</v>
      </c>
      <c r="DI118" s="22">
        <f t="shared" si="69"/>
        <v>2.6713835796196475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108.5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-5.6843418860808015E-14</v>
      </c>
      <c r="DP118" s="17">
        <f>DO118*VLOOKUP('Données projet'!$B$14,Paramètres!$A$1:$I$89,3,0)*VLOOKUP('Données projet'!$B$14,Paramètres!$A$1:$I$89,5,0)</f>
        <v>-5.1431925385259088E-14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320.81451813551064</v>
      </c>
      <c r="DU118" s="59">
        <f t="shared" si="98"/>
        <v>522.80818268773976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0.34095089802136569</v>
      </c>
      <c r="EB118" s="21">
        <f>EXP(-LN(2)/25)*EB117+(1-EXP(-LN(2)/25))/(LN(2)/25)*Calculateur!DW118*Calculateur!DY118*VLOOKUP('Données projet'!$B$14,Paramètres!$A$1:$I$89,3,0)*0.475*44/12</f>
        <v>0.98767495190127574</v>
      </c>
      <c r="EC118" s="21">
        <f>EXP(-LN(2)/2)*EC117+(1-EXP(-LN(2)/2))/(LN(2)/2)*DW118*DZ118*VLOOKUP('Données projet'!$B$14,Paramètres!$A$1:$I$89,3,0)*0.475*44/12</f>
        <v>9.628775248010651E-13</v>
      </c>
      <c r="ED118" s="22">
        <f t="shared" si="72"/>
        <v>1.3286258499236041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108.5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228.3393311631487</v>
      </c>
      <c r="EP118" s="59">
        <f t="shared" si="100"/>
        <v>266.26050497804033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1.1539236418270313</v>
      </c>
      <c r="EW118" s="21">
        <f>EXP(-LN(2)/25)*EW117+(1-EXP(-LN(2)/25))/(LN(2)/25)*Calculateur!ER118*Calculateur!ET118*VLOOKUP('Données projet'!$B$15,Paramètres!$A$1:$I$89,3,0)*0.475*44/12</f>
        <v>1.1681326568111543</v>
      </c>
      <c r="EX118" s="21">
        <f>EXP(-LN(2)/2)*EX117+(1-EXP(-LN(2)/2))/(LN(2)/2)*ER118*EU118*VLOOKUP('Données projet'!$B$15,Paramètres!$A$1:$I$89,3,0)*0.475*44/12</f>
        <v>8.7554463015378937E-13</v>
      </c>
      <c r="EY118" s="22">
        <f t="shared" si="75"/>
        <v>2.3220562986390614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108.5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-1.7053025658242404E-13</v>
      </c>
      <c r="FF118" s="17">
        <f>FE118*VLOOKUP('Données projet'!$B$16,Paramètres!$A$1:$I$89,3,0)*VLOOKUP('Données projet'!$B$16,Paramètres!$A$1:$I$89,5,0)</f>
        <v>-9.7543306765146564E-14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242.10913976205194</v>
      </c>
      <c r="FK118" s="59">
        <f t="shared" si="102"/>
        <v>198.24795425321133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1.0266513862608293</v>
      </c>
      <c r="FS118" s="21">
        <f>EXP(-LN(2)/2)*FS117+(1-EXP(-LN(2)/2))/(LN(2)/2)*FM118*FP118*VLOOKUP('Données projet'!$B$16,Paramètres!$A$1:$I$89,3,0)*0.475*44/12</f>
        <v>2.1259094180448609E-12</v>
      </c>
      <c r="FT118" s="22">
        <f t="shared" si="78"/>
        <v>1.0266513862629552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108.5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108.5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56.73096000000006</v>
      </c>
      <c r="D119" s="11">
        <f t="shared" si="86"/>
        <v>16.339077553760216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310.22717698263136</v>
      </c>
      <c r="H119" s="67">
        <f t="shared" si="56"/>
        <v>525.09698207279916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108.5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5.6843418860808015E-14</v>
      </c>
      <c r="O119" s="13">
        <f>N119*VLOOKUP('Données projet'!$B$9,Paramètres!$A$1:$I$89,3,0)*VLOOKUP('Données projet'!$B$9,Paramètres!$A$1:$I$89,5,0)</f>
        <v>4.6111381379887463E-14</v>
      </c>
      <c r="P119" s="13">
        <f t="shared" si="87"/>
        <v>7.5804141040779151E-13</v>
      </c>
      <c r="Q119" s="20">
        <f t="shared" si="107"/>
        <v>1.4005661123635408E-12</v>
      </c>
      <c r="R119" s="59">
        <f t="shared" si="55"/>
        <v>434.50000000000142</v>
      </c>
      <c r="S119" s="59">
        <f ca="1">AVERAGE(OFFSET($R$3,0,0,'Données projet'!$E$9+1,1))-AVERAGE(OFFSET($H$3,0,0,'Données projet'!$E$9+1,1))</f>
        <v>273.89826011924487</v>
      </c>
      <c r="T119" s="59">
        <f t="shared" si="88"/>
        <v>332.17519939974227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0.78379305402138932</v>
      </c>
      <c r="AB119" s="21">
        <f>EXP(-LN(2)/2)*AB118+(1-EXP(-LN(2)/2))/(LN(2)/2)*V119*Y119*VLOOKUP('Données projet'!$B$9,Paramètres!$A$1:$I$89,3,0)*0.475*44/12</f>
        <v>1.2474367101852884E-12</v>
      </c>
      <c r="AC119" s="22">
        <f t="shared" si="57"/>
        <v>0.78379305402263677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108.5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-5.3205440053716299E-14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293.42903587188346</v>
      </c>
      <c r="AO119" s="59">
        <f t="shared" si="90"/>
        <v>267.80827667062124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0.57082880018473814</v>
      </c>
      <c r="AV119" s="21">
        <f>EXP(-LN(2)/25)*AV118+(1-EXP(-LN(2)/25))/(LN(2)/25)*Calculateur!AQ119*Calculateur!AS119*VLOOKUP('Données projet'!$B$10,Paramètres!$A$1:$I$89,3,0)*0.475*44/12</f>
        <v>0.72381683028873378</v>
      </c>
      <c r="AW119" s="21">
        <f>EXP(-LN(2)/2)*AW118+(1-EXP(-LN(2)/2))/(LN(2)/2)*AQ119*AT119*VLOOKUP('Données projet'!$B$10,Paramètres!$A$1:$I$89,3,0)*0.475*44/12</f>
        <v>1.1177890519657003E-12</v>
      </c>
      <c r="AX119" s="21">
        <f t="shared" si="60"/>
        <v>1.2946456304745897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108.5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3.7</v>
      </c>
      <c r="BD119" s="12">
        <f>IF('Données projet'!$A$88&gt;35,BD118+BC119-BL118,IF(A119&lt;'Données projet'!$A$88,$BA$205^A119,IF(A119='Données projet'!$A$88,'Données projet'!$B$88,BD118+BC119-BL118)))</f>
        <v>288.19999999999993</v>
      </c>
      <c r="BE119" s="13">
        <f>BD119*VLOOKUP('Données projet'!$B$11,Paramètres!$A$1:$I$89,3,0)*VLOOKUP('Données projet'!$B$11,Paramètres!$A$1:$I$89,5,0)</f>
        <v>260.76335999999992</v>
      </c>
      <c r="BF119" s="13">
        <f t="shared" si="91"/>
        <v>62.885067686031952</v>
      </c>
      <c r="BG119" s="20">
        <f t="shared" si="61"/>
        <v>563.68767821983886</v>
      </c>
      <c r="BH119" s="59">
        <f t="shared" si="62"/>
        <v>998.18767821983886</v>
      </c>
      <c r="BI119" s="59">
        <f ca="1">AVERAGE(OFFSET($BH$3,0,0,'Données projet'!$E$11+1,1))-AVERAGE(OFFSET($H$3,0,0,'Données projet'!$E$11+1,1))</f>
        <v>324.41828402031939</v>
      </c>
      <c r="BJ119" s="59">
        <f t="shared" si="92"/>
        <v>233.01060088065992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0.28618681490695369</v>
      </c>
      <c r="BR119" s="21">
        <f>EXP(-LN(2)/2)*BR118+(1-EXP(-LN(2)/2))/(LN(2)/2)*BL119*BO119*VLOOKUP('Données projet'!$B$11,Paramètres!$A$1:$I$89,3,0)*0.475*44/12</f>
        <v>7.0364738512903697E-13</v>
      </c>
      <c r="BS119" s="22">
        <f t="shared" si="63"/>
        <v>0.28618681490765735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108.5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279.00060755204919</v>
      </c>
      <c r="CE119" s="59">
        <f t="shared" si="94"/>
        <v>333.91128554211014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1.3295596534308805</v>
      </c>
      <c r="CL119" s="21">
        <f>EXP(-LN(2)/25)*CL118+(1-EXP(-LN(2)/25))/(LN(2)/25)*Calculateur!CG119*Calculateur!CI119*VLOOKUP('Données projet'!$B$12,Paramètres!$A$1:$I$89,3,0)*0.475*44/12</f>
        <v>2.5643727707730366</v>
      </c>
      <c r="CM119" s="21">
        <f>EXP(-LN(2)/2)*CM118+(1-EXP(-LN(2)/2))/(LN(2)/2)*CG119*CJ119*VLOOKUP('Données projet'!$B$12,Paramètres!$A$1:$I$89,3,0)*0.475*44/12</f>
        <v>2.4503934511530704E-12</v>
      </c>
      <c r="CN119" s="22">
        <f t="shared" si="66"/>
        <v>3.8939324242063673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108.5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-1.1368683772161603E-13</v>
      </c>
      <c r="CU119" s="17">
        <f>CT119*VLOOKUP('Données projet'!$B$13,Paramètres!$A$1:$I$89,3,0)*VLOOKUP('Données projet'!$B$13,Paramètres!$A$1:$I$89,5,0)</f>
        <v>-6.7984728957526396E-14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380.01315081072897</v>
      </c>
      <c r="CZ119" s="59">
        <f t="shared" si="96"/>
        <v>404.90871625409181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0.63708066726896428</v>
      </c>
      <c r="DG119" s="21">
        <f>EXP(-LN(2)/25)*DG118+(1-EXP(-LN(2)/25))/(LN(2)/25)*Calculateur!DB119*Calculateur!DD119*VLOOKUP('Données projet'!$B$13,Paramètres!$A$1:$I$89,3,0)*0.475*44/12</f>
        <v>1.966280601676579</v>
      </c>
      <c r="DH119" s="21">
        <f>EXP(-LN(2)/2)*DH118+(1-EXP(-LN(2)/2))/(LN(2)/2)*DB119*DE119*VLOOKUP('Données projet'!$B$13,Paramètres!$A$1:$I$89,3,0)*0.475*44/12</f>
        <v>3.4450902280888176E-12</v>
      </c>
      <c r="DI119" s="22">
        <f t="shared" si="69"/>
        <v>2.6033612689489884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108.5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-5.6843418860808015E-14</v>
      </c>
      <c r="DP119" s="17">
        <f>DO119*VLOOKUP('Données projet'!$B$14,Paramètres!$A$1:$I$89,3,0)*VLOOKUP('Données projet'!$B$14,Paramètres!$A$1:$I$89,5,0)</f>
        <v>-5.1431925385259088E-14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320.81451813551064</v>
      </c>
      <c r="DU119" s="59">
        <f t="shared" si="98"/>
        <v>522.80818268773976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0.3342650588706802</v>
      </c>
      <c r="EB119" s="21">
        <f>EXP(-LN(2)/25)*EB118+(1-EXP(-LN(2)/25))/(LN(2)/25)*Calculateur!DW119*Calculateur!DY119*VLOOKUP('Données projet'!$B$14,Paramètres!$A$1:$I$89,3,0)*0.475*44/12</f>
        <v>0.96066692840196699</v>
      </c>
      <c r="EC119" s="21">
        <f>EXP(-LN(2)/2)*EC118+(1-EXP(-LN(2)/2))/(LN(2)/2)*DW119*DZ119*VLOOKUP('Données projet'!$B$14,Paramètres!$A$1:$I$89,3,0)*0.475*44/12</f>
        <v>6.8085722723895123E-13</v>
      </c>
      <c r="ED119" s="22">
        <f t="shared" si="72"/>
        <v>1.294931987273328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108.5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228.3393311631487</v>
      </c>
      <c r="EP119" s="59">
        <f t="shared" si="100"/>
        <v>266.26050497804033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1.1312959030347278</v>
      </c>
      <c r="EW119" s="21">
        <f>EXP(-LN(2)/25)*EW118+(1-EXP(-LN(2)/25))/(LN(2)/25)*Calculateur!ER119*Calculateur!ET119*VLOOKUP('Données projet'!$B$15,Paramètres!$A$1:$I$89,3,0)*0.475*44/12</f>
        <v>1.1361900078812266</v>
      </c>
      <c r="EX119" s="21">
        <f>EXP(-LN(2)/2)*EX118+(1-EXP(-LN(2)/2))/(LN(2)/2)*ER119*EU119*VLOOKUP('Données projet'!$B$15,Paramètres!$A$1:$I$89,3,0)*0.475*44/12</f>
        <v>6.1910354521321221E-13</v>
      </c>
      <c r="EY119" s="22">
        <f t="shared" si="75"/>
        <v>2.2674859109165735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108.5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-1.7053025658242404E-13</v>
      </c>
      <c r="FF119" s="17">
        <f>FE119*VLOOKUP('Données projet'!$B$16,Paramètres!$A$1:$I$89,3,0)*VLOOKUP('Données projet'!$B$16,Paramètres!$A$1:$I$89,5,0)</f>
        <v>-9.7543306765146564E-14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242.10913976205194</v>
      </c>
      <c r="FK119" s="59">
        <f t="shared" si="102"/>
        <v>198.24795425321133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0.99857755011427696</v>
      </c>
      <c r="FS119" s="21">
        <f>EXP(-LN(2)/2)*FS118+(1-EXP(-LN(2)/2))/(LN(2)/2)*FM119*FP119*VLOOKUP('Données projet'!$B$16,Paramètres!$A$1:$I$89,3,0)*0.475*44/12</f>
        <v>1.5032449656878681E-12</v>
      </c>
      <c r="FT119" s="22">
        <f t="shared" si="78"/>
        <v>0.9985775501157802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108.5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108.5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57.220020000000062</v>
      </c>
      <c r="D120" s="11">
        <f t="shared" si="86"/>
        <v>16.463474006883871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312.83167630992835</v>
      </c>
      <c r="H120" s="67">
        <f t="shared" si="56"/>
        <v>526.16541872865616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108.5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5.6843418860808015E-14</v>
      </c>
      <c r="O120" s="13">
        <f>N120*VLOOKUP('Données projet'!$B$9,Paramètres!$A$1:$I$89,3,0)*VLOOKUP('Données projet'!$B$9,Paramètres!$A$1:$I$89,5,0)</f>
        <v>4.6111381379887463E-14</v>
      </c>
      <c r="P120" s="13">
        <f t="shared" si="87"/>
        <v>7.5804141040779151E-13</v>
      </c>
      <c r="Q120" s="20">
        <f t="shared" si="107"/>
        <v>1.4005661123635408E-12</v>
      </c>
      <c r="R120" s="59">
        <f t="shared" si="55"/>
        <v>434.50000000000142</v>
      </c>
      <c r="S120" s="59">
        <f ca="1">AVERAGE(OFFSET($R$3,0,0,'Données projet'!$E$9+1,1))-AVERAGE(OFFSET($H$3,0,0,'Données projet'!$E$9+1,1))</f>
        <v>273.89826011924487</v>
      </c>
      <c r="T120" s="59">
        <f t="shared" si="88"/>
        <v>332.17519939974227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0.76236019174128911</v>
      </c>
      <c r="AB120" s="21">
        <f>EXP(-LN(2)/2)*AB119+(1-EXP(-LN(2)/2))/(LN(2)/2)*V120*Y120*VLOOKUP('Données projet'!$B$9,Paramètres!$A$1:$I$89,3,0)*0.475*44/12</f>
        <v>8.8207095687305546E-13</v>
      </c>
      <c r="AC120" s="22">
        <f t="shared" si="57"/>
        <v>0.76236019174217118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108.5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-5.3205440053716299E-14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293.42903587188346</v>
      </c>
      <c r="AO120" s="59">
        <f t="shared" si="90"/>
        <v>267.80827667062124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0.55963519558430452</v>
      </c>
      <c r="AV120" s="21">
        <f>EXP(-LN(2)/25)*AV119+(1-EXP(-LN(2)/25))/(LN(2)/25)*Calculateur!AQ120*Calculateur!AS120*VLOOKUP('Données projet'!$B$10,Paramètres!$A$1:$I$89,3,0)*0.475*44/12</f>
        <v>0.70402402100061556</v>
      </c>
      <c r="AW120" s="21">
        <f>EXP(-LN(2)/2)*AW119+(1-EXP(-LN(2)/2))/(LN(2)/2)*AQ120*AT120*VLOOKUP('Données projet'!$B$10,Paramètres!$A$1:$I$89,3,0)*0.475*44/12</f>
        <v>7.9039621858102885E-13</v>
      </c>
      <c r="AX120" s="21">
        <f t="shared" si="60"/>
        <v>1.2636592165857106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108.5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3.7</v>
      </c>
      <c r="BD120" s="12">
        <f>IF('Données projet'!$A$88&gt;35,BD119+BC120-BL119,IF(A120&lt;'Données projet'!$A$88,$BA$205^A120,IF(A120='Données projet'!$A$88,'Données projet'!$B$88,BD119+BC120-BL119)))</f>
        <v>291.89999999999992</v>
      </c>
      <c r="BE120" s="13">
        <f>BD120*VLOOKUP('Données projet'!$B$11,Paramètres!$A$1:$I$89,3,0)*VLOOKUP('Données projet'!$B$11,Paramètres!$A$1:$I$89,5,0)</f>
        <v>264.11111999999991</v>
      </c>
      <c r="BF120" s="13">
        <f t="shared" si="91"/>
        <v>63.59790086687066</v>
      </c>
      <c r="BG120" s="20">
        <f t="shared" si="61"/>
        <v>570.75987800979954</v>
      </c>
      <c r="BH120" s="59">
        <f t="shared" si="62"/>
        <v>1005.2598780097995</v>
      </c>
      <c r="BI120" s="59">
        <f ca="1">AVERAGE(OFFSET($BH$3,0,0,'Données projet'!$E$11+1,1))-AVERAGE(OFFSET($H$3,0,0,'Données projet'!$E$11+1,1))</f>
        <v>324.41828402031939</v>
      </c>
      <c r="BJ120" s="59">
        <f t="shared" si="92"/>
        <v>233.01060088065992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0.27836102140341251</v>
      </c>
      <c r="BR120" s="21">
        <f>EXP(-LN(2)/2)*BR119+(1-EXP(-LN(2)/2))/(LN(2)/2)*BL120*BO120*VLOOKUP('Données projet'!$B$11,Paramètres!$A$1:$I$89,3,0)*0.475*44/12</f>
        <v>4.9755383758892427E-13</v>
      </c>
      <c r="BS120" s="22">
        <f t="shared" si="63"/>
        <v>0.27836102140391006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108.5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279.00060755204919</v>
      </c>
      <c r="CE120" s="59">
        <f t="shared" si="94"/>
        <v>333.91128554211014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1.3034877995784147</v>
      </c>
      <c r="CL120" s="21">
        <f>EXP(-LN(2)/25)*CL119+(1-EXP(-LN(2)/25))/(LN(2)/25)*Calculateur!CG120*Calculateur!CI120*VLOOKUP('Données projet'!$B$12,Paramètres!$A$1:$I$89,3,0)*0.475*44/12</f>
        <v>2.4942498625017451</v>
      </c>
      <c r="CM120" s="21">
        <f>EXP(-LN(2)/2)*CM119+(1-EXP(-LN(2)/2))/(LN(2)/2)*CG120*CJ120*VLOOKUP('Données projet'!$B$12,Paramètres!$A$1:$I$89,3,0)*0.475*44/12</f>
        <v>1.7326898258854432E-12</v>
      </c>
      <c r="CN120" s="22">
        <f t="shared" si="66"/>
        <v>3.7977376620818926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108.5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-1.1368683772161603E-13</v>
      </c>
      <c r="CU120" s="17">
        <f>CT120*VLOOKUP('Données projet'!$B$13,Paramètres!$A$1:$I$89,3,0)*VLOOKUP('Données projet'!$B$13,Paramètres!$A$1:$I$89,5,0)</f>
        <v>-6.7984728957526396E-14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380.01315081072897</v>
      </c>
      <c r="CZ120" s="59">
        <f t="shared" si="96"/>
        <v>404.90871625409181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0.6245879039646578</v>
      </c>
      <c r="DG120" s="21">
        <f>EXP(-LN(2)/25)*DG119+(1-EXP(-LN(2)/25))/(LN(2)/25)*Calculateur!DB120*Calculateur!DD120*VLOOKUP('Données projet'!$B$13,Paramètres!$A$1:$I$89,3,0)*0.475*44/12</f>
        <v>1.9125125552215301</v>
      </c>
      <c r="DH120" s="21">
        <f>EXP(-LN(2)/2)*DH119+(1-EXP(-LN(2)/2))/(LN(2)/2)*DB120*DE120*VLOOKUP('Données projet'!$B$13,Paramètres!$A$1:$I$89,3,0)*0.475*44/12</f>
        <v>2.4360466620811126E-12</v>
      </c>
      <c r="DI120" s="22">
        <f t="shared" si="69"/>
        <v>2.5371004591886237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108.5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-5.6843418860808015E-14</v>
      </c>
      <c r="DP120" s="17">
        <f>DO120*VLOOKUP('Données projet'!$B$14,Paramètres!$A$1:$I$89,3,0)*VLOOKUP('Données projet'!$B$14,Paramètres!$A$1:$I$89,5,0)</f>
        <v>-5.1431925385259088E-14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320.81451813551064</v>
      </c>
      <c r="DU120" s="59">
        <f t="shared" si="98"/>
        <v>522.80818268773976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0.32771032494778046</v>
      </c>
      <c r="EB120" s="21">
        <f>EXP(-LN(2)/25)*EB119+(1-EXP(-LN(2)/25))/(LN(2)/25)*Calculateur!DW120*Calculateur!DY120*VLOOKUP('Données projet'!$B$14,Paramètres!$A$1:$I$89,3,0)*0.475*44/12</f>
        <v>0.9343974407255371</v>
      </c>
      <c r="EC120" s="21">
        <f>EXP(-LN(2)/2)*EC119+(1-EXP(-LN(2)/2))/(LN(2)/2)*DW120*DZ120*VLOOKUP('Données projet'!$B$14,Paramètres!$A$1:$I$89,3,0)*0.475*44/12</f>
        <v>4.8143876240053255E-13</v>
      </c>
      <c r="ED120" s="22">
        <f t="shared" si="72"/>
        <v>1.2621077656737989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108.5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228.3393311631487</v>
      </c>
      <c r="EP120" s="59">
        <f t="shared" si="100"/>
        <v>266.26050497804033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1.1091118803985835</v>
      </c>
      <c r="EW120" s="21">
        <f>EXP(-LN(2)/25)*EW119+(1-EXP(-LN(2)/25))/(LN(2)/25)*Calculateur!ER120*Calculateur!ET120*VLOOKUP('Données projet'!$B$15,Paramètres!$A$1:$I$89,3,0)*0.475*44/12</f>
        <v>1.1051208323660788</v>
      </c>
      <c r="EX120" s="21">
        <f>EXP(-LN(2)/2)*EX119+(1-EXP(-LN(2)/2))/(LN(2)/2)*ER120*EU120*VLOOKUP('Données projet'!$B$15,Paramètres!$A$1:$I$89,3,0)*0.475*44/12</f>
        <v>4.3777231507689468E-13</v>
      </c>
      <c r="EY120" s="22">
        <f t="shared" si="75"/>
        <v>2.2142327127651003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108.5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-1.7053025658242404E-13</v>
      </c>
      <c r="FF120" s="17">
        <f>FE120*VLOOKUP('Données projet'!$B$16,Paramètres!$A$1:$I$89,3,0)*VLOOKUP('Données projet'!$B$16,Paramètres!$A$1:$I$89,5,0)</f>
        <v>-9.7543306765146564E-14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242.10913976205194</v>
      </c>
      <c r="FK120" s="59">
        <f t="shared" si="102"/>
        <v>198.24795425321133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0.97127139449349098</v>
      </c>
      <c r="FS120" s="21">
        <f>EXP(-LN(2)/2)*FS119+(1-EXP(-LN(2)/2))/(LN(2)/2)*FM120*FP120*VLOOKUP('Données projet'!$B$16,Paramètres!$A$1:$I$89,3,0)*0.475*44/12</f>
        <v>1.0629547090224304E-12</v>
      </c>
      <c r="FT120" s="22">
        <f t="shared" si="78"/>
        <v>0.97127139449455391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108.5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108.5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57.709080000000064</v>
      </c>
      <c r="D121" s="11">
        <f t="shared" si="86"/>
        <v>16.587746761433507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315.4356504608233</v>
      </c>
      <c r="H121" s="67">
        <f t="shared" si="56"/>
        <v>527.23363994283011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108.5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5.6843418860808015E-14</v>
      </c>
      <c r="O121" s="13">
        <f>N121*VLOOKUP('Données projet'!$B$9,Paramètres!$A$1:$I$89,3,0)*VLOOKUP('Données projet'!$B$9,Paramètres!$A$1:$I$89,5,0)</f>
        <v>4.6111381379887463E-14</v>
      </c>
      <c r="P121" s="13">
        <f t="shared" si="87"/>
        <v>7.5804141040779151E-13</v>
      </c>
      <c r="Q121" s="20">
        <f t="shared" si="107"/>
        <v>1.4005661123635408E-12</v>
      </c>
      <c r="R121" s="59">
        <f t="shared" si="55"/>
        <v>434.50000000000142</v>
      </c>
      <c r="S121" s="59">
        <f ca="1">AVERAGE(OFFSET($R$3,0,0,'Données projet'!$E$9+1,1))-AVERAGE(OFFSET($H$3,0,0,'Données projet'!$E$9+1,1))</f>
        <v>273.89826011924487</v>
      </c>
      <c r="T121" s="59">
        <f t="shared" si="88"/>
        <v>332.17519939974227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0.74151341220734346</v>
      </c>
      <c r="AB121" s="21">
        <f>EXP(-LN(2)/2)*AB120+(1-EXP(-LN(2)/2))/(LN(2)/2)*V121*Y121*VLOOKUP('Données projet'!$B$9,Paramètres!$A$1:$I$89,3,0)*0.475*44/12</f>
        <v>6.2371835509264422E-13</v>
      </c>
      <c r="AC121" s="22">
        <f t="shared" si="57"/>
        <v>0.74151341220796718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108.5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-5.3205440053716299E-14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293.42903587188346</v>
      </c>
      <c r="AO121" s="59">
        <f t="shared" si="90"/>
        <v>267.80827667062124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0.54866109074266067</v>
      </c>
      <c r="AV121" s="21">
        <f>EXP(-LN(2)/25)*AV120+(1-EXP(-LN(2)/25))/(LN(2)/25)*Calculateur!AQ121*Calculateur!AS121*VLOOKUP('Données projet'!$B$10,Paramètres!$A$1:$I$89,3,0)*0.475*44/12</f>
        <v>0.68477244712333951</v>
      </c>
      <c r="AW121" s="21">
        <f>EXP(-LN(2)/2)*AW120+(1-EXP(-LN(2)/2))/(LN(2)/2)*AQ121*AT121*VLOOKUP('Données projet'!$B$10,Paramètres!$A$1:$I$89,3,0)*0.475*44/12</f>
        <v>5.5889452598285015E-13</v>
      </c>
      <c r="AX121" s="21">
        <f t="shared" si="60"/>
        <v>1.2334335378665591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108.5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3.7</v>
      </c>
      <c r="BD121" s="12">
        <f>IF('Données projet'!$A$88&gt;35,BD120+BC121-BL120,IF(A121&lt;'Données projet'!$A$88,$BA$205^A121,IF(A121='Données projet'!$A$88,'Données projet'!$B$88,BD120+BC121-BL120)))</f>
        <v>295.59999999999991</v>
      </c>
      <c r="BE121" s="13">
        <f>BD121*VLOOKUP('Données projet'!$B$11,Paramètres!$A$1:$I$89,3,0)*VLOOKUP('Données projet'!$B$11,Paramètres!$A$1:$I$89,5,0)</f>
        <v>267.45887999999991</v>
      </c>
      <c r="BF121" s="13">
        <f t="shared" si="91"/>
        <v>64.309683053152384</v>
      </c>
      <c r="BG121" s="20">
        <f t="shared" si="61"/>
        <v>577.83024731757359</v>
      </c>
      <c r="BH121" s="59">
        <f t="shared" si="62"/>
        <v>1012.3302473175736</v>
      </c>
      <c r="BI121" s="59">
        <f ca="1">AVERAGE(OFFSET($BH$3,0,0,'Données projet'!$E$11+1,1))-AVERAGE(OFFSET($H$3,0,0,'Données projet'!$E$11+1,1))</f>
        <v>324.41828402031939</v>
      </c>
      <c r="BJ121" s="59">
        <f t="shared" si="92"/>
        <v>233.01060088065992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0.27074922463476631</v>
      </c>
      <c r="BR121" s="21">
        <f>EXP(-LN(2)/2)*BR120+(1-EXP(-LN(2)/2))/(LN(2)/2)*BL121*BO121*VLOOKUP('Données projet'!$B$11,Paramètres!$A$1:$I$89,3,0)*0.475*44/12</f>
        <v>3.5182369256451848E-13</v>
      </c>
      <c r="BS121" s="22">
        <f t="shared" si="63"/>
        <v>0.27074922463511814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108.5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279.00060755204919</v>
      </c>
      <c r="CE121" s="59">
        <f t="shared" si="94"/>
        <v>333.91128554211014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1.2779271988777352</v>
      </c>
      <c r="CL121" s="21">
        <f>EXP(-LN(2)/25)*CL120+(1-EXP(-LN(2)/25))/(LN(2)/25)*Calculateur!CG121*Calculateur!CI121*VLOOKUP('Données projet'!$B$12,Paramètres!$A$1:$I$89,3,0)*0.475*44/12</f>
        <v>2.4260444688447351</v>
      </c>
      <c r="CM121" s="21">
        <f>EXP(-LN(2)/2)*CM120+(1-EXP(-LN(2)/2))/(LN(2)/2)*CG121*CJ121*VLOOKUP('Données projet'!$B$12,Paramètres!$A$1:$I$89,3,0)*0.475*44/12</f>
        <v>1.2251967255765352E-12</v>
      </c>
      <c r="CN121" s="22">
        <f t="shared" si="66"/>
        <v>3.7039716677236956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108.5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-1.1368683772161603E-13</v>
      </c>
      <c r="CU121" s="17">
        <f>CT121*VLOOKUP('Données projet'!$B$13,Paramètres!$A$1:$I$89,3,0)*VLOOKUP('Données projet'!$B$13,Paramètres!$A$1:$I$89,5,0)</f>
        <v>-6.7984728957526396E-14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380.01315081072897</v>
      </c>
      <c r="CZ121" s="59">
        <f t="shared" si="96"/>
        <v>404.90871625409181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0.61234011612891548</v>
      </c>
      <c r="DG121" s="21">
        <f>EXP(-LN(2)/25)*DG120+(1-EXP(-LN(2)/25))/(LN(2)/25)*Calculateur!DB121*Calculateur!DD121*VLOOKUP('Données projet'!$B$13,Paramètres!$A$1:$I$89,3,0)*0.475*44/12</f>
        <v>1.8602147988243332</v>
      </c>
      <c r="DH121" s="21">
        <f>EXP(-LN(2)/2)*DH120+(1-EXP(-LN(2)/2))/(LN(2)/2)*DB121*DE121*VLOOKUP('Données projet'!$B$13,Paramètres!$A$1:$I$89,3,0)*0.475*44/12</f>
        <v>1.7225451140444088E-12</v>
      </c>
      <c r="DI121" s="22">
        <f t="shared" si="69"/>
        <v>2.4725549149549715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108.5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-5.6843418860808015E-14</v>
      </c>
      <c r="DP121" s="17">
        <f>DO121*VLOOKUP('Données projet'!$B$14,Paramètres!$A$1:$I$89,3,0)*VLOOKUP('Données projet'!$B$14,Paramètres!$A$1:$I$89,5,0)</f>
        <v>-5.1431925385259088E-14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320.81451813551064</v>
      </c>
      <c r="DU121" s="59">
        <f t="shared" si="98"/>
        <v>522.80818268773976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0.32128412535911582</v>
      </c>
      <c r="EB121" s="21">
        <f>EXP(-LN(2)/25)*EB120+(1-EXP(-LN(2)/25))/(LN(2)/25)*Calculateur!DW121*Calculateur!DY121*VLOOKUP('Données projet'!$B$14,Paramètres!$A$1:$I$89,3,0)*0.475*44/12</f>
        <v>0.9088462935710715</v>
      </c>
      <c r="EC121" s="21">
        <f>EXP(-LN(2)/2)*EC120+(1-EXP(-LN(2)/2))/(LN(2)/2)*DW121*DZ121*VLOOKUP('Données projet'!$B$14,Paramètres!$A$1:$I$89,3,0)*0.475*44/12</f>
        <v>3.4042861361947562E-13</v>
      </c>
      <c r="ED121" s="22">
        <f t="shared" si="72"/>
        <v>1.2301304189305278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108.5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228.3393311631487</v>
      </c>
      <c r="EP121" s="59">
        <f t="shared" si="100"/>
        <v>266.26050497804033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1.0873628729154163</v>
      </c>
      <c r="EW121" s="21">
        <f>EXP(-LN(2)/25)*EW120+(1-EXP(-LN(2)/25))/(LN(2)/25)*Calculateur!ER121*Calculateur!ET121*VLOOKUP('Données projet'!$B$15,Paramètres!$A$1:$I$89,3,0)*0.475*44/12</f>
        <v>1.0749012450892497</v>
      </c>
      <c r="EX121" s="21">
        <f>EXP(-LN(2)/2)*EX120+(1-EXP(-LN(2)/2))/(LN(2)/2)*ER121*EU121*VLOOKUP('Données projet'!$B$15,Paramètres!$A$1:$I$89,3,0)*0.475*44/12</f>
        <v>3.095517726066061E-13</v>
      </c>
      <c r="EY121" s="22">
        <f t="shared" si="75"/>
        <v>2.1622641180049755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108.5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-1.7053025658242404E-13</v>
      </c>
      <c r="FF121" s="17">
        <f>FE121*VLOOKUP('Données projet'!$B$16,Paramètres!$A$1:$I$89,3,0)*VLOOKUP('Données projet'!$B$16,Paramètres!$A$1:$I$89,5,0)</f>
        <v>-9.7543306765146564E-14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242.10913976205194</v>
      </c>
      <c r="FK121" s="59">
        <f t="shared" si="102"/>
        <v>198.24795425321133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0.94471192713412366</v>
      </c>
      <c r="FS121" s="21">
        <f>EXP(-LN(2)/2)*FS120+(1-EXP(-LN(2)/2))/(LN(2)/2)*FM121*FP121*VLOOKUP('Données projet'!$B$16,Paramètres!$A$1:$I$89,3,0)*0.475*44/12</f>
        <v>7.5162248284393403E-13</v>
      </c>
      <c r="FT121" s="22">
        <f t="shared" si="78"/>
        <v>0.94471192713487528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108.5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108.5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58.198140000000066</v>
      </c>
      <c r="D122" s="11">
        <f t="shared" si="86"/>
        <v>16.711896987174498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318.03910440168858</v>
      </c>
      <c r="H122" s="67">
        <f t="shared" si="56"/>
        <v>528.30164775266235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108.5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5.6843418860808015E-14</v>
      </c>
      <c r="O122" s="13">
        <f>N122*VLOOKUP('Données projet'!$B$9,Paramètres!$A$1:$I$89,3,0)*VLOOKUP('Données projet'!$B$9,Paramètres!$A$1:$I$89,5,0)</f>
        <v>4.6111381379887463E-14</v>
      </c>
      <c r="P122" s="13">
        <f t="shared" si="87"/>
        <v>7.5804141040779151E-13</v>
      </c>
      <c r="Q122" s="20">
        <f t="shared" si="107"/>
        <v>1.4005661123635408E-12</v>
      </c>
      <c r="R122" s="59">
        <f t="shared" si="55"/>
        <v>434.50000000000142</v>
      </c>
      <c r="S122" s="59">
        <f ca="1">AVERAGE(OFFSET($R$3,0,0,'Données projet'!$E$9+1,1))-AVERAGE(OFFSET($H$3,0,0,'Données projet'!$E$9+1,1))</f>
        <v>273.89826011924487</v>
      </c>
      <c r="T122" s="59">
        <f t="shared" si="88"/>
        <v>332.17519939974227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0.7212366889560381</v>
      </c>
      <c r="AB122" s="21">
        <f>EXP(-LN(2)/2)*AB121+(1-EXP(-LN(2)/2))/(LN(2)/2)*V122*Y122*VLOOKUP('Données projet'!$B$9,Paramètres!$A$1:$I$89,3,0)*0.475*44/12</f>
        <v>4.4103547843652773E-13</v>
      </c>
      <c r="AC122" s="22">
        <f t="shared" si="57"/>
        <v>0.72123668895647908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108.5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-5.3205440053716299E-14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293.42903587188346</v>
      </c>
      <c r="AO122" s="59">
        <f t="shared" si="90"/>
        <v>267.80827667062124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0.5379021814034185</v>
      </c>
      <c r="AV122" s="21">
        <f>EXP(-LN(2)/25)*AV121+(1-EXP(-LN(2)/25))/(LN(2)/25)*Calculateur!AQ122*Calculateur!AS122*VLOOKUP('Données projet'!$B$10,Paramètres!$A$1:$I$89,3,0)*0.475*44/12</f>
        <v>0.66604730854613392</v>
      </c>
      <c r="AW122" s="21">
        <f>EXP(-LN(2)/2)*AW121+(1-EXP(-LN(2)/2))/(LN(2)/2)*AQ122*AT122*VLOOKUP('Données projet'!$B$10,Paramètres!$A$1:$I$89,3,0)*0.475*44/12</f>
        <v>3.9519810929051443E-13</v>
      </c>
      <c r="AX122" s="21">
        <f t="shared" si="60"/>
        <v>1.2039494899499477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108.5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3.7</v>
      </c>
      <c r="BD122" s="12">
        <f>IF('Données projet'!$A$88&gt;35,BD121+BC122-BL121,IF(A122&lt;'Données projet'!$A$88,$BA$205^A122,IF(A122='Données projet'!$A$88,'Données projet'!$B$88,BD121+BC122-BL121)))</f>
        <v>299.2999999999999</v>
      </c>
      <c r="BE122" s="13">
        <f>BD122*VLOOKUP('Données projet'!$B$11,Paramètres!$A$1:$I$89,3,0)*VLOOKUP('Données projet'!$B$11,Paramètres!$A$1:$I$89,5,0)</f>
        <v>270.8066399999999</v>
      </c>
      <c r="BF122" s="13">
        <f t="shared" si="91"/>
        <v>65.020428921429911</v>
      </c>
      <c r="BG122" s="20">
        <f t="shared" si="61"/>
        <v>584.89881170482352</v>
      </c>
      <c r="BH122" s="59">
        <f t="shared" si="62"/>
        <v>1019.3988117048235</v>
      </c>
      <c r="BI122" s="59">
        <f ca="1">AVERAGE(OFFSET($BH$3,0,0,'Données projet'!$E$11+1,1))-AVERAGE(OFFSET($H$3,0,0,'Données projet'!$E$11+1,1))</f>
        <v>324.41828402031939</v>
      </c>
      <c r="BJ122" s="59">
        <f t="shared" si="92"/>
        <v>233.01060088065992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0.26334557284904569</v>
      </c>
      <c r="BR122" s="21">
        <f>EXP(-LN(2)/2)*BR121+(1-EXP(-LN(2)/2))/(LN(2)/2)*BL122*BO122*VLOOKUP('Données projet'!$B$11,Paramètres!$A$1:$I$89,3,0)*0.475*44/12</f>
        <v>2.4877691879446213E-13</v>
      </c>
      <c r="BS122" s="22">
        <f t="shared" si="63"/>
        <v>0.2633455728492945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108.5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279.00060755204919</v>
      </c>
      <c r="CE122" s="59">
        <f t="shared" si="94"/>
        <v>333.91128554211014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1.252867825966369</v>
      </c>
      <c r="CL122" s="21">
        <f>EXP(-LN(2)/25)*CL121+(1-EXP(-LN(2)/25))/(LN(2)/25)*Calculateur!CG122*Calculateur!CI122*VLOOKUP('Données projet'!$B$12,Paramètres!$A$1:$I$89,3,0)*0.475*44/12</f>
        <v>2.3597041552640419</v>
      </c>
      <c r="CM122" s="21">
        <f>EXP(-LN(2)/2)*CM121+(1-EXP(-LN(2)/2))/(LN(2)/2)*CG122*CJ122*VLOOKUP('Données projet'!$B$12,Paramètres!$A$1:$I$89,3,0)*0.475*44/12</f>
        <v>8.6634491294272159E-13</v>
      </c>
      <c r="CN122" s="22">
        <f t="shared" si="66"/>
        <v>3.6125719812312771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108.5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-1.1368683772161603E-13</v>
      </c>
      <c r="CU122" s="17">
        <f>CT122*VLOOKUP('Données projet'!$B$13,Paramètres!$A$1:$I$89,3,0)*VLOOKUP('Données projet'!$B$13,Paramètres!$A$1:$I$89,5,0)</f>
        <v>-6.7984728957526396E-14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380.01315081072897</v>
      </c>
      <c r="CZ122" s="59">
        <f t="shared" si="96"/>
        <v>404.90871625409181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0.60033249994221916</v>
      </c>
      <c r="DG122" s="21">
        <f>EXP(-LN(2)/25)*DG121+(1-EXP(-LN(2)/25))/(LN(2)/25)*Calculateur!DB122*Calculateur!DD122*VLOOKUP('Données projet'!$B$13,Paramètres!$A$1:$I$89,3,0)*0.475*44/12</f>
        <v>1.8093471273260371</v>
      </c>
      <c r="DH122" s="21">
        <f>EXP(-LN(2)/2)*DH121+(1-EXP(-LN(2)/2))/(LN(2)/2)*DB122*DE122*VLOOKUP('Données projet'!$B$13,Paramètres!$A$1:$I$89,3,0)*0.475*44/12</f>
        <v>1.2180233310405563E-12</v>
      </c>
      <c r="DI122" s="22">
        <f t="shared" si="69"/>
        <v>2.4096796272694743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108.5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-5.6843418860808015E-14</v>
      </c>
      <c r="DP122" s="17">
        <f>DO122*VLOOKUP('Données projet'!$B$14,Paramètres!$A$1:$I$89,3,0)*VLOOKUP('Données projet'!$B$14,Paramètres!$A$1:$I$89,5,0)</f>
        <v>-5.1431925385259088E-14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320.81451813551064</v>
      </c>
      <c r="DU122" s="59">
        <f t="shared" si="98"/>
        <v>522.80818268773976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0.31498393962479021</v>
      </c>
      <c r="EB122" s="21">
        <f>EXP(-LN(2)/25)*EB121+(1-EXP(-LN(2)/25))/(LN(2)/25)*Calculateur!DW122*Calculateur!DY122*VLOOKUP('Données projet'!$B$14,Paramètres!$A$1:$I$89,3,0)*0.475*44/12</f>
        <v>0.8839938438792212</v>
      </c>
      <c r="EC122" s="21">
        <f>EXP(-LN(2)/2)*EC121+(1-EXP(-LN(2)/2))/(LN(2)/2)*DW122*DZ122*VLOOKUP('Données projet'!$B$14,Paramètres!$A$1:$I$89,3,0)*0.475*44/12</f>
        <v>2.4071938120026628E-13</v>
      </c>
      <c r="ED122" s="22">
        <f t="shared" si="72"/>
        <v>1.1989777835042521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108.5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228.3393311631487</v>
      </c>
      <c r="EP122" s="59">
        <f t="shared" si="100"/>
        <v>266.26050497804033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1.0660403502034095</v>
      </c>
      <c r="EW122" s="21">
        <f>EXP(-LN(2)/25)*EW121+(1-EXP(-LN(2)/25))/(LN(2)/25)*Calculateur!ER122*Calculateur!ET122*VLOOKUP('Données projet'!$B$15,Paramètres!$A$1:$I$89,3,0)*0.475*44/12</f>
        <v>1.0455080140156843</v>
      </c>
      <c r="EX122" s="21">
        <f>EXP(-LN(2)/2)*EX121+(1-EXP(-LN(2)/2))/(LN(2)/2)*ER122*EU122*VLOOKUP('Données projet'!$B$15,Paramètres!$A$1:$I$89,3,0)*0.475*44/12</f>
        <v>2.1888615753844734E-13</v>
      </c>
      <c r="EY122" s="22">
        <f t="shared" si="75"/>
        <v>2.1115483642193129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108.5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-1.7053025658242404E-13</v>
      </c>
      <c r="FF122" s="17">
        <f>FE122*VLOOKUP('Données projet'!$B$16,Paramètres!$A$1:$I$89,3,0)*VLOOKUP('Données projet'!$B$16,Paramètres!$A$1:$I$89,5,0)</f>
        <v>-9.7543306765146564E-14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242.10913976205194</v>
      </c>
      <c r="FK122" s="59">
        <f t="shared" si="102"/>
        <v>198.24795425321133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0.91887872980639995</v>
      </c>
      <c r="FS122" s="21">
        <f>EXP(-LN(2)/2)*FS121+(1-EXP(-LN(2)/2))/(LN(2)/2)*FM122*FP122*VLOOKUP('Données projet'!$B$16,Paramètres!$A$1:$I$89,3,0)*0.475*44/12</f>
        <v>5.3147735451121522E-13</v>
      </c>
      <c r="FT122" s="22">
        <f t="shared" si="78"/>
        <v>0.91887872980693142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108.5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108.5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58.687200000000068</v>
      </c>
      <c r="D123" s="11">
        <f t="shared" si="86"/>
        <v>16.835925833077567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320.64204301061034</v>
      </c>
      <c r="H123" s="67">
        <f t="shared" si="56"/>
        <v>529.3694441592769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108.5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5.6843418860808015E-14</v>
      </c>
      <c r="O123" s="13">
        <f>N123*VLOOKUP('Données projet'!$B$9,Paramètres!$A$1:$I$89,3,0)*VLOOKUP('Données projet'!$B$9,Paramètres!$A$1:$I$89,5,0)</f>
        <v>4.6111381379887463E-14</v>
      </c>
      <c r="P123" s="13">
        <f t="shared" si="87"/>
        <v>7.5804141040779151E-13</v>
      </c>
      <c r="Q123" s="20">
        <f t="shared" si="107"/>
        <v>1.4005661123635408E-12</v>
      </c>
      <c r="R123" s="59">
        <f t="shared" si="55"/>
        <v>434.50000000000142</v>
      </c>
      <c r="S123" s="59">
        <f ca="1">AVERAGE(OFFSET($R$3,0,0,'Données projet'!$E$9+1,1))-AVERAGE(OFFSET($H$3,0,0,'Données projet'!$E$9+1,1))</f>
        <v>273.89826011924487</v>
      </c>
      <c r="T123" s="59">
        <f t="shared" si="88"/>
        <v>332.17519939974227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0.70151443376834621</v>
      </c>
      <c r="AB123" s="21">
        <f>EXP(-LN(2)/2)*AB122+(1-EXP(-LN(2)/2))/(LN(2)/2)*V123*Y123*VLOOKUP('Données projet'!$B$9,Paramètres!$A$1:$I$89,3,0)*0.475*44/12</f>
        <v>3.1185917754632211E-13</v>
      </c>
      <c r="AC123" s="22">
        <f t="shared" si="57"/>
        <v>0.70151443376865807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108.5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-5.3205440053716299E-14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293.42903587188346</v>
      </c>
      <c r="AO123" s="59">
        <f t="shared" si="90"/>
        <v>267.80827667062124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0.52735424771403216</v>
      </c>
      <c r="AV123" s="21">
        <f>EXP(-LN(2)/25)*AV122+(1-EXP(-LN(2)/25))/(LN(2)/25)*Calculateur!AQ123*Calculateur!AS123*VLOOKUP('Données projet'!$B$10,Paramètres!$A$1:$I$89,3,0)*0.475*44/12</f>
        <v>0.64783420986803419</v>
      </c>
      <c r="AW123" s="21">
        <f>EXP(-LN(2)/2)*AW122+(1-EXP(-LN(2)/2))/(LN(2)/2)*AQ123*AT123*VLOOKUP('Données projet'!$B$10,Paramètres!$A$1:$I$89,3,0)*0.475*44/12</f>
        <v>2.7944726299142507E-13</v>
      </c>
      <c r="AX123" s="21">
        <f t="shared" si="60"/>
        <v>1.1751884575823459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108.5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303</v>
      </c>
      <c r="BB123" s="12">
        <f>VLOOKUP(A123,'Données projet'!$A$87:$I$107,9,0)</f>
        <v>3.7</v>
      </c>
      <c r="BC123" s="12">
        <f t="array" ref="BC123">INDEX(BB:BB,MIN(IF(ISNUMBER(BB123:BB319),ROW(BB123:BB319),"")))</f>
        <v>3.7</v>
      </c>
      <c r="BD123" s="12">
        <f>IF('Données projet'!$A$88&gt;35,BD122+BC123-BL122,IF(A123&lt;'Données projet'!$A$88,$BA$205^A123,IF(A123='Données projet'!$A$88,'Données projet'!$B$88,BD122+BC123-BL122)))</f>
        <v>302.99999999999989</v>
      </c>
      <c r="BE123" s="13">
        <f>BD123*VLOOKUP('Données projet'!$B$11,Paramètres!$A$1:$I$89,3,0)*VLOOKUP('Données projet'!$B$11,Paramètres!$A$1:$I$89,5,0)</f>
        <v>274.1543999999999</v>
      </c>
      <c r="BF123" s="13">
        <f t="shared" si="91"/>
        <v>65.730152764515779</v>
      </c>
      <c r="BG123" s="20">
        <f t="shared" si="61"/>
        <v>591.96559606486471</v>
      </c>
      <c r="BH123" s="59">
        <f t="shared" si="62"/>
        <v>1026.4655960648647</v>
      </c>
      <c r="BI123" s="59">
        <f ca="1">AVERAGE(OFFSET($BH$3,0,0,'Données projet'!$E$11+1,1))-AVERAGE(OFFSET($H$3,0,0,'Données projet'!$E$11+1,1))</f>
        <v>324.41828402031939</v>
      </c>
      <c r="BJ123" s="59">
        <f t="shared" si="92"/>
        <v>233.01060088065992</v>
      </c>
      <c r="BK123" s="15">
        <f>IF(ISNA(VLOOKUP(A123,'Données projet'!$A$87:$I$107,3,0)),0,VLOOKUP(A123,'Données projet'!$A$87:$I$107,3,0))</f>
        <v>10</v>
      </c>
      <c r="BL123" s="15">
        <f>IF(ISNA(VLOOKUP(A123,'Données projet'!$A$87:$I$107,4,0)),0,VLOOKUP(A123,'Données projet'!$A$87:$I$107,4,0))</f>
        <v>303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0.25614437431074677</v>
      </c>
      <c r="BR123" s="21">
        <f>EXP(-LN(2)/2)*BR122+(1-EXP(-LN(2)/2))/(LN(2)/2)*BL123*BO123*VLOOKUP('Données projet'!$B$11,Paramètres!$A$1:$I$89,3,0)*0.475*44/12</f>
        <v>1.7591184628225924E-13</v>
      </c>
      <c r="BS123" s="22">
        <f t="shared" si="63"/>
        <v>0.25614437431092268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108.5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279.00060755204919</v>
      </c>
      <c r="CE123" s="59">
        <f t="shared" si="94"/>
        <v>333.91128554211014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1.2282998520730866</v>
      </c>
      <c r="CL123" s="21">
        <f>EXP(-LN(2)/25)*CL122+(1-EXP(-LN(2)/25))/(LN(2)/25)*Calculateur!CG123*Calculateur!CI123*VLOOKUP('Données projet'!$B$12,Paramètres!$A$1:$I$89,3,0)*0.475*44/12</f>
        <v>2.2951779210468981</v>
      </c>
      <c r="CM123" s="21">
        <f>EXP(-LN(2)/2)*CM122+(1-EXP(-LN(2)/2))/(LN(2)/2)*CG123*CJ123*VLOOKUP('Données projet'!$B$12,Paramètres!$A$1:$I$89,3,0)*0.475*44/12</f>
        <v>6.125983627882676E-13</v>
      </c>
      <c r="CN123" s="22">
        <f t="shared" si="66"/>
        <v>3.5234777731205971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108.5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-1.1368683772161603E-13</v>
      </c>
      <c r="CU123" s="17">
        <f>CT123*VLOOKUP('Données projet'!$B$13,Paramètres!$A$1:$I$89,3,0)*VLOOKUP('Données projet'!$B$13,Paramètres!$A$1:$I$89,5,0)</f>
        <v>-6.7984728957526396E-14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380.01315081072897</v>
      </c>
      <c r="CZ123" s="59">
        <f t="shared" si="96"/>
        <v>404.90871625409181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0.58856034578502125</v>
      </c>
      <c r="DG123" s="21">
        <f>EXP(-LN(2)/25)*DG122+(1-EXP(-LN(2)/25))/(LN(2)/25)*Calculateur!DB123*Calculateur!DD123*VLOOKUP('Données projet'!$B$13,Paramètres!$A$1:$I$89,3,0)*0.475*44/12</f>
        <v>1.7598704349798764</v>
      </c>
      <c r="DH123" s="21">
        <f>EXP(-LN(2)/2)*DH122+(1-EXP(-LN(2)/2))/(LN(2)/2)*DB123*DE123*VLOOKUP('Données projet'!$B$13,Paramètres!$A$1:$I$89,3,0)*0.475*44/12</f>
        <v>8.6127255702220439E-13</v>
      </c>
      <c r="DI123" s="22">
        <f t="shared" si="69"/>
        <v>2.3484307807657587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108.5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-5.6843418860808015E-14</v>
      </c>
      <c r="DP123" s="17">
        <f>DO123*VLOOKUP('Données projet'!$B$14,Paramètres!$A$1:$I$89,3,0)*VLOOKUP('Données projet'!$B$14,Paramètres!$A$1:$I$89,5,0)</f>
        <v>-5.1431925385259088E-14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320.81451813551064</v>
      </c>
      <c r="DU123" s="59">
        <f t="shared" si="98"/>
        <v>522.80818268773976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0.30880729668998086</v>
      </c>
      <c r="EB123" s="21">
        <f>EXP(-LN(2)/25)*EB122+(1-EXP(-LN(2)/25))/(LN(2)/25)*Calculateur!DW123*Calculateur!DY123*VLOOKUP('Données projet'!$B$14,Paramètres!$A$1:$I$89,3,0)*0.475*44/12</f>
        <v>0.85982098573112808</v>
      </c>
      <c r="EC123" s="21">
        <f>EXP(-LN(2)/2)*EC122+(1-EXP(-LN(2)/2))/(LN(2)/2)*DW123*DZ123*VLOOKUP('Données projet'!$B$14,Paramètres!$A$1:$I$89,3,0)*0.475*44/12</f>
        <v>1.7021430680973781E-13</v>
      </c>
      <c r="ED123" s="22">
        <f t="shared" si="72"/>
        <v>1.1686282824212793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108.5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228.3393311631487</v>
      </c>
      <c r="EP123" s="59">
        <f t="shared" si="100"/>
        <v>266.26050497804033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1.0451359491563303</v>
      </c>
      <c r="EW123" s="21">
        <f>EXP(-LN(2)/25)*EW122+(1-EXP(-LN(2)/25))/(LN(2)/25)*Calculateur!ER123*Calculateur!ET123*VLOOKUP('Données projet'!$B$15,Paramètres!$A$1:$I$89,3,0)*0.475*44/12</f>
        <v>1.0169185423915486</v>
      </c>
      <c r="EX123" s="21">
        <f>EXP(-LN(2)/2)*EX122+(1-EXP(-LN(2)/2))/(LN(2)/2)*ER123*EU123*VLOOKUP('Données projet'!$B$15,Paramètres!$A$1:$I$89,3,0)*0.475*44/12</f>
        <v>1.5477588630330305E-13</v>
      </c>
      <c r="EY123" s="22">
        <f t="shared" si="75"/>
        <v>2.0620544915480337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108.5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-1.7053025658242404E-13</v>
      </c>
      <c r="FF123" s="17">
        <f>FE123*VLOOKUP('Données projet'!$B$16,Paramètres!$A$1:$I$89,3,0)*VLOOKUP('Données projet'!$B$16,Paramètres!$A$1:$I$89,5,0)</f>
        <v>-9.7543306765146564E-14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242.10913976205194</v>
      </c>
      <c r="FK123" s="59">
        <f t="shared" si="102"/>
        <v>198.24795425321133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0.89375194261811164</v>
      </c>
      <c r="FS123" s="21">
        <f>EXP(-LN(2)/2)*FS122+(1-EXP(-LN(2)/2))/(LN(2)/2)*FM123*FP123*VLOOKUP('Données projet'!$B$16,Paramètres!$A$1:$I$89,3,0)*0.475*44/12</f>
        <v>3.7581124142196701E-13</v>
      </c>
      <c r="FT123" s="22">
        <f t="shared" si="78"/>
        <v>0.89375194261848745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108.5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108.5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59.17626000000007</v>
      </c>
      <c r="D124" s="11">
        <f t="shared" si="86"/>
        <v>16.959834427858492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323.24447107968024</v>
      </c>
      <c r="H124" s="67">
        <f t="shared" si="56"/>
        <v>530.43703112852029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108.5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4.6111381379887463E-14</v>
      </c>
      <c r="P124" s="13">
        <f t="shared" si="87"/>
        <v>7.5804141040779151E-13</v>
      </c>
      <c r="Q124" s="20">
        <f t="shared" si="107"/>
        <v>1.4005661123635408E-12</v>
      </c>
      <c r="R124" s="59">
        <f t="shared" si="55"/>
        <v>434.50000000000142</v>
      </c>
      <c r="S124" s="59">
        <f ca="1">AVERAGE(OFFSET($R$3,0,0,'Données projet'!$E$9+1,1))-AVERAGE(OFFSET($H$3,0,0,'Données projet'!$E$9+1,1))</f>
        <v>273.89826011924487</v>
      </c>
      <c r="T124" s="59">
        <f t="shared" si="88"/>
        <v>332.17519939974227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0.68233148468591009</v>
      </c>
      <c r="AB124" s="21">
        <f>EXP(-LN(2)/2)*AB123+(1-EXP(-LN(2)/2))/(LN(2)/2)*V124*Y124*VLOOKUP('Données projet'!$B$9,Paramètres!$A$1:$I$89,3,0)*0.475*44/12</f>
        <v>2.2051773921826387E-13</v>
      </c>
      <c r="AC124" s="22">
        <f t="shared" si="57"/>
        <v>0.68233148468613058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108.5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-5.3205440053716299E-14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293.42903587188346</v>
      </c>
      <c r="AO124" s="59">
        <f t="shared" si="90"/>
        <v>267.80827667062124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0.51701315257069036</v>
      </c>
      <c r="AV124" s="21">
        <f>EXP(-LN(2)/25)*AV123+(1-EXP(-LN(2)/25))/(LN(2)/25)*Calculateur!AQ124*Calculateur!AS124*VLOOKUP('Données projet'!$B$10,Paramètres!$A$1:$I$89,3,0)*0.475*44/12</f>
        <v>0.63011914933107238</v>
      </c>
      <c r="AW124" s="21">
        <f>EXP(-LN(2)/2)*AW123+(1-EXP(-LN(2)/2))/(LN(2)/2)*AQ124*AT124*VLOOKUP('Données projet'!$B$10,Paramètres!$A$1:$I$89,3,0)*0.475*44/12</f>
        <v>1.9759905464525721E-13</v>
      </c>
      <c r="AX124" s="21">
        <f t="shared" si="60"/>
        <v>1.1471323019019604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108.5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-1.0286385077051818E-13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324.41828402031939</v>
      </c>
      <c r="BJ124" s="59">
        <f t="shared" si="92"/>
        <v>233.01060088065992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0.24914009292517217</v>
      </c>
      <c r="BR124" s="21">
        <f>EXP(-LN(2)/2)*BR123+(1-EXP(-LN(2)/2))/(LN(2)/2)*BL124*BO124*VLOOKUP('Données projet'!$B$11,Paramètres!$A$1:$I$89,3,0)*0.475*44/12</f>
        <v>1.2438845939723107E-13</v>
      </c>
      <c r="BS124" s="22">
        <f t="shared" si="63"/>
        <v>0.24914009292529657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108.5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279.00060755204919</v>
      </c>
      <c r="CE124" s="59">
        <f t="shared" si="94"/>
        <v>333.91128554211014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1.2042136411628668</v>
      </c>
      <c r="CL124" s="21">
        <f>EXP(-LN(2)/25)*CL123+(1-EXP(-LN(2)/25))/(LN(2)/25)*Calculateur!CG124*Calculateur!CI124*VLOOKUP('Données projet'!$B$12,Paramètres!$A$1:$I$89,3,0)*0.475*44/12</f>
        <v>2.2324161600977095</v>
      </c>
      <c r="CM124" s="21">
        <f>EXP(-LN(2)/2)*CM123+(1-EXP(-LN(2)/2))/(LN(2)/2)*CG124*CJ124*VLOOKUP('Données projet'!$B$12,Paramètres!$A$1:$I$89,3,0)*0.475*44/12</f>
        <v>4.331724564713608E-13</v>
      </c>
      <c r="CN124" s="22">
        <f t="shared" si="66"/>
        <v>3.436629801261009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108.5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-6.7984728957526396E-14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380.01315081072897</v>
      </c>
      <c r="CZ124" s="59">
        <f t="shared" si="96"/>
        <v>404.90871625409181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0.57701903639054097</v>
      </c>
      <c r="DG124" s="21">
        <f>EXP(-LN(2)/25)*DG123+(1-EXP(-LN(2)/25))/(LN(2)/25)*Calculateur!DB124*Calculateur!DD124*VLOOKUP('Données projet'!$B$13,Paramètres!$A$1:$I$89,3,0)*0.475*44/12</f>
        <v>1.7117466853877876</v>
      </c>
      <c r="DH124" s="21">
        <f>EXP(-LN(2)/2)*DH123+(1-EXP(-LN(2)/2))/(LN(2)/2)*DB124*DE124*VLOOKUP('Données projet'!$B$13,Paramètres!$A$1:$I$89,3,0)*0.475*44/12</f>
        <v>6.0901166552027815E-13</v>
      </c>
      <c r="DI124" s="22">
        <f t="shared" si="69"/>
        <v>2.2887657217789372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108.5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-5.6843418860808015E-14</v>
      </c>
      <c r="DP124" s="17">
        <f>DO124*VLOOKUP('Données projet'!$B$14,Paramètres!$A$1:$I$89,3,0)*VLOOKUP('Données projet'!$B$14,Paramètres!$A$1:$I$89,5,0)</f>
        <v>-5.1431925385259088E-14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320.81451813551064</v>
      </c>
      <c r="DU124" s="59">
        <f t="shared" si="98"/>
        <v>522.80818268773976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0.30275177395574293</v>
      </c>
      <c r="EB124" s="21">
        <f>EXP(-LN(2)/25)*EB123+(1-EXP(-LN(2)/25))/(LN(2)/25)*Calculateur!DW124*Calculateur!DY124*VLOOKUP('Données projet'!$B$14,Paramètres!$A$1:$I$89,3,0)*0.475*44/12</f>
        <v>0.83630913566028986</v>
      </c>
      <c r="EC124" s="21">
        <f>EXP(-LN(2)/2)*EC123+(1-EXP(-LN(2)/2))/(LN(2)/2)*DW124*DZ124*VLOOKUP('Données projet'!$B$14,Paramètres!$A$1:$I$89,3,0)*0.475*44/12</f>
        <v>1.2035969060013314E-13</v>
      </c>
      <c r="ED124" s="22">
        <f t="shared" si="72"/>
        <v>1.1390609096161532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108.5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228.3393311631487</v>
      </c>
      <c r="EP124" s="59">
        <f t="shared" si="100"/>
        <v>266.26050497804033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1.0246414706633589</v>
      </c>
      <c r="EW124" s="21">
        <f>EXP(-LN(2)/25)*EW123+(1-EXP(-LN(2)/25))/(LN(2)/25)*Calculateur!ER124*Calculateur!ET124*VLOOKUP('Données projet'!$B$15,Paramètres!$A$1:$I$89,3,0)*0.475*44/12</f>
        <v>0.98911085137242971</v>
      </c>
      <c r="EX124" s="21">
        <f>EXP(-LN(2)/2)*EX123+(1-EXP(-LN(2)/2))/(LN(2)/2)*ER124*EU124*VLOOKUP('Données projet'!$B$15,Paramètres!$A$1:$I$89,3,0)*0.475*44/12</f>
        <v>1.0944307876922367E-13</v>
      </c>
      <c r="EY124" s="22">
        <f t="shared" si="75"/>
        <v>2.0137523220358977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108.5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-1.7053025658242404E-13</v>
      </c>
      <c r="FF124" s="17">
        <f>FE124*VLOOKUP('Données projet'!$B$16,Paramètres!$A$1:$I$89,3,0)*VLOOKUP('Données projet'!$B$16,Paramètres!$A$1:$I$89,5,0)</f>
        <v>-9.7543306765146564E-14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242.10913976205194</v>
      </c>
      <c r="FK124" s="59">
        <f t="shared" si="102"/>
        <v>198.24795425321133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0.86931224874684743</v>
      </c>
      <c r="FS124" s="21">
        <f>EXP(-LN(2)/2)*FS123+(1-EXP(-LN(2)/2))/(LN(2)/2)*FM124*FP124*VLOOKUP('Données projet'!$B$16,Paramètres!$A$1:$I$89,3,0)*0.475*44/12</f>
        <v>2.6573867725560761E-13</v>
      </c>
      <c r="FT124" s="22">
        <f t="shared" si="78"/>
        <v>0.86931224874711321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108.5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108.5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59.665320000000072</v>
      </c>
      <c r="D125" s="11">
        <f t="shared" si="86"/>
        <v>17.083623880499665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325.84639331720945</v>
      </c>
      <c r="H125" s="67">
        <f t="shared" si="56"/>
        <v>531.5044105918704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108.5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4.6111381379887463E-14</v>
      </c>
      <c r="P125" s="13">
        <f t="shared" si="87"/>
        <v>7.5804141040779151E-13</v>
      </c>
      <c r="Q125" s="20">
        <f t="shared" si="107"/>
        <v>1.4005661123635408E-12</v>
      </c>
      <c r="R125" s="59">
        <f t="shared" si="55"/>
        <v>434.50000000000142</v>
      </c>
      <c r="S125" s="59">
        <f ca="1">AVERAGE(OFFSET($R$3,0,0,'Données projet'!$E$9+1,1))-AVERAGE(OFFSET($H$3,0,0,'Données projet'!$E$9+1,1))</f>
        <v>273.89826011924487</v>
      </c>
      <c r="T125" s="59">
        <f t="shared" si="88"/>
        <v>332.17519939974227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0.66367309435492061</v>
      </c>
      <c r="AB125" s="21">
        <f>EXP(-LN(2)/2)*AB124+(1-EXP(-LN(2)/2))/(LN(2)/2)*V125*Y125*VLOOKUP('Données projet'!$B$9,Paramètres!$A$1:$I$89,3,0)*0.475*44/12</f>
        <v>1.5592958877316106E-13</v>
      </c>
      <c r="AC125" s="22">
        <f t="shared" si="57"/>
        <v>0.66367309435507649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108.5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-5.3205440053716299E-14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293.42903587188346</v>
      </c>
      <c r="AO125" s="59">
        <f t="shared" si="90"/>
        <v>267.80827667062124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0.50687483999566429</v>
      </c>
      <c r="AV125" s="21">
        <f>EXP(-LN(2)/25)*AV124+(1-EXP(-LN(2)/25))/(LN(2)/25)*Calculateur!AQ125*Calculateur!AS125*VLOOKUP('Données projet'!$B$10,Paramètres!$A$1:$I$89,3,0)*0.475*44/12</f>
        <v>0.6128885080560883</v>
      </c>
      <c r="AW125" s="21">
        <f>EXP(-LN(2)/2)*AW124+(1-EXP(-LN(2)/2))/(LN(2)/2)*AQ125*AT125*VLOOKUP('Données projet'!$B$10,Paramètres!$A$1:$I$89,3,0)*0.475*44/12</f>
        <v>1.3972363149571254E-13</v>
      </c>
      <c r="AX125" s="21">
        <f t="shared" si="60"/>
        <v>1.1197633480518923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108.5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-1.0286385077051818E-13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324.41828402031939</v>
      </c>
      <c r="BJ125" s="59">
        <f t="shared" si="92"/>
        <v>233.01060088065992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0.24232734398242525</v>
      </c>
      <c r="BR125" s="21">
        <f>EXP(-LN(2)/2)*BR124+(1-EXP(-LN(2)/2))/(LN(2)/2)*BL125*BO125*VLOOKUP('Données projet'!$B$11,Paramètres!$A$1:$I$89,3,0)*0.475*44/12</f>
        <v>8.7955923141129621E-14</v>
      </c>
      <c r="BS125" s="22">
        <f t="shared" si="63"/>
        <v>0.24232734398251321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108.5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279.00060755204919</v>
      </c>
      <c r="CE125" s="59">
        <f t="shared" si="94"/>
        <v>333.91128554211014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1.1805997461574584</v>
      </c>
      <c r="CL125" s="21">
        <f>EXP(-LN(2)/25)*CL124+(1-EXP(-LN(2)/25))/(LN(2)/25)*Calculateur!CG125*Calculateur!CI125*VLOOKUP('Données projet'!$B$12,Paramètres!$A$1:$I$89,3,0)*0.475*44/12</f>
        <v>2.1713706228021739</v>
      </c>
      <c r="CM125" s="21">
        <f>EXP(-LN(2)/2)*CM124+(1-EXP(-LN(2)/2))/(LN(2)/2)*CG125*CJ125*VLOOKUP('Données projet'!$B$12,Paramètres!$A$1:$I$89,3,0)*0.475*44/12</f>
        <v>3.062991813941338E-13</v>
      </c>
      <c r="CN125" s="22">
        <f t="shared" si="66"/>
        <v>3.3519703689599387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108.5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-6.7984728957526396E-14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380.01315081072897</v>
      </c>
      <c r="CZ125" s="59">
        <f t="shared" si="96"/>
        <v>404.90871625409181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0.5657040450337828</v>
      </c>
      <c r="DG125" s="21">
        <f>EXP(-LN(2)/25)*DG124+(1-EXP(-LN(2)/25))/(LN(2)/25)*Calculateur!DB125*Calculateur!DD125*VLOOKUP('Données projet'!$B$13,Paramètres!$A$1:$I$89,3,0)*0.475*44/12</f>
        <v>1.6649388822590125</v>
      </c>
      <c r="DH125" s="21">
        <f>EXP(-LN(2)/2)*DH124+(1-EXP(-LN(2)/2))/(LN(2)/2)*DB125*DE125*VLOOKUP('Données projet'!$B$13,Paramètres!$A$1:$I$89,3,0)*0.475*44/12</f>
        <v>4.3063627851110219E-13</v>
      </c>
      <c r="DI125" s="22">
        <f t="shared" si="69"/>
        <v>2.2306429272932262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108.5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-5.6843418860808015E-14</v>
      </c>
      <c r="DP125" s="17">
        <f>DO125*VLOOKUP('Données projet'!$B$14,Paramètres!$A$1:$I$89,3,0)*VLOOKUP('Données projet'!$B$14,Paramètres!$A$1:$I$89,5,0)</f>
        <v>-5.1431925385259088E-14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320.81451813551064</v>
      </c>
      <c r="DU125" s="59">
        <f t="shared" si="98"/>
        <v>522.80818268773976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0.29681499632881925</v>
      </c>
      <c r="EB125" s="21">
        <f>EXP(-LN(2)/25)*EB124+(1-EXP(-LN(2)/25))/(LN(2)/25)*Calculateur!DW125*Calculateur!DY125*VLOOKUP('Données projet'!$B$14,Paramètres!$A$1:$I$89,3,0)*0.475*44/12</f>
        <v>0.81344021836607316</v>
      </c>
      <c r="EC125" s="21">
        <f>EXP(-LN(2)/2)*EC124+(1-EXP(-LN(2)/2))/(LN(2)/2)*DW125*DZ125*VLOOKUP('Données projet'!$B$14,Paramètres!$A$1:$I$89,3,0)*0.475*44/12</f>
        <v>8.5107153404868904E-14</v>
      </c>
      <c r="ED125" s="22">
        <f t="shared" si="72"/>
        <v>1.1102552146949776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108.5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228.3393311631487</v>
      </c>
      <c r="EP125" s="59">
        <f t="shared" si="100"/>
        <v>266.26050497804033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1.0045488763932369</v>
      </c>
      <c r="EW125" s="21">
        <f>EXP(-LN(2)/25)*EW124+(1-EXP(-LN(2)/25))/(LN(2)/25)*Calculateur!ER125*Calculateur!ET125*VLOOKUP('Données projet'!$B$15,Paramètres!$A$1:$I$89,3,0)*0.475*44/12</f>
        <v>0.9620635631265716</v>
      </c>
      <c r="EX125" s="21">
        <f>EXP(-LN(2)/2)*EX124+(1-EXP(-LN(2)/2))/(LN(2)/2)*ER125*EU125*VLOOKUP('Données projet'!$B$15,Paramètres!$A$1:$I$89,3,0)*0.475*44/12</f>
        <v>7.7387943151651526E-14</v>
      </c>
      <c r="EY125" s="22">
        <f t="shared" si="75"/>
        <v>1.9666124395198861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108.5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-1.7053025658242404E-13</v>
      </c>
      <c r="FF125" s="17">
        <f>FE125*VLOOKUP('Données projet'!$B$16,Paramètres!$A$1:$I$89,3,0)*VLOOKUP('Données projet'!$B$16,Paramètres!$A$1:$I$89,5,0)</f>
        <v>-9.7543306765146564E-14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242.10913976205194</v>
      </c>
      <c r="FK125" s="59">
        <f t="shared" si="102"/>
        <v>198.24795425321133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0.84554085958972058</v>
      </c>
      <c r="FS125" s="21">
        <f>EXP(-LN(2)/2)*FS124+(1-EXP(-LN(2)/2))/(LN(2)/2)*FM125*FP125*VLOOKUP('Données projet'!$B$16,Paramètres!$A$1:$I$89,3,0)*0.475*44/12</f>
        <v>1.8790562071098351E-13</v>
      </c>
      <c r="FT125" s="22">
        <f t="shared" si="78"/>
        <v>0.84554085958990854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108.5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108.5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60.154380000000074</v>
      </c>
      <c r="D126" s="11">
        <f t="shared" si="86"/>
        <v>17.2072952807539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328.44781434986777</v>
      </c>
      <c r="H126" s="67">
        <f t="shared" si="56"/>
        <v>532.57158444731317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108.5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4.6111381379887463E-14</v>
      </c>
      <c r="P126" s="13">
        <f t="shared" si="87"/>
        <v>7.5804141040779151E-13</v>
      </c>
      <c r="Q126" s="20">
        <f t="shared" si="107"/>
        <v>1.4005661123635408E-12</v>
      </c>
      <c r="R126" s="59">
        <f t="shared" si="55"/>
        <v>434.50000000000142</v>
      </c>
      <c r="S126" s="59">
        <f ca="1">AVERAGE(OFFSET($R$3,0,0,'Données projet'!$E$9+1,1))-AVERAGE(OFFSET($H$3,0,0,'Données projet'!$E$9+1,1))</f>
        <v>273.89826011924487</v>
      </c>
      <c r="T126" s="59">
        <f t="shared" si="88"/>
        <v>332.17519939974227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0.64552491868873407</v>
      </c>
      <c r="AB126" s="21">
        <f>EXP(-LN(2)/2)*AB125+(1-EXP(-LN(2)/2))/(LN(2)/2)*V126*Y126*VLOOKUP('Données projet'!$B$9,Paramètres!$A$1:$I$89,3,0)*0.475*44/12</f>
        <v>1.1025886960913193E-13</v>
      </c>
      <c r="AC126" s="22">
        <f t="shared" si="57"/>
        <v>0.64552491868884432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108.5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-5.3205440053716299E-14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293.42903587188346</v>
      </c>
      <c r="AO126" s="59">
        <f t="shared" si="90"/>
        <v>267.80827667062124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0.4969353335464744</v>
      </c>
      <c r="AV126" s="21">
        <f>EXP(-LN(2)/25)*AV125+(1-EXP(-LN(2)/25))/(LN(2)/25)*Calculateur!AQ126*Calculateur!AS126*VLOOKUP('Données projet'!$B$10,Paramètres!$A$1:$I$89,3,0)*0.475*44/12</f>
        <v>0.59612903957288865</v>
      </c>
      <c r="AW126" s="21">
        <f>EXP(-LN(2)/2)*AW125+(1-EXP(-LN(2)/2))/(LN(2)/2)*AQ126*AT126*VLOOKUP('Données projet'!$B$10,Paramètres!$A$1:$I$89,3,0)*0.475*44/12</f>
        <v>9.8799527322628607E-14</v>
      </c>
      <c r="AX126" s="21">
        <f t="shared" si="60"/>
        <v>1.0930643731194618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108.5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-1.0286385077051818E-13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324.41828402031939</v>
      </c>
      <c r="BJ126" s="59">
        <f t="shared" si="92"/>
        <v>233.01060088065992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0.23570089001778466</v>
      </c>
      <c r="BR126" s="21">
        <f>EXP(-LN(2)/2)*BR125+(1-EXP(-LN(2)/2))/(LN(2)/2)*BL126*BO126*VLOOKUP('Données projet'!$B$11,Paramètres!$A$1:$I$89,3,0)*0.475*44/12</f>
        <v>6.2194229698615533E-14</v>
      </c>
      <c r="BS126" s="22">
        <f t="shared" si="63"/>
        <v>0.23570089001784686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108.5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279.00060755204919</v>
      </c>
      <c r="CE126" s="59">
        <f t="shared" si="94"/>
        <v>333.91128554211014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1.1574489052300523</v>
      </c>
      <c r="CL126" s="21">
        <f>EXP(-LN(2)/25)*CL125+(1-EXP(-LN(2)/25))/(LN(2)/25)*Calculateur!CG126*Calculateur!CI126*VLOOKUP('Données projet'!$B$12,Paramètres!$A$1:$I$89,3,0)*0.475*44/12</f>
        <v>2.1119943789342299</v>
      </c>
      <c r="CM126" s="21">
        <f>EXP(-LN(2)/2)*CM125+(1-EXP(-LN(2)/2))/(LN(2)/2)*CG126*CJ126*VLOOKUP('Données projet'!$B$12,Paramètres!$A$1:$I$89,3,0)*0.475*44/12</f>
        <v>2.165862282356804E-13</v>
      </c>
      <c r="CN126" s="22">
        <f t="shared" si="66"/>
        <v>3.2694432841644989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108.5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-6.7984728957526396E-14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380.01315081072897</v>
      </c>
      <c r="CZ126" s="59">
        <f t="shared" si="96"/>
        <v>404.90871625409181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0.5546109337560674</v>
      </c>
      <c r="DG126" s="21">
        <f>EXP(-LN(2)/25)*DG125+(1-EXP(-LN(2)/25))/(LN(2)/25)*Calculateur!DB126*Calculateur!DD126*VLOOKUP('Données projet'!$B$13,Paramètres!$A$1:$I$89,3,0)*0.475*44/12</f>
        <v>1.6194110409683093</v>
      </c>
      <c r="DH126" s="21">
        <f>EXP(-LN(2)/2)*DH125+(1-EXP(-LN(2)/2))/(LN(2)/2)*DB126*DE126*VLOOKUP('Données projet'!$B$13,Paramètres!$A$1:$I$89,3,0)*0.475*44/12</f>
        <v>3.0450583276013907E-13</v>
      </c>
      <c r="DI126" s="22">
        <f t="shared" si="69"/>
        <v>2.1740219747246812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108.5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-5.6843418860808015E-14</v>
      </c>
      <c r="DP126" s="17">
        <f>DO126*VLOOKUP('Données projet'!$B$14,Paramètres!$A$1:$I$89,3,0)*VLOOKUP('Données projet'!$B$14,Paramètres!$A$1:$I$89,5,0)</f>
        <v>-5.1431925385259088E-14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320.81451813551064</v>
      </c>
      <c r="DU126" s="59">
        <f t="shared" si="98"/>
        <v>522.80818268773976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0.29099463529008274</v>
      </c>
      <c r="EB126" s="21">
        <f>EXP(-LN(2)/25)*EB125+(1-EXP(-LN(2)/25))/(LN(2)/25)*Calculateur!DW126*Calculateur!DY126*VLOOKUP('Données projet'!$B$14,Paramètres!$A$1:$I$89,3,0)*0.475*44/12</f>
        <v>0.79119665281789098</v>
      </c>
      <c r="EC126" s="21">
        <f>EXP(-LN(2)/2)*EC125+(1-EXP(-LN(2)/2))/(LN(2)/2)*DW126*DZ126*VLOOKUP('Données projet'!$B$14,Paramètres!$A$1:$I$89,3,0)*0.475*44/12</f>
        <v>6.0179845300066569E-14</v>
      </c>
      <c r="ED126" s="22">
        <f t="shared" si="72"/>
        <v>1.082191288108034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108.5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228.3393311631487</v>
      </c>
      <c r="EP126" s="59">
        <f t="shared" si="100"/>
        <v>266.26050497804033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0.98485028564147958</v>
      </c>
      <c r="EW126" s="21">
        <f>EXP(-LN(2)/25)*EW125+(1-EXP(-LN(2)/25))/(LN(2)/25)*Calculateur!ER126*Calculateur!ET126*VLOOKUP('Données projet'!$B$15,Paramètres!$A$1:$I$89,3,0)*0.475*44/12</f>
        <v>0.93575588440015156</v>
      </c>
      <c r="EX126" s="21">
        <f>EXP(-LN(2)/2)*EX125+(1-EXP(-LN(2)/2))/(LN(2)/2)*ER126*EU126*VLOOKUP('Données projet'!$B$15,Paramètres!$A$1:$I$89,3,0)*0.475*44/12</f>
        <v>5.4721539384611835E-14</v>
      </c>
      <c r="EY126" s="22">
        <f t="shared" si="75"/>
        <v>1.9206061700416859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108.5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-1.7053025658242404E-13</v>
      </c>
      <c r="FF126" s="17">
        <f>FE126*VLOOKUP('Données projet'!$B$16,Paramètres!$A$1:$I$89,3,0)*VLOOKUP('Données projet'!$B$16,Paramètres!$A$1:$I$89,5,0)</f>
        <v>-9.7543306765146564E-14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242.10913976205194</v>
      </c>
      <c r="FK126" s="59">
        <f t="shared" si="102"/>
        <v>198.24795425321133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0.82241950031917843</v>
      </c>
      <c r="FS126" s="21">
        <f>EXP(-LN(2)/2)*FS125+(1-EXP(-LN(2)/2))/(LN(2)/2)*FM126*FP126*VLOOKUP('Données projet'!$B$16,Paramètres!$A$1:$I$89,3,0)*0.475*44/12</f>
        <v>1.3286933862780381E-13</v>
      </c>
      <c r="FT126" s="22">
        <f t="shared" si="78"/>
        <v>0.82241950031931133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108.5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108.5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60.643440000000076</v>
      </c>
      <c r="D127" s="11">
        <f t="shared" si="86"/>
        <v>17.330849699631383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331.0487387247511</v>
      </c>
      <c r="H127" s="67">
        <f t="shared" si="56"/>
        <v>533.63855456019144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108.5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4.6111381379887463E-14</v>
      </c>
      <c r="P127" s="13">
        <f t="shared" si="87"/>
        <v>7.5804141040779151E-13</v>
      </c>
      <c r="Q127" s="20">
        <f t="shared" si="107"/>
        <v>1.4005661123635408E-12</v>
      </c>
      <c r="R127" s="59">
        <f t="shared" si="55"/>
        <v>434.50000000000142</v>
      </c>
      <c r="S127" s="59">
        <f ca="1">AVERAGE(OFFSET($R$3,0,0,'Données projet'!$E$9+1,1))-AVERAGE(OFFSET($H$3,0,0,'Données projet'!$E$9+1,1))</f>
        <v>273.89826011924487</v>
      </c>
      <c r="T127" s="59">
        <f t="shared" si="88"/>
        <v>332.17519939974227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0.62787300584051053</v>
      </c>
      <c r="AB127" s="21">
        <f>EXP(-LN(2)/2)*AB126+(1-EXP(-LN(2)/2))/(LN(2)/2)*V127*Y127*VLOOKUP('Données projet'!$B$9,Paramètres!$A$1:$I$89,3,0)*0.475*44/12</f>
        <v>7.7964794386580528E-14</v>
      </c>
      <c r="AC127" s="22">
        <f t="shared" si="57"/>
        <v>0.62787300584058847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108.5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-5.3205440053716299E-14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293.42903587188346</v>
      </c>
      <c r="AO127" s="59">
        <f t="shared" si="90"/>
        <v>267.80827667062124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0.4871907347562528</v>
      </c>
      <c r="AV127" s="21">
        <f>EXP(-LN(2)/25)*AV126+(1-EXP(-LN(2)/25))/(LN(2)/25)*Calculateur!AQ127*Calculateur!AS127*VLOOKUP('Données projet'!$B$10,Paramètres!$A$1:$I$89,3,0)*0.475*44/12</f>
        <v>0.57982785963670425</v>
      </c>
      <c r="AW127" s="21">
        <f>EXP(-LN(2)/2)*AW126+(1-EXP(-LN(2)/2))/(LN(2)/2)*AQ127*AT127*VLOOKUP('Données projet'!$B$10,Paramètres!$A$1:$I$89,3,0)*0.475*44/12</f>
        <v>6.9861815747856269E-14</v>
      </c>
      <c r="AX127" s="21">
        <f t="shared" si="60"/>
        <v>1.067018594393027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108.5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-1.0286385077051818E-13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324.41828402031939</v>
      </c>
      <c r="BJ127" s="59">
        <f t="shared" si="92"/>
        <v>233.01060088065992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0.22925563678527724</v>
      </c>
      <c r="BR127" s="21">
        <f>EXP(-LN(2)/2)*BR126+(1-EXP(-LN(2)/2))/(LN(2)/2)*BL127*BO127*VLOOKUP('Données projet'!$B$11,Paramètres!$A$1:$I$89,3,0)*0.475*44/12</f>
        <v>4.397796157056481E-14</v>
      </c>
      <c r="BS127" s="22">
        <f t="shared" si="63"/>
        <v>0.22925563678532121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108.5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279.00060755204919</v>
      </c>
      <c r="CE127" s="59">
        <f t="shared" si="94"/>
        <v>333.91128554211014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1.1347520381726139</v>
      </c>
      <c r="CL127" s="21">
        <f>EXP(-LN(2)/25)*CL126+(1-EXP(-LN(2)/25))/(LN(2)/25)*Calculateur!CG127*Calculateur!CI127*VLOOKUP('Données projet'!$B$12,Paramètres!$A$1:$I$89,3,0)*0.475*44/12</f>
        <v>2.054241781577316</v>
      </c>
      <c r="CM127" s="21">
        <f>EXP(-LN(2)/2)*CM126+(1-EXP(-LN(2)/2))/(LN(2)/2)*CG127*CJ127*VLOOKUP('Données projet'!$B$12,Paramètres!$A$1:$I$89,3,0)*0.475*44/12</f>
        <v>1.531495906970669E-13</v>
      </c>
      <c r="CN127" s="22">
        <f t="shared" si="66"/>
        <v>3.1889938197500833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108.5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-6.7984728957526396E-14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380.01315081072897</v>
      </c>
      <c r="CZ127" s="59">
        <f t="shared" si="96"/>
        <v>404.90871625409181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0.54373535162437825</v>
      </c>
      <c r="DG127" s="21">
        <f>EXP(-LN(2)/25)*DG126+(1-EXP(-LN(2)/25))/(LN(2)/25)*Calculateur!DB127*Calculateur!DD127*VLOOKUP('Données projet'!$B$13,Paramètres!$A$1:$I$89,3,0)*0.475*44/12</f>
        <v>1.5751281608919054</v>
      </c>
      <c r="DH127" s="21">
        <f>EXP(-LN(2)/2)*DH126+(1-EXP(-LN(2)/2))/(LN(2)/2)*DB127*DE127*VLOOKUP('Données projet'!$B$13,Paramètres!$A$1:$I$89,3,0)*0.475*44/12</f>
        <v>2.153181392555511E-13</v>
      </c>
      <c r="DI127" s="22">
        <f t="shared" si="69"/>
        <v>2.1188635125164992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108.5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-5.6843418860808015E-14</v>
      </c>
      <c r="DP127" s="17">
        <f>DO127*VLOOKUP('Données projet'!$B$14,Paramètres!$A$1:$I$89,3,0)*VLOOKUP('Données projet'!$B$14,Paramètres!$A$1:$I$89,5,0)</f>
        <v>-5.1431925385259088E-14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320.81451813551064</v>
      </c>
      <c r="DU127" s="59">
        <f t="shared" si="98"/>
        <v>522.80818268773976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0.28528840798124616</v>
      </c>
      <c r="EB127" s="21">
        <f>EXP(-LN(2)/25)*EB126+(1-EXP(-LN(2)/25))/(LN(2)/25)*Calculateur!DW127*Calculateur!DY127*VLOOKUP('Données projet'!$B$14,Paramètres!$A$1:$I$89,3,0)*0.475*44/12</f>
        <v>0.76956133873936206</v>
      </c>
      <c r="EC127" s="21">
        <f>EXP(-LN(2)/2)*EC126+(1-EXP(-LN(2)/2))/(LN(2)/2)*DW127*DZ127*VLOOKUP('Données projet'!$B$14,Paramètres!$A$1:$I$89,3,0)*0.475*44/12</f>
        <v>4.2553576702434452E-14</v>
      </c>
      <c r="ED127" s="22">
        <f t="shared" si="72"/>
        <v>1.0548497467206508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108.5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228.3393311631487</v>
      </c>
      <c r="EP127" s="59">
        <f t="shared" si="100"/>
        <v>266.26050497804033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0.96553797223941029</v>
      </c>
      <c r="EW127" s="21">
        <f>EXP(-LN(2)/25)*EW126+(1-EXP(-LN(2)/25))/(LN(2)/25)*Calculateur!ER127*Calculateur!ET127*VLOOKUP('Données projet'!$B$15,Paramètres!$A$1:$I$89,3,0)*0.475*44/12</f>
        <v>0.91016759053196616</v>
      </c>
      <c r="EX127" s="21">
        <f>EXP(-LN(2)/2)*EX126+(1-EXP(-LN(2)/2))/(LN(2)/2)*ER127*EU127*VLOOKUP('Données projet'!$B$15,Paramètres!$A$1:$I$89,3,0)*0.475*44/12</f>
        <v>3.8693971575825763E-14</v>
      </c>
      <c r="EY127" s="22">
        <f t="shared" si="75"/>
        <v>1.8757055627714152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108.5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-1.7053025658242404E-13</v>
      </c>
      <c r="FF127" s="17">
        <f>FE127*VLOOKUP('Données projet'!$B$16,Paramètres!$A$1:$I$89,3,0)*VLOOKUP('Données projet'!$B$16,Paramètres!$A$1:$I$89,5,0)</f>
        <v>-9.7543306765146564E-14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242.10913976205194</v>
      </c>
      <c r="FK127" s="59">
        <f t="shared" si="102"/>
        <v>198.24795425321133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0.79993039583378867</v>
      </c>
      <c r="FS127" s="21">
        <f>EXP(-LN(2)/2)*FS126+(1-EXP(-LN(2)/2))/(LN(2)/2)*FM127*FP127*VLOOKUP('Données projet'!$B$16,Paramètres!$A$1:$I$89,3,0)*0.475*44/12</f>
        <v>9.3952810355491753E-14</v>
      </c>
      <c r="FT127" s="22">
        <f t="shared" si="78"/>
        <v>0.79993039583388259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108.5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108.5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61.132500000000078</v>
      </c>
      <c r="D128" s="11">
        <f t="shared" si="86"/>
        <v>17.454288189870606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333.64917091138085</v>
      </c>
      <c r="H128" s="67">
        <f t="shared" si="56"/>
        <v>534.7053227640248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108.5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4.6111381379887463E-14</v>
      </c>
      <c r="P128" s="13">
        <f t="shared" si="87"/>
        <v>7.5804141040779151E-13</v>
      </c>
      <c r="Q128" s="20">
        <f t="shared" si="107"/>
        <v>1.4005661123635408E-12</v>
      </c>
      <c r="R128" s="59">
        <f t="shared" si="55"/>
        <v>434.50000000000142</v>
      </c>
      <c r="S128" s="59">
        <f ca="1">AVERAGE(OFFSET($R$3,0,0,'Données projet'!$E$9+1,1))-AVERAGE(OFFSET($H$3,0,0,'Données projet'!$E$9+1,1))</f>
        <v>273.89826011924487</v>
      </c>
      <c r="T128" s="59">
        <f t="shared" si="88"/>
        <v>332.17519939974227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0.61070378547739546</v>
      </c>
      <c r="AB128" s="21">
        <f>EXP(-LN(2)/2)*AB127+(1-EXP(-LN(2)/2))/(LN(2)/2)*V128*Y128*VLOOKUP('Données projet'!$B$9,Paramètres!$A$1:$I$89,3,0)*0.475*44/12</f>
        <v>5.5129434804565966E-14</v>
      </c>
      <c r="AC128" s="22">
        <f t="shared" si="57"/>
        <v>0.61070378547745063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108.5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-5.3205440053716299E-14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293.42903587188346</v>
      </c>
      <c r="AO128" s="59">
        <f t="shared" si="90"/>
        <v>267.80827667062124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0.47763722160468908</v>
      </c>
      <c r="AV128" s="21">
        <f>EXP(-LN(2)/25)*AV127+(1-EXP(-LN(2)/25))/(LN(2)/25)*Calculateur!AQ128*Calculateur!AS128*VLOOKUP('Données projet'!$B$10,Paramètres!$A$1:$I$89,3,0)*0.475*44/12</f>
        <v>0.56397243632311667</v>
      </c>
      <c r="AW128" s="21">
        <f>EXP(-LN(2)/2)*AW127+(1-EXP(-LN(2)/2))/(LN(2)/2)*AQ128*AT128*VLOOKUP('Données projet'!$B$10,Paramètres!$A$1:$I$89,3,0)*0.475*44/12</f>
        <v>4.9399763661314303E-14</v>
      </c>
      <c r="AX128" s="21">
        <f t="shared" si="60"/>
        <v>1.0416096579278551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108.5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-1.0286385077051818E-13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324.41828402031939</v>
      </c>
      <c r="BJ128" s="59">
        <f t="shared" si="92"/>
        <v>233.01060088065992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0.22298662934135388</v>
      </c>
      <c r="BR128" s="21">
        <f>EXP(-LN(2)/2)*BR127+(1-EXP(-LN(2)/2))/(LN(2)/2)*BL128*BO128*VLOOKUP('Données projet'!$B$11,Paramètres!$A$1:$I$89,3,0)*0.475*44/12</f>
        <v>3.1097114849307767E-14</v>
      </c>
      <c r="BS128" s="22">
        <f t="shared" si="63"/>
        <v>0.22298662934138497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108.5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279.00060755204919</v>
      </c>
      <c r="CE128" s="59">
        <f t="shared" si="94"/>
        <v>333.91128554211014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1.1125002428344501</v>
      </c>
      <c r="CL128" s="21">
        <f>EXP(-LN(2)/25)*CL127+(1-EXP(-LN(2)/25))/(LN(2)/25)*Calculateur!CG128*Calculateur!CI128*VLOOKUP('Données projet'!$B$12,Paramètres!$A$1:$I$89,3,0)*0.475*44/12</f>
        <v>1.998068432032204</v>
      </c>
      <c r="CM128" s="21">
        <f>EXP(-LN(2)/2)*CM127+(1-EXP(-LN(2)/2))/(LN(2)/2)*CG128*CJ128*VLOOKUP('Données projet'!$B$12,Paramètres!$A$1:$I$89,3,0)*0.475*44/12</f>
        <v>1.082931141178402E-13</v>
      </c>
      <c r="CN128" s="22">
        <f t="shared" si="66"/>
        <v>3.1105686748667623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108.5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-6.7984728957526396E-14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380.01315081072897</v>
      </c>
      <c r="CZ128" s="59">
        <f t="shared" si="96"/>
        <v>404.90871625409181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0.53307303302484133</v>
      </c>
      <c r="DG128" s="21">
        <f>EXP(-LN(2)/25)*DG127+(1-EXP(-LN(2)/25))/(LN(2)/25)*Calculateur!DB128*Calculateur!DD128*VLOOKUP('Données projet'!$B$13,Paramètres!$A$1:$I$89,3,0)*0.475*44/12</f>
        <v>1.5320561984999264</v>
      </c>
      <c r="DH128" s="21">
        <f>EXP(-LN(2)/2)*DH127+(1-EXP(-LN(2)/2))/(LN(2)/2)*DB128*DE128*VLOOKUP('Données projet'!$B$13,Paramètres!$A$1:$I$89,3,0)*0.475*44/12</f>
        <v>1.5225291638006954E-13</v>
      </c>
      <c r="DI128" s="22">
        <f t="shared" si="69"/>
        <v>2.0651292315249199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108.5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-5.6843418860808015E-14</v>
      </c>
      <c r="DP128" s="17">
        <f>DO128*VLOOKUP('Données projet'!$B$14,Paramètres!$A$1:$I$89,3,0)*VLOOKUP('Données projet'!$B$14,Paramètres!$A$1:$I$89,5,0)</f>
        <v>-5.1431925385259088E-14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320.81451813551064</v>
      </c>
      <c r="DU128" s="59">
        <f t="shared" si="98"/>
        <v>522.80818268773976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0.27969407630948084</v>
      </c>
      <c r="EB128" s="21">
        <f>EXP(-LN(2)/25)*EB127+(1-EXP(-LN(2)/25))/(LN(2)/25)*Calculateur!DW128*Calculateur!DY128*VLOOKUP('Données projet'!$B$14,Paramètres!$A$1:$I$89,3,0)*0.475*44/12</f>
        <v>0.74851764346206229</v>
      </c>
      <c r="EC128" s="21">
        <f>EXP(-LN(2)/2)*EC127+(1-EXP(-LN(2)/2))/(LN(2)/2)*DW128*DZ128*VLOOKUP('Données projet'!$B$14,Paramètres!$A$1:$I$89,3,0)*0.475*44/12</f>
        <v>3.0089922650033284E-14</v>
      </c>
      <c r="ED128" s="22">
        <f t="shared" si="72"/>
        <v>1.0282117197715732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108.5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228.3393311631487</v>
      </c>
      <c r="EP128" s="59">
        <f t="shared" si="100"/>
        <v>266.26050497804033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0.94660436152380745</v>
      </c>
      <c r="EW128" s="21">
        <f>EXP(-LN(2)/25)*EW127+(1-EXP(-LN(2)/25))/(LN(2)/25)*Calculateur!ER128*Calculateur!ET128*VLOOKUP('Données projet'!$B$15,Paramètres!$A$1:$I$89,3,0)*0.475*44/12</f>
        <v>0.88527900990523622</v>
      </c>
      <c r="EX128" s="21">
        <f>EXP(-LN(2)/2)*EX127+(1-EXP(-LN(2)/2))/(LN(2)/2)*ER128*EU128*VLOOKUP('Données projet'!$B$15,Paramètres!$A$1:$I$89,3,0)*0.475*44/12</f>
        <v>2.7360769692305918E-14</v>
      </c>
      <c r="EY128" s="22">
        <f t="shared" si="75"/>
        <v>1.831883371429071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108.5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-1.7053025658242404E-13</v>
      </c>
      <c r="FF128" s="17">
        <f>FE128*VLOOKUP('Données projet'!$B$16,Paramètres!$A$1:$I$89,3,0)*VLOOKUP('Données projet'!$B$16,Paramètres!$A$1:$I$89,5,0)</f>
        <v>-9.7543306765146564E-14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242.10913976205194</v>
      </c>
      <c r="FK128" s="59">
        <f t="shared" si="102"/>
        <v>198.24795425321133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0.77805625709320247</v>
      </c>
      <c r="FS128" s="21">
        <f>EXP(-LN(2)/2)*FS127+(1-EXP(-LN(2)/2))/(LN(2)/2)*FM128*FP128*VLOOKUP('Données projet'!$B$16,Paramètres!$A$1:$I$89,3,0)*0.475*44/12</f>
        <v>6.6434669313901903E-14</v>
      </c>
      <c r="FT128" s="22">
        <f t="shared" si="78"/>
        <v>0.77805625709326887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108.5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108.5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61.62156000000008</v>
      </c>
      <c r="D129" s="11">
        <f t="shared" si="86"/>
        <v>17.577611786393653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336.24911530363659</v>
      </c>
      <c r="H129" s="67">
        <f t="shared" si="56"/>
        <v>535.77189086130238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108.5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4.6111381379887463E-14</v>
      </c>
      <c r="P129" s="13">
        <f t="shared" si="87"/>
        <v>7.5804141040779151E-13</v>
      </c>
      <c r="Q129" s="20">
        <f t="shared" si="107"/>
        <v>1.4005661123635408E-12</v>
      </c>
      <c r="R129" s="59">
        <f t="shared" si="55"/>
        <v>434.50000000000142</v>
      </c>
      <c r="S129" s="59">
        <f ca="1">AVERAGE(OFFSET($R$3,0,0,'Données projet'!$E$9+1,1))-AVERAGE(OFFSET($H$3,0,0,'Données projet'!$E$9+1,1))</f>
        <v>273.89826011924487</v>
      </c>
      <c r="T129" s="59">
        <f t="shared" si="88"/>
        <v>332.17519939974227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0.59400405834799974</v>
      </c>
      <c r="AB129" s="21">
        <f>EXP(-LN(2)/2)*AB128+(1-EXP(-LN(2)/2))/(LN(2)/2)*V129*Y129*VLOOKUP('Données projet'!$B$9,Paramètres!$A$1:$I$89,3,0)*0.475*44/12</f>
        <v>3.8982397193290264E-14</v>
      </c>
      <c r="AC129" s="22">
        <f t="shared" si="57"/>
        <v>0.59400405834803871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108.5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-5.3205440053716299E-14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293.42903587188346</v>
      </c>
      <c r="AO129" s="59">
        <f t="shared" si="90"/>
        <v>267.80827667062124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0.46827104701895989</v>
      </c>
      <c r="AV129" s="21">
        <f>EXP(-LN(2)/25)*AV128+(1-EXP(-LN(2)/25))/(LN(2)/25)*Calculateur!AQ129*Calculateur!AS129*VLOOKUP('Données projet'!$B$10,Paramètres!$A$1:$I$89,3,0)*0.475*44/12</f>
        <v>0.54855058039383964</v>
      </c>
      <c r="AW129" s="21">
        <f>EXP(-LN(2)/2)*AW128+(1-EXP(-LN(2)/2))/(LN(2)/2)*AQ129*AT129*VLOOKUP('Données projet'!$B$10,Paramètres!$A$1:$I$89,3,0)*0.475*44/12</f>
        <v>3.4930907873928134E-14</v>
      </c>
      <c r="AX129" s="21">
        <f t="shared" si="60"/>
        <v>1.0168216274128343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108.5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-1.0286385077051818E-13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324.41828402031939</v>
      </c>
      <c r="BJ129" s="59">
        <f t="shared" si="92"/>
        <v>233.01060088065992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0.21688904823565736</v>
      </c>
      <c r="BR129" s="21">
        <f>EXP(-LN(2)/2)*BR128+(1-EXP(-LN(2)/2))/(LN(2)/2)*BL129*BO129*VLOOKUP('Données projet'!$B$11,Paramètres!$A$1:$I$89,3,0)*0.475*44/12</f>
        <v>2.1988980785282405E-14</v>
      </c>
      <c r="BS129" s="22">
        <f t="shared" si="63"/>
        <v>0.21688904823567934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108.5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279.00060755204919</v>
      </c>
      <c r="CE129" s="59">
        <f t="shared" si="94"/>
        <v>333.91128554211014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1.0906847916306126</v>
      </c>
      <c r="CL129" s="21">
        <f>EXP(-LN(2)/25)*CL128+(1-EXP(-LN(2)/25))/(LN(2)/25)*Calculateur!CG129*Calculateur!CI129*VLOOKUP('Données projet'!$B$12,Paramètres!$A$1:$I$89,3,0)*0.475*44/12</f>
        <v>1.9434311456844311</v>
      </c>
      <c r="CM129" s="21">
        <f>EXP(-LN(2)/2)*CM128+(1-EXP(-LN(2)/2))/(LN(2)/2)*CG129*CJ129*VLOOKUP('Données projet'!$B$12,Paramètres!$A$1:$I$89,3,0)*0.475*44/12</f>
        <v>7.6574795348533449E-14</v>
      </c>
      <c r="CN129" s="22">
        <f t="shared" si="66"/>
        <v>3.0341159373151201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108.5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-6.7984728957526396E-14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380.01315081072897</v>
      </c>
      <c r="CZ129" s="59">
        <f t="shared" si="96"/>
        <v>404.90871625409181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0.52261979598966923</v>
      </c>
      <c r="DG129" s="21">
        <f>EXP(-LN(2)/25)*DG128+(1-EXP(-LN(2)/25))/(LN(2)/25)*Calculateur!DB129*Calculateur!DD129*VLOOKUP('Données projet'!$B$13,Paramètres!$A$1:$I$89,3,0)*0.475*44/12</f>
        <v>1.4901620411846119</v>
      </c>
      <c r="DH129" s="21">
        <f>EXP(-LN(2)/2)*DH128+(1-EXP(-LN(2)/2))/(LN(2)/2)*DB129*DE129*VLOOKUP('Données projet'!$B$13,Paramètres!$A$1:$I$89,3,0)*0.475*44/12</f>
        <v>1.0765906962777555E-13</v>
      </c>
      <c r="DI129" s="22">
        <f t="shared" si="69"/>
        <v>2.0127818371743889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108.5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-5.6843418860808015E-14</v>
      </c>
      <c r="DP129" s="17">
        <f>DO129*VLOOKUP('Données projet'!$B$14,Paramètres!$A$1:$I$89,3,0)*VLOOKUP('Données projet'!$B$14,Paramètres!$A$1:$I$89,5,0)</f>
        <v>-5.1431925385259088E-14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320.81451813551064</v>
      </c>
      <c r="DU129" s="59">
        <f t="shared" si="98"/>
        <v>522.80818268773976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0.27420944606959347</v>
      </c>
      <c r="EB129" s="21">
        <f>EXP(-LN(2)/25)*EB128+(1-EXP(-LN(2)/25))/(LN(2)/25)*Calculateur!DW129*Calculateur!DY129*VLOOKUP('Données projet'!$B$14,Paramètres!$A$1:$I$89,3,0)*0.475*44/12</f>
        <v>0.72804938913876005</v>
      </c>
      <c r="EC129" s="21">
        <f>EXP(-LN(2)/2)*EC128+(1-EXP(-LN(2)/2))/(LN(2)/2)*DW129*DZ129*VLOOKUP('Données projet'!$B$14,Paramètres!$A$1:$I$89,3,0)*0.475*44/12</f>
        <v>2.1276788351217226E-14</v>
      </c>
      <c r="ED129" s="22">
        <f t="shared" si="72"/>
        <v>1.0022588352083748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108.5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228.3393311631487</v>
      </c>
      <c r="EP129" s="59">
        <f t="shared" si="100"/>
        <v>266.26050497804033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0.92804202736597541</v>
      </c>
      <c r="EW129" s="21">
        <f>EXP(-LN(2)/25)*EW128+(1-EXP(-LN(2)/25))/(LN(2)/25)*Calculateur!ER129*Calculateur!ET129*VLOOKUP('Données projet'!$B$15,Paramètres!$A$1:$I$89,3,0)*0.475*44/12</f>
        <v>0.86107100882457777</v>
      </c>
      <c r="EX129" s="21">
        <f>EXP(-LN(2)/2)*EX128+(1-EXP(-LN(2)/2))/(LN(2)/2)*ER129*EU129*VLOOKUP('Données projet'!$B$15,Paramètres!$A$1:$I$89,3,0)*0.475*44/12</f>
        <v>1.9346985787912882E-14</v>
      </c>
      <c r="EY129" s="22">
        <f t="shared" si="75"/>
        <v>1.7891130361905725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108.5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-1.7053025658242404E-13</v>
      </c>
      <c r="FF129" s="17">
        <f>FE129*VLOOKUP('Données projet'!$B$16,Paramètres!$A$1:$I$89,3,0)*VLOOKUP('Données projet'!$B$16,Paramètres!$A$1:$I$89,5,0)</f>
        <v>-9.7543306765146564E-14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242.10913976205194</v>
      </c>
      <c r="FK129" s="59">
        <f t="shared" si="102"/>
        <v>198.24795425321133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0.75678026782678853</v>
      </c>
      <c r="FS129" s="21">
        <f>EXP(-LN(2)/2)*FS128+(1-EXP(-LN(2)/2))/(LN(2)/2)*FM129*FP129*VLOOKUP('Données projet'!$B$16,Paramètres!$A$1:$I$89,3,0)*0.475*44/12</f>
        <v>4.6976405177745877E-14</v>
      </c>
      <c r="FT129" s="22">
        <f t="shared" si="78"/>
        <v>0.7567802678268355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108.5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108.5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62.110620000000083</v>
      </c>
      <c r="D130" s="11">
        <f t="shared" si="86"/>
        <v>17.70082150674671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338.84857622162673</v>
      </c>
      <c r="H130" s="67">
        <f t="shared" si="56"/>
        <v>536.83826062425067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108.5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4.6111381379887463E-14</v>
      </c>
      <c r="P130" s="13">
        <f t="shared" si="87"/>
        <v>7.5804141040779151E-13</v>
      </c>
      <c r="Q130" s="20">
        <f t="shared" si="107"/>
        <v>1.4005661123635408E-12</v>
      </c>
      <c r="R130" s="59">
        <f t="shared" si="55"/>
        <v>434.50000000000142</v>
      </c>
      <c r="S130" s="59">
        <f ca="1">AVERAGE(OFFSET($R$3,0,0,'Données projet'!$E$9+1,1))-AVERAGE(OFFSET($H$3,0,0,'Données projet'!$E$9+1,1))</f>
        <v>273.89826011924487</v>
      </c>
      <c r="T130" s="59">
        <f t="shared" si="88"/>
        <v>332.17519939974227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0.57776098613515792</v>
      </c>
      <c r="AB130" s="21">
        <f>EXP(-LN(2)/2)*AB129+(1-EXP(-LN(2)/2))/(LN(2)/2)*V130*Y130*VLOOKUP('Données projet'!$B$9,Paramètres!$A$1:$I$89,3,0)*0.475*44/12</f>
        <v>2.7564717402282983E-14</v>
      </c>
      <c r="AC130" s="22">
        <f t="shared" si="57"/>
        <v>0.57776098613518545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108.5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-5.3205440053716299E-14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293.42903587188346</v>
      </c>
      <c r="AO130" s="59">
        <f t="shared" si="90"/>
        <v>267.80827667062124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0.45908853740405442</v>
      </c>
      <c r="AV130" s="21">
        <f>EXP(-LN(2)/25)*AV129+(1-EXP(-LN(2)/25))/(LN(2)/25)*Calculateur!AQ130*Calculateur!AS130*VLOOKUP('Données projet'!$B$10,Paramètres!$A$1:$I$89,3,0)*0.475*44/12</f>
        <v>0.53355043592594875</v>
      </c>
      <c r="AW130" s="21">
        <f>EXP(-LN(2)/2)*AW129+(1-EXP(-LN(2)/2))/(LN(2)/2)*AQ130*AT130*VLOOKUP('Données projet'!$B$10,Paramètres!$A$1:$I$89,3,0)*0.475*44/12</f>
        <v>2.4699881830657152E-14</v>
      </c>
      <c r="AX130" s="21">
        <f t="shared" si="60"/>
        <v>0.99263897333002782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108.5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-1.0286385077051818E-13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324.41828402031939</v>
      </c>
      <c r="BJ130" s="59">
        <f t="shared" si="92"/>
        <v>233.01060088065992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0.21095820580595395</v>
      </c>
      <c r="BR130" s="21">
        <f>EXP(-LN(2)/2)*BR129+(1-EXP(-LN(2)/2))/(LN(2)/2)*BL130*BO130*VLOOKUP('Données projet'!$B$11,Paramètres!$A$1:$I$89,3,0)*0.475*44/12</f>
        <v>1.5548557424653883E-14</v>
      </c>
      <c r="BS130" s="22">
        <f t="shared" si="63"/>
        <v>0.2109582058059695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108.5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279.00060755204919</v>
      </c>
      <c r="CE130" s="59">
        <f t="shared" si="94"/>
        <v>333.91128554211014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1.0692971281187711</v>
      </c>
      <c r="CL130" s="21">
        <f>EXP(-LN(2)/25)*CL129+(1-EXP(-LN(2)/25))/(LN(2)/25)*Calculateur!CG130*Calculateur!CI130*VLOOKUP('Données projet'!$B$12,Paramètres!$A$1:$I$89,3,0)*0.475*44/12</f>
        <v>1.8902879188050881</v>
      </c>
      <c r="CM130" s="21">
        <f>EXP(-LN(2)/2)*CM129+(1-EXP(-LN(2)/2))/(LN(2)/2)*CG130*CJ130*VLOOKUP('Données projet'!$B$12,Paramètres!$A$1:$I$89,3,0)*0.475*44/12</f>
        <v>5.41465570589201E-14</v>
      </c>
      <c r="CN130" s="22">
        <f t="shared" si="66"/>
        <v>2.9595850469239133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108.5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-6.7984728957526396E-14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380.01315081072897</v>
      </c>
      <c r="CZ130" s="59">
        <f t="shared" si="96"/>
        <v>404.90871625409181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0.51237154055691181</v>
      </c>
      <c r="DG130" s="21">
        <f>EXP(-LN(2)/25)*DG129+(1-EXP(-LN(2)/25))/(LN(2)/25)*Calculateur!DB130*Calculateur!DD130*VLOOKUP('Données projet'!$B$13,Paramètres!$A$1:$I$89,3,0)*0.475*44/12</f>
        <v>1.4494134818042028</v>
      </c>
      <c r="DH130" s="21">
        <f>EXP(-LN(2)/2)*DH129+(1-EXP(-LN(2)/2))/(LN(2)/2)*DB130*DE130*VLOOKUP('Données projet'!$B$13,Paramètres!$A$1:$I$89,3,0)*0.475*44/12</f>
        <v>7.6126458190034768E-14</v>
      </c>
      <c r="DI130" s="22">
        <f t="shared" si="69"/>
        <v>1.9617850223611908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108.5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-5.6843418860808015E-14</v>
      </c>
      <c r="DP130" s="17">
        <f>DO130*VLOOKUP('Données projet'!$B$14,Paramètres!$A$1:$I$89,3,0)*VLOOKUP('Données projet'!$B$14,Paramètres!$A$1:$I$89,5,0)</f>
        <v>-5.1431925385259088E-14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320.81451813551064</v>
      </c>
      <c r="DU130" s="59">
        <f t="shared" si="98"/>
        <v>522.80818268773976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0.26883236608341615</v>
      </c>
      <c r="EB130" s="21">
        <f>EXP(-LN(2)/25)*EB129+(1-EXP(-LN(2)/25))/(LN(2)/25)*Calculateur!DW130*Calculateur!DY130*VLOOKUP('Données projet'!$B$14,Paramètres!$A$1:$I$89,3,0)*0.475*44/12</f>
        <v>0.70814084030630731</v>
      </c>
      <c r="EC130" s="21">
        <f>EXP(-LN(2)/2)*EC129+(1-EXP(-LN(2)/2))/(LN(2)/2)*DW130*DZ130*VLOOKUP('Données projet'!$B$14,Paramètres!$A$1:$I$89,3,0)*0.475*44/12</f>
        <v>1.5044961325016642E-14</v>
      </c>
      <c r="ED130" s="22">
        <f t="shared" si="72"/>
        <v>0.9769732063897385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108.5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228.3393311631487</v>
      </c>
      <c r="EP130" s="59">
        <f t="shared" si="100"/>
        <v>266.26050497804033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0.90984368925907255</v>
      </c>
      <c r="EW130" s="21">
        <f>EXP(-LN(2)/25)*EW129+(1-EXP(-LN(2)/25))/(LN(2)/25)*Calculateur!ER130*Calculateur!ET130*VLOOKUP('Données projet'!$B$15,Paramètres!$A$1:$I$89,3,0)*0.475*44/12</f>
        <v>0.83752497680651339</v>
      </c>
      <c r="EX130" s="21">
        <f>EXP(-LN(2)/2)*EX129+(1-EXP(-LN(2)/2))/(LN(2)/2)*ER130*EU130*VLOOKUP('Données projet'!$B$15,Paramètres!$A$1:$I$89,3,0)*0.475*44/12</f>
        <v>1.3680384846152959E-14</v>
      </c>
      <c r="EY130" s="22">
        <f t="shared" si="75"/>
        <v>1.7473686660655998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108.5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-1.7053025658242404E-13</v>
      </c>
      <c r="FF130" s="17">
        <f>FE130*VLOOKUP('Données projet'!$B$16,Paramètres!$A$1:$I$89,3,0)*VLOOKUP('Données projet'!$B$16,Paramètres!$A$1:$I$89,5,0)</f>
        <v>-9.7543306765146564E-14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242.10913976205194</v>
      </c>
      <c r="FK130" s="59">
        <f t="shared" si="102"/>
        <v>198.24795425321133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0.73608607160572037</v>
      </c>
      <c r="FS130" s="21">
        <f>EXP(-LN(2)/2)*FS129+(1-EXP(-LN(2)/2))/(LN(2)/2)*FM130*FP130*VLOOKUP('Données projet'!$B$16,Paramètres!$A$1:$I$89,3,0)*0.475*44/12</f>
        <v>3.3217334656950951E-14</v>
      </c>
      <c r="FT130" s="22">
        <f t="shared" si="78"/>
        <v>0.73608607160575357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108.5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108.5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62.599680000000085</v>
      </c>
      <c r="D131" s="11">
        <f t="shared" si="86"/>
        <v>17.823918351526199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341.44755791349758</v>
      </c>
      <c r="H131" s="67">
        <f t="shared" si="56"/>
        <v>537.90443379557496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108.5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4.6111381379887463E-14</v>
      </c>
      <c r="P131" s="13">
        <f t="shared" si="87"/>
        <v>7.5804141040779151E-13</v>
      </c>
      <c r="Q131" s="20">
        <f t="shared" ref="Q131:Q153" si="108">(O131+P131)*0.475*44/12</f>
        <v>1.4005661123635408E-12</v>
      </c>
      <c r="R131" s="59">
        <f t="shared" ref="R131:R194" si="109">Q131+(I131+J131)*44/12</f>
        <v>434.50000000000142</v>
      </c>
      <c r="S131" s="59">
        <f ca="1">AVERAGE(OFFSET($R$3,0,0,'Données projet'!$E$9+1,1))-AVERAGE(OFFSET($H$3,0,0,'Données projet'!$E$9+1,1))</f>
        <v>273.89826011924487</v>
      </c>
      <c r="T131" s="59">
        <f t="shared" si="88"/>
        <v>332.17519939974227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0.56196208158616223</v>
      </c>
      <c r="AB131" s="21">
        <f>EXP(-LN(2)/2)*AB130+(1-EXP(-LN(2)/2))/(LN(2)/2)*V131*Y131*VLOOKUP('Données projet'!$B$9,Paramètres!$A$1:$I$89,3,0)*0.475*44/12</f>
        <v>1.9491198596645132E-14</v>
      </c>
      <c r="AC131" s="22">
        <f t="shared" si="57"/>
        <v>0.56196208158618177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108.5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-5.3205440053716299E-14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293.42903587188346</v>
      </c>
      <c r="AO131" s="59">
        <f t="shared" si="90"/>
        <v>267.80827667062124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0.45008609120191939</v>
      </c>
      <c r="AV131" s="21">
        <f>EXP(-LN(2)/25)*AV130+(1-EXP(-LN(2)/25))/(LN(2)/25)*Calculateur!AQ131*Calculateur!AS131*VLOOKUP('Données projet'!$B$10,Paramètres!$A$1:$I$89,3,0)*0.475*44/12</f>
        <v>0.51896047119735567</v>
      </c>
      <c r="AW131" s="21">
        <f>EXP(-LN(2)/2)*AW130+(1-EXP(-LN(2)/2))/(LN(2)/2)*AQ131*AT131*VLOOKUP('Données projet'!$B$10,Paramètres!$A$1:$I$89,3,0)*0.475*44/12</f>
        <v>1.7465453936964067E-14</v>
      </c>
      <c r="AX131" s="21">
        <f t="shared" si="60"/>
        <v>0.96904656239929243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108.5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-1.0286385077051818E-13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324.41828402031939</v>
      </c>
      <c r="BJ131" s="59">
        <f t="shared" si="92"/>
        <v>233.01060088065992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0.20518954257438024</v>
      </c>
      <c r="BR131" s="21">
        <f>EXP(-LN(2)/2)*BR130+(1-EXP(-LN(2)/2))/(LN(2)/2)*BL131*BO131*VLOOKUP('Données projet'!$B$11,Paramètres!$A$1:$I$89,3,0)*0.475*44/12</f>
        <v>1.0994490392641203E-14</v>
      </c>
      <c r="BS131" s="22">
        <f t="shared" si="63"/>
        <v>0.20518954257439123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108.5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279.00060755204919</v>
      </c>
      <c r="CE131" s="59">
        <f t="shared" si="94"/>
        <v>333.91128554211014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1.04832886364321</v>
      </c>
      <c r="CL131" s="21">
        <f>EXP(-LN(2)/25)*CL130+(1-EXP(-LN(2)/25))/(LN(2)/25)*Calculateur!CG131*Calculateur!CI131*VLOOKUP('Données projet'!$B$12,Paramètres!$A$1:$I$89,3,0)*0.475*44/12</f>
        <v>1.8385978962594416</v>
      </c>
      <c r="CM131" s="21">
        <f>EXP(-LN(2)/2)*CM130+(1-EXP(-LN(2)/2))/(LN(2)/2)*CG131*CJ131*VLOOKUP('Données projet'!$B$12,Paramètres!$A$1:$I$89,3,0)*0.475*44/12</f>
        <v>3.8287397674266725E-14</v>
      </c>
      <c r="CN131" s="22">
        <f t="shared" si="66"/>
        <v>2.88692675990269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108.5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-6.7984728957526396E-14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380.01315081072897</v>
      </c>
      <c r="CZ131" s="59">
        <f t="shared" si="96"/>
        <v>404.90871625409181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0.50232424716237212</v>
      </c>
      <c r="DG131" s="21">
        <f>EXP(-LN(2)/25)*DG130+(1-EXP(-LN(2)/25))/(LN(2)/25)*Calculateur!DB131*Calculateur!DD131*VLOOKUP('Données projet'!$B$13,Paramètres!$A$1:$I$89,3,0)*0.475*44/12</f>
        <v>1.4097791939229245</v>
      </c>
      <c r="DH131" s="21">
        <f>EXP(-LN(2)/2)*DH130+(1-EXP(-LN(2)/2))/(LN(2)/2)*DB131*DE131*VLOOKUP('Données projet'!$B$13,Paramètres!$A$1:$I$89,3,0)*0.475*44/12</f>
        <v>5.3829534813887774E-14</v>
      </c>
      <c r="DI131" s="22">
        <f t="shared" si="69"/>
        <v>1.9121034410853504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108.5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-5.6843418860808015E-14</v>
      </c>
      <c r="DP131" s="17">
        <f>DO131*VLOOKUP('Données projet'!$B$14,Paramètres!$A$1:$I$89,3,0)*VLOOKUP('Données projet'!$B$14,Paramètres!$A$1:$I$89,5,0)</f>
        <v>-5.1431925385259088E-14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320.81451813551064</v>
      </c>
      <c r="DU131" s="59">
        <f t="shared" si="98"/>
        <v>522.80818268773976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0.26356072735607283</v>
      </c>
      <c r="EB131" s="21">
        <f>EXP(-LN(2)/25)*EB130+(1-EXP(-LN(2)/25))/(LN(2)/25)*Calculateur!DW131*Calculateur!DY131*VLOOKUP('Données projet'!$B$14,Paramètres!$A$1:$I$89,3,0)*0.475*44/12</f>
        <v>0.688776691788623</v>
      </c>
      <c r="EC131" s="21">
        <f>EXP(-LN(2)/2)*EC130+(1-EXP(-LN(2)/2))/(LN(2)/2)*DW131*DZ131*VLOOKUP('Données projet'!$B$14,Paramètres!$A$1:$I$89,3,0)*0.475*44/12</f>
        <v>1.0638394175608613E-14</v>
      </c>
      <c r="ED131" s="22">
        <f t="shared" si="72"/>
        <v>0.95233741914470649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108.5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228.3393311631487</v>
      </c>
      <c r="EP131" s="59">
        <f t="shared" si="100"/>
        <v>266.26050497804033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0.89200220946255582</v>
      </c>
      <c r="EW131" s="21">
        <f>EXP(-LN(2)/25)*EW130+(1-EXP(-LN(2)/25))/(LN(2)/25)*Calculateur!ER131*Calculateur!ET131*VLOOKUP('Données projet'!$B$15,Paramètres!$A$1:$I$89,3,0)*0.475*44/12</f>
        <v>0.81462281227221489</v>
      </c>
      <c r="EX131" s="21">
        <f>EXP(-LN(2)/2)*EX130+(1-EXP(-LN(2)/2))/(LN(2)/2)*ER131*EU131*VLOOKUP('Données projet'!$B$15,Paramètres!$A$1:$I$89,3,0)*0.475*44/12</f>
        <v>9.6734928939564408E-15</v>
      </c>
      <c r="EY131" s="22">
        <f t="shared" si="75"/>
        <v>1.7066250217347805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108.5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-1.7053025658242404E-13</v>
      </c>
      <c r="FF131" s="17">
        <f>FE131*VLOOKUP('Données projet'!$B$16,Paramètres!$A$1:$I$89,3,0)*VLOOKUP('Données projet'!$B$16,Paramètres!$A$1:$I$89,5,0)</f>
        <v>-9.7543306765146564E-14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242.10913976205194</v>
      </c>
      <c r="FK131" s="59">
        <f t="shared" si="102"/>
        <v>198.24795425321133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0.71595775926857774</v>
      </c>
      <c r="FS131" s="21">
        <f>EXP(-LN(2)/2)*FS130+(1-EXP(-LN(2)/2))/(LN(2)/2)*FM131*FP131*VLOOKUP('Données projet'!$B$16,Paramètres!$A$1:$I$89,3,0)*0.475*44/12</f>
        <v>2.3488202588872938E-14</v>
      </c>
      <c r="FT131" s="22">
        <f t="shared" si="78"/>
        <v>0.71595775926860128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108.5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108.5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63.088740000000087</v>
      </c>
      <c r="D132" s="11">
        <f t="shared" si="86"/>
        <v>17.946903304791373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344.04606455718493</v>
      </c>
      <c r="H132" s="67">
        <f t="shared" ref="H132:H195" si="110">(B132+E132+F132)*44/12+(C132+D132)*0.475*44/12</f>
        <v>538.97041208917847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108.5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4.6111381379887463E-14</v>
      </c>
      <c r="P132" s="13">
        <f t="shared" si="87"/>
        <v>7.5804141040779151E-13</v>
      </c>
      <c r="Q132" s="20">
        <f t="shared" si="108"/>
        <v>1.4005661123635408E-12</v>
      </c>
      <c r="R132" s="59">
        <f t="shared" si="109"/>
        <v>434.50000000000142</v>
      </c>
      <c r="S132" s="59">
        <f ca="1">AVERAGE(OFFSET($R$3,0,0,'Données projet'!$E$9+1,1))-AVERAGE(OFFSET($H$3,0,0,'Données projet'!$E$9+1,1))</f>
        <v>273.89826011924487</v>
      </c>
      <c r="T132" s="59">
        <f t="shared" si="88"/>
        <v>332.17519939974227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0.5465951989128871</v>
      </c>
      <c r="AB132" s="21">
        <f>EXP(-LN(2)/2)*AB131+(1-EXP(-LN(2)/2))/(LN(2)/2)*V132*Y132*VLOOKUP('Données projet'!$B$9,Paramètres!$A$1:$I$89,3,0)*0.475*44/12</f>
        <v>1.3782358701141492E-14</v>
      </c>
      <c r="AC132" s="22">
        <f t="shared" ref="AC132:AC153" si="111">SUM(Z132:AB132)</f>
        <v>0.54659519891290087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108.5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-5.3205440053716299E-14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293.42903587188346</v>
      </c>
      <c r="AO132" s="59">
        <f t="shared" si="90"/>
        <v>267.80827667062124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0.44126017747885826</v>
      </c>
      <c r="AV132" s="21">
        <f>EXP(-LN(2)/25)*AV131+(1-EXP(-LN(2)/25))/(LN(2)/25)*Calculateur!AQ132*Calculateur!AS132*VLOOKUP('Données projet'!$B$10,Paramètres!$A$1:$I$89,3,0)*0.475*44/12</f>
        <v>0.50476946982151893</v>
      </c>
      <c r="AW132" s="21">
        <f>EXP(-LN(2)/2)*AW131+(1-EXP(-LN(2)/2))/(LN(2)/2)*AQ132*AT132*VLOOKUP('Données projet'!$B$10,Paramètres!$A$1:$I$89,3,0)*0.475*44/12</f>
        <v>1.2349940915328576E-14</v>
      </c>
      <c r="AX132" s="21">
        <f t="shared" ref="AX132:AX153" si="114">SUM(AU132:AW132)</f>
        <v>0.94602964730038952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108.5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-1.0286385077051818E-13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324.41828402031939</v>
      </c>
      <c r="BJ132" s="59">
        <f t="shared" si="92"/>
        <v>233.01060088065992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0.19957862374223473</v>
      </c>
      <c r="BR132" s="21">
        <f>EXP(-LN(2)/2)*BR131+(1-EXP(-LN(2)/2))/(LN(2)/2)*BL132*BO132*VLOOKUP('Données projet'!$B$11,Paramètres!$A$1:$I$89,3,0)*0.475*44/12</f>
        <v>7.7742787123269417E-15</v>
      </c>
      <c r="BS132" s="22">
        <f t="shared" ref="BS132:BS153" si="117">SUM(BP132:BR132)</f>
        <v>0.1995786237422425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108.5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279.00060755204919</v>
      </c>
      <c r="CE132" s="59">
        <f t="shared" si="94"/>
        <v>333.91128554211014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1.0277717740446362</v>
      </c>
      <c r="CL132" s="21">
        <f>EXP(-LN(2)/25)*CL131+(1-EXP(-LN(2)/25))/(LN(2)/25)*Calculateur!CG132*Calculateur!CI132*VLOOKUP('Données projet'!$B$12,Paramètres!$A$1:$I$89,3,0)*0.475*44/12</f>
        <v>1.788321340098566</v>
      </c>
      <c r="CM132" s="21">
        <f>EXP(-LN(2)/2)*CM131+(1-EXP(-LN(2)/2))/(LN(2)/2)*CG132*CJ132*VLOOKUP('Données projet'!$B$12,Paramètres!$A$1:$I$89,3,0)*0.475*44/12</f>
        <v>2.707327852946005E-14</v>
      </c>
      <c r="CN132" s="22">
        <f t="shared" ref="CN132:CN153" si="120">SUM(CK132:CM132)</f>
        <v>2.816093114143229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108.5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-6.7984728957526396E-14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380.01315081072897</v>
      </c>
      <c r="CZ132" s="59">
        <f t="shared" si="96"/>
        <v>404.90871625409181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0.49247397506305551</v>
      </c>
      <c r="DG132" s="21">
        <f>EXP(-LN(2)/25)*DG131+(1-EXP(-LN(2)/25))/(LN(2)/25)*Calculateur!DB132*Calculateur!DD132*VLOOKUP('Données projet'!$B$13,Paramètres!$A$1:$I$89,3,0)*0.475*44/12</f>
        <v>1.3712287077280365</v>
      </c>
      <c r="DH132" s="21">
        <f>EXP(-LN(2)/2)*DH131+(1-EXP(-LN(2)/2))/(LN(2)/2)*DB132*DE132*VLOOKUP('Données projet'!$B$13,Paramètres!$A$1:$I$89,3,0)*0.475*44/12</f>
        <v>3.8063229095017384E-14</v>
      </c>
      <c r="DI132" s="22">
        <f t="shared" ref="DI132:DI153" si="123">SUM(DF132:DH132)</f>
        <v>1.86370268279113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108.5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-5.6843418860808015E-14</v>
      </c>
      <c r="DP132" s="17">
        <f>DO132*VLOOKUP('Données projet'!$B$14,Paramètres!$A$1:$I$89,3,0)*VLOOKUP('Données projet'!$B$14,Paramètres!$A$1:$I$89,5,0)</f>
        <v>-5.1431925385259088E-14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320.81451813551064</v>
      </c>
      <c r="DU132" s="59">
        <f t="shared" si="98"/>
        <v>522.80818268773976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0.25839246224879059</v>
      </c>
      <c r="EB132" s="21">
        <f>EXP(-LN(2)/25)*EB131+(1-EXP(-LN(2)/25))/(LN(2)/25)*Calculateur!DW132*Calculateur!DY132*VLOOKUP('Données projet'!$B$14,Paramètres!$A$1:$I$89,3,0)*0.475*44/12</f>
        <v>0.66994205693047115</v>
      </c>
      <c r="EC132" s="21">
        <f>EXP(-LN(2)/2)*EC131+(1-EXP(-LN(2)/2))/(LN(2)/2)*DW132*DZ132*VLOOKUP('Données projet'!$B$14,Paramètres!$A$1:$I$89,3,0)*0.475*44/12</f>
        <v>7.5224806625083211E-15</v>
      </c>
      <c r="ED132" s="22">
        <f t="shared" ref="ED132:ED153" si="126">SUM(EA132:EC132)</f>
        <v>0.92833451917926935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108.5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228.3393311631487</v>
      </c>
      <c r="EP132" s="59">
        <f t="shared" si="100"/>
        <v>266.26050497804033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0.87451059020262067</v>
      </c>
      <c r="EW132" s="21">
        <f>EXP(-LN(2)/25)*EW131+(1-EXP(-LN(2)/25))/(LN(2)/25)*Calculateur!ER132*Calculateur!ET132*VLOOKUP('Données projet'!$B$15,Paramètres!$A$1:$I$89,3,0)*0.475*44/12</f>
        <v>0.79234690863147927</v>
      </c>
      <c r="EX132" s="21">
        <f>EXP(-LN(2)/2)*EX131+(1-EXP(-LN(2)/2))/(LN(2)/2)*ER132*EU132*VLOOKUP('Données projet'!$B$15,Paramètres!$A$1:$I$89,3,0)*0.475*44/12</f>
        <v>6.8401924230764794E-15</v>
      </c>
      <c r="EY132" s="22">
        <f t="shared" ref="EY132:EY153" si="129">SUM(EV132:EX132)</f>
        <v>1.6668574988341069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108.5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-1.7053025658242404E-13</v>
      </c>
      <c r="FF132" s="17">
        <f>FE132*VLOOKUP('Données projet'!$B$16,Paramètres!$A$1:$I$89,3,0)*VLOOKUP('Données projet'!$B$16,Paramètres!$A$1:$I$89,5,0)</f>
        <v>-9.7543306765146564E-14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242.10913976205194</v>
      </c>
      <c r="FK132" s="59">
        <f t="shared" si="102"/>
        <v>198.24795425321133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0.69637985669079627</v>
      </c>
      <c r="FS132" s="21">
        <f>EXP(-LN(2)/2)*FS131+(1-EXP(-LN(2)/2))/(LN(2)/2)*FM132*FP132*VLOOKUP('Données projet'!$B$16,Paramètres!$A$1:$I$89,3,0)*0.475*44/12</f>
        <v>1.6608667328475476E-14</v>
      </c>
      <c r="FT132" s="22">
        <f t="shared" ref="FT132:FT153" si="132">SUM(FQ132:FS132)</f>
        <v>0.69637985669081293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108.5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108.5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63.577800000000089</v>
      </c>
      <c r="D133" s="11">
        <f t="shared" ref="D133:D196" si="140">IFERROR(EXP(-1.0587+0.8836*LN(C133)+0.284),0)</f>
        <v>18.069777334463591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346.64410026210902</v>
      </c>
      <c r="H133" s="67">
        <f t="shared" si="110"/>
        <v>540.03619719085759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108.5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4.6111381379887463E-14</v>
      </c>
      <c r="P133" s="13">
        <f t="shared" ref="P133:P196" si="141">EXP(-1.0587+0.8836*LN(O133)+0.284)</f>
        <v>7.5804141040779151E-13</v>
      </c>
      <c r="Q133" s="20">
        <f t="shared" si="108"/>
        <v>1.4005661123635408E-12</v>
      </c>
      <c r="R133" s="59">
        <f t="shared" si="109"/>
        <v>434.50000000000142</v>
      </c>
      <c r="S133" s="59">
        <f ca="1">AVERAGE(OFFSET($R$3,0,0,'Données projet'!$E$9+1,1))-AVERAGE(OFFSET($H$3,0,0,'Données projet'!$E$9+1,1))</f>
        <v>273.89826011924487</v>
      </c>
      <c r="T133" s="59">
        <f t="shared" ref="T133:T196" si="142">$T$3</f>
        <v>332.17519939974227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0.5316485244544219</v>
      </c>
      <c r="AB133" s="21">
        <f>EXP(-LN(2)/2)*AB132+(1-EXP(-LN(2)/2))/(LN(2)/2)*V133*Y133*VLOOKUP('Données projet'!$B$9,Paramètres!$A$1:$I$89,3,0)*0.475*44/12</f>
        <v>9.7455992983225659E-15</v>
      </c>
      <c r="AC133" s="22">
        <f t="shared" si="111"/>
        <v>0.53164852445443167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108.5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-5.3205440053716299E-14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293.42903587188346</v>
      </c>
      <c r="AO133" s="59">
        <f t="shared" ref="AO133:AO196" si="144">$AO$3</f>
        <v>267.80827667062124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0.43260733454063055</v>
      </c>
      <c r="AV133" s="21">
        <f>EXP(-LN(2)/25)*AV132+(1-EXP(-LN(2)/25))/(LN(2)/25)*Calculateur!AQ133*Calculateur!AS133*VLOOKUP('Données projet'!$B$10,Paramètres!$A$1:$I$89,3,0)*0.475*44/12</f>
        <v>0.49096652212457675</v>
      </c>
      <c r="AW133" s="21">
        <f>EXP(-LN(2)/2)*AW132+(1-EXP(-LN(2)/2))/(LN(2)/2)*AQ133*AT133*VLOOKUP('Données projet'!$B$10,Paramètres!$A$1:$I$89,3,0)*0.475*44/12</f>
        <v>8.7327269684820336E-15</v>
      </c>
      <c r="AX133" s="21">
        <f t="shared" si="114"/>
        <v>0.92357385666521608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108.5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-1.0286385077051818E-13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324.41828402031939</v>
      </c>
      <c r="BJ133" s="59">
        <f t="shared" ref="BJ133:BJ196" si="146">$BJ$3</f>
        <v>233.01060088065992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0.19412113578061965</v>
      </c>
      <c r="BR133" s="21">
        <f>EXP(-LN(2)/2)*BR132+(1-EXP(-LN(2)/2))/(LN(2)/2)*BL133*BO133*VLOOKUP('Données projet'!$B$11,Paramètres!$A$1:$I$89,3,0)*0.475*44/12</f>
        <v>5.4972451963206013E-15</v>
      </c>
      <c r="BS133" s="22">
        <f t="shared" si="117"/>
        <v>0.19412113578062515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108.5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279.00060755204919</v>
      </c>
      <c r="CE133" s="59">
        <f t="shared" ref="CE133:CE196" si="148">$CE$3</f>
        <v>333.91128554211014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1.0076177964345039</v>
      </c>
      <c r="CL133" s="21">
        <f>EXP(-LN(2)/25)*CL132+(1-EXP(-LN(2)/25))/(LN(2)/25)*Calculateur!CG133*Calculateur!CI133*VLOOKUP('Données projet'!$B$12,Paramètres!$A$1:$I$89,3,0)*0.475*44/12</f>
        <v>1.7394195990098387</v>
      </c>
      <c r="CM133" s="21">
        <f>EXP(-LN(2)/2)*CM132+(1-EXP(-LN(2)/2))/(LN(2)/2)*CG133*CJ133*VLOOKUP('Données projet'!$B$12,Paramètres!$A$1:$I$89,3,0)*0.475*44/12</f>
        <v>1.9143698837133362E-14</v>
      </c>
      <c r="CN133" s="22">
        <f t="shared" si="120"/>
        <v>2.7470373954443619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108.5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-6.7984728957526396E-14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380.01315081072897</v>
      </c>
      <c r="CZ133" s="59">
        <f t="shared" ref="CZ133:CZ196" si="150">$CZ$3</f>
        <v>404.90871625409181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0.4828168607915338</v>
      </c>
      <c r="DG133" s="21">
        <f>EXP(-LN(2)/25)*DG132+(1-EXP(-LN(2)/25))/(LN(2)/25)*Calculateur!DB133*Calculateur!DD133*VLOOKUP('Données projet'!$B$13,Paramètres!$A$1:$I$89,3,0)*0.475*44/12</f>
        <v>1.3337323866054296</v>
      </c>
      <c r="DH133" s="21">
        <f>EXP(-LN(2)/2)*DH132+(1-EXP(-LN(2)/2))/(LN(2)/2)*DB133*DE133*VLOOKUP('Données projet'!$B$13,Paramètres!$A$1:$I$89,3,0)*0.475*44/12</f>
        <v>2.6914767406943887E-14</v>
      </c>
      <c r="DI133" s="22">
        <f t="shared" si="123"/>
        <v>1.8165492473969902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108.5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-5.6843418860808015E-14</v>
      </c>
      <c r="DP133" s="17">
        <f>DO133*VLOOKUP('Données projet'!$B$14,Paramètres!$A$1:$I$89,3,0)*VLOOKUP('Données projet'!$B$14,Paramètres!$A$1:$I$89,5,0)</f>
        <v>-5.1431925385259088E-14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320.81451813551064</v>
      </c>
      <c r="DU133" s="59">
        <f t="shared" ref="DU133:DU196" si="152">$DU$3</f>
        <v>522.80818268773976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0.2533255436679317</v>
      </c>
      <c r="EB133" s="21">
        <f>EXP(-LN(2)/25)*EB132+(1-EXP(-LN(2)/25))/(LN(2)/25)*Calculateur!DW133*Calculateur!DY133*VLOOKUP('Données projet'!$B$14,Paramètres!$A$1:$I$89,3,0)*0.475*44/12</f>
        <v>0.65162245615298586</v>
      </c>
      <c r="EC133" s="21">
        <f>EXP(-LN(2)/2)*EC132+(1-EXP(-LN(2)/2))/(LN(2)/2)*DW133*DZ133*VLOOKUP('Données projet'!$B$14,Paramètres!$A$1:$I$89,3,0)*0.475*44/12</f>
        <v>5.3191970878043065E-15</v>
      </c>
      <c r="ED133" s="22">
        <f t="shared" si="126"/>
        <v>0.90494799982092289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108.5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228.3393311631487</v>
      </c>
      <c r="EP133" s="59">
        <f t="shared" ref="EP133:EP196" si="154">$EP$3</f>
        <v>266.26050497804033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0.85736197092753852</v>
      </c>
      <c r="EW133" s="21">
        <f>EXP(-LN(2)/25)*EW132+(1-EXP(-LN(2)/25))/(LN(2)/25)*Calculateur!ER133*Calculateur!ET133*VLOOKUP('Données projet'!$B$15,Paramètres!$A$1:$I$89,3,0)*0.475*44/12</f>
        <v>0.77068014074723845</v>
      </c>
      <c r="EX133" s="21">
        <f>EXP(-LN(2)/2)*EX132+(1-EXP(-LN(2)/2))/(LN(2)/2)*ER133*EU133*VLOOKUP('Données projet'!$B$15,Paramètres!$A$1:$I$89,3,0)*0.475*44/12</f>
        <v>4.8367464469782204E-15</v>
      </c>
      <c r="EY133" s="22">
        <f t="shared" si="129"/>
        <v>1.6280421116747819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108.5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-1.7053025658242404E-13</v>
      </c>
      <c r="FF133" s="17">
        <f>FE133*VLOOKUP('Données projet'!$B$16,Paramètres!$A$1:$I$89,3,0)*VLOOKUP('Données projet'!$B$16,Paramètres!$A$1:$I$89,5,0)</f>
        <v>-9.7543306765146564E-14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242.10913976205194</v>
      </c>
      <c r="FK133" s="59">
        <f t="shared" ref="FK133:FK196" si="156">$FK$3</f>
        <v>198.24795425321133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0.67733731288856136</v>
      </c>
      <c r="FS133" s="21">
        <f>EXP(-LN(2)/2)*FS132+(1-EXP(-LN(2)/2))/(LN(2)/2)*FM133*FP133*VLOOKUP('Données projet'!$B$16,Paramètres!$A$1:$I$89,3,0)*0.475*44/12</f>
        <v>1.1744101294436469E-14</v>
      </c>
      <c r="FT133" s="22">
        <f t="shared" si="132"/>
        <v>0.67733731288857313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108.5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108.5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64.066860000000091</v>
      </c>
      <c r="D134" s="11">
        <f t="shared" si="140"/>
        <v>18.19254139271305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349.24166907081718</v>
      </c>
      <c r="H134" s="67">
        <f t="shared" si="110"/>
        <v>541.10179075897531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108.5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4.6111381379887463E-14</v>
      </c>
      <c r="P134" s="13">
        <f t="shared" si="141"/>
        <v>7.5804141040779151E-13</v>
      </c>
      <c r="Q134" s="20">
        <f t="shared" si="108"/>
        <v>1.4005661123635408E-12</v>
      </c>
      <c r="R134" s="59">
        <f t="shared" si="109"/>
        <v>434.50000000000142</v>
      </c>
      <c r="S134" s="59">
        <f ca="1">AVERAGE(OFFSET($R$3,0,0,'Données projet'!$E$9+1,1))-AVERAGE(OFFSET($H$3,0,0,'Données projet'!$E$9+1,1))</f>
        <v>273.89826011924487</v>
      </c>
      <c r="T134" s="59">
        <f t="shared" si="142"/>
        <v>332.17519939974227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0.51711056759503493</v>
      </c>
      <c r="AB134" s="21">
        <f>EXP(-LN(2)/2)*AB133+(1-EXP(-LN(2)/2))/(LN(2)/2)*V134*Y134*VLOOKUP('Données projet'!$B$9,Paramètres!$A$1:$I$89,3,0)*0.475*44/12</f>
        <v>6.8911793505707458E-15</v>
      </c>
      <c r="AC134" s="22">
        <f t="shared" si="111"/>
        <v>0.51711056759504181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108.5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-5.3205440053716299E-14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293.42903587188346</v>
      </c>
      <c r="AO134" s="59">
        <f t="shared" si="144"/>
        <v>267.80827667062124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0.42412416857470842</v>
      </c>
      <c r="AV134" s="21">
        <f>EXP(-LN(2)/25)*AV133+(1-EXP(-LN(2)/25))/(LN(2)/25)*Calculateur!AQ134*Calculateur!AS134*VLOOKUP('Données projet'!$B$10,Paramètres!$A$1:$I$89,3,0)*0.475*44/12</f>
        <v>0.47754101675827293</v>
      </c>
      <c r="AW134" s="21">
        <f>EXP(-LN(2)/2)*AW133+(1-EXP(-LN(2)/2))/(LN(2)/2)*AQ134*AT134*VLOOKUP('Données projet'!$B$10,Paramètres!$A$1:$I$89,3,0)*0.475*44/12</f>
        <v>6.1749704576642879E-15</v>
      </c>
      <c r="AX134" s="21">
        <f t="shared" si="114"/>
        <v>0.90166518533298756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108.5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-1.0286385077051818E-13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324.41828402031939</v>
      </c>
      <c r="BJ134" s="59">
        <f t="shared" si="146"/>
        <v>233.01060088065992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0.18881288311431174</v>
      </c>
      <c r="BR134" s="21">
        <f>EXP(-LN(2)/2)*BR133+(1-EXP(-LN(2)/2))/(LN(2)/2)*BL134*BO134*VLOOKUP('Données projet'!$B$11,Paramètres!$A$1:$I$89,3,0)*0.475*44/12</f>
        <v>3.8871393561634708E-15</v>
      </c>
      <c r="BS134" s="22">
        <f t="shared" si="117"/>
        <v>0.18881288311431563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108.5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279.00060755204919</v>
      </c>
      <c r="CE134" s="59">
        <f t="shared" si="148"/>
        <v>333.91128554211014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0.98785902603259379</v>
      </c>
      <c r="CL134" s="21">
        <f>EXP(-LN(2)/25)*CL133+(1-EXP(-LN(2)/25))/(LN(2)/25)*Calculateur!CG134*Calculateur!CI134*VLOOKUP('Données projet'!$B$12,Paramètres!$A$1:$I$89,3,0)*0.475*44/12</f>
        <v>1.6918550786028135</v>
      </c>
      <c r="CM134" s="21">
        <f>EXP(-LN(2)/2)*CM133+(1-EXP(-LN(2)/2))/(LN(2)/2)*CG134*CJ134*VLOOKUP('Données projet'!$B$12,Paramètres!$A$1:$I$89,3,0)*0.475*44/12</f>
        <v>1.3536639264730025E-14</v>
      </c>
      <c r="CN134" s="22">
        <f t="shared" si="120"/>
        <v>2.6797141046354205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108.5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-6.7984728957526396E-14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380.01315081072897</v>
      </c>
      <c r="CZ134" s="59">
        <f t="shared" si="150"/>
        <v>404.90871625409181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0.47334911664061852</v>
      </c>
      <c r="DG134" s="21">
        <f>EXP(-LN(2)/25)*DG133+(1-EXP(-LN(2)/25))/(LN(2)/25)*Calculateur!DB134*Calculateur!DD134*VLOOKUP('Données projet'!$B$13,Paramètres!$A$1:$I$89,3,0)*0.475*44/12</f>
        <v>1.2972614043557662</v>
      </c>
      <c r="DH134" s="21">
        <f>EXP(-LN(2)/2)*DH133+(1-EXP(-LN(2)/2))/(LN(2)/2)*DB134*DE134*VLOOKUP('Données projet'!$B$13,Paramètres!$A$1:$I$89,3,0)*0.475*44/12</f>
        <v>1.9031614547508692E-14</v>
      </c>
      <c r="DI134" s="22">
        <f t="shared" si="123"/>
        <v>1.7706105209964038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108.5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-5.6843418860808015E-14</v>
      </c>
      <c r="DP134" s="17">
        <f>DO134*VLOOKUP('Données projet'!$B$14,Paramètres!$A$1:$I$89,3,0)*VLOOKUP('Données projet'!$B$14,Paramètres!$A$1:$I$89,5,0)</f>
        <v>-5.1431925385259088E-14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320.81451813551064</v>
      </c>
      <c r="DU134" s="59">
        <f t="shared" si="152"/>
        <v>522.80818268773976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0.24835798426992828</v>
      </c>
      <c r="EB134" s="21">
        <f>EXP(-LN(2)/25)*EB133+(1-EXP(-LN(2)/25))/(LN(2)/25)*Calculateur!DW134*Calculateur!DY134*VLOOKUP('Données projet'!$B$14,Paramètres!$A$1:$I$89,3,0)*0.475*44/12</f>
        <v>0.63380380582214679</v>
      </c>
      <c r="EC134" s="21">
        <f>EXP(-LN(2)/2)*EC133+(1-EXP(-LN(2)/2))/(LN(2)/2)*DW134*DZ134*VLOOKUP('Données projet'!$B$14,Paramètres!$A$1:$I$89,3,0)*0.475*44/12</f>
        <v>3.7612403312541605E-15</v>
      </c>
      <c r="ED134" s="22">
        <f t="shared" si="126"/>
        <v>0.88216179009207885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108.5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228.3393311631487</v>
      </c>
      <c r="EP134" s="59">
        <f t="shared" si="154"/>
        <v>266.26050497804033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0.84054962561681579</v>
      </c>
      <c r="EW134" s="21">
        <f>EXP(-LN(2)/25)*EW133+(1-EXP(-LN(2)/25))/(LN(2)/25)*Calculateur!ER134*Calculateur!ET134*VLOOKUP('Données projet'!$B$15,Paramètres!$A$1:$I$89,3,0)*0.475*44/12</f>
        <v>0.74960585177019801</v>
      </c>
      <c r="EX134" s="21">
        <f>EXP(-LN(2)/2)*EX133+(1-EXP(-LN(2)/2))/(LN(2)/2)*ER134*EU134*VLOOKUP('Données projet'!$B$15,Paramètres!$A$1:$I$89,3,0)*0.475*44/12</f>
        <v>3.4200962115382397E-15</v>
      </c>
      <c r="EY134" s="22">
        <f t="shared" si="129"/>
        <v>1.590155477387017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108.5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-1.7053025658242404E-13</v>
      </c>
      <c r="FF134" s="17">
        <f>FE134*VLOOKUP('Données projet'!$B$16,Paramètres!$A$1:$I$89,3,0)*VLOOKUP('Données projet'!$B$16,Paramètres!$A$1:$I$89,5,0)</f>
        <v>-9.7543306765146564E-14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242.10913976205194</v>
      </c>
      <c r="FK134" s="59">
        <f t="shared" si="156"/>
        <v>198.24795425321133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0.65881548844800242</v>
      </c>
      <c r="FS134" s="21">
        <f>EXP(-LN(2)/2)*FS133+(1-EXP(-LN(2)/2))/(LN(2)/2)*FM134*FP134*VLOOKUP('Données projet'!$B$16,Paramètres!$A$1:$I$89,3,0)*0.475*44/12</f>
        <v>8.3043336642377378E-15</v>
      </c>
      <c r="FT134" s="22">
        <f t="shared" si="132"/>
        <v>0.65881548844801074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108.5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108.5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64.555920000000086</v>
      </c>
      <c r="D135" s="11">
        <f t="shared" si="140"/>
        <v>18.31519641633334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351.83877496057352</v>
      </c>
      <c r="H135" s="67">
        <f t="shared" si="110"/>
        <v>542.16719442511408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108.5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4.6111381379887463E-14</v>
      </c>
      <c r="P135" s="13">
        <f t="shared" si="141"/>
        <v>7.5804141040779151E-13</v>
      </c>
      <c r="Q135" s="20">
        <f t="shared" si="108"/>
        <v>1.4005661123635408E-12</v>
      </c>
      <c r="R135" s="59">
        <f t="shared" si="109"/>
        <v>434.50000000000142</v>
      </c>
      <c r="S135" s="59">
        <f ca="1">AVERAGE(OFFSET($R$3,0,0,'Données projet'!$E$9+1,1))-AVERAGE(OFFSET($H$3,0,0,'Données projet'!$E$9+1,1))</f>
        <v>273.89826011924487</v>
      </c>
      <c r="T135" s="59">
        <f t="shared" si="142"/>
        <v>332.17519939974227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0.50297015193048578</v>
      </c>
      <c r="AB135" s="21">
        <f>EXP(-LN(2)/2)*AB134+(1-EXP(-LN(2)/2))/(LN(2)/2)*V135*Y135*VLOOKUP('Données projet'!$B$9,Paramètres!$A$1:$I$89,3,0)*0.475*44/12</f>
        <v>4.872799649161283E-15</v>
      </c>
      <c r="AC135" s="22">
        <f t="shared" si="111"/>
        <v>0.50297015193049066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108.5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-5.3205440053716299E-14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293.42903587188346</v>
      </c>
      <c r="AO135" s="59">
        <f t="shared" si="144"/>
        <v>267.80827667062124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0.41580735231915766</v>
      </c>
      <c r="AV135" s="21">
        <f>EXP(-LN(2)/25)*AV134+(1-EXP(-LN(2)/25))/(LN(2)/25)*Calculateur!AQ135*Calculateur!AS135*VLOOKUP('Données projet'!$B$10,Paramètres!$A$1:$I$89,3,0)*0.475*44/12</f>
        <v>0.46448263254222732</v>
      </c>
      <c r="AW135" s="21">
        <f>EXP(-LN(2)/2)*AW134+(1-EXP(-LN(2)/2))/(LN(2)/2)*AQ135*AT135*VLOOKUP('Données projet'!$B$10,Paramètres!$A$1:$I$89,3,0)*0.475*44/12</f>
        <v>4.3663634842410168E-15</v>
      </c>
      <c r="AX135" s="21">
        <f t="shared" si="114"/>
        <v>0.88028998486138932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108.5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-1.0286385077051818E-13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324.41828402031939</v>
      </c>
      <c r="BJ135" s="59">
        <f t="shared" si="146"/>
        <v>233.01060088065992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0.1836497848963129</v>
      </c>
      <c r="BR135" s="21">
        <f>EXP(-LN(2)/2)*BR134+(1-EXP(-LN(2)/2))/(LN(2)/2)*BL135*BO135*VLOOKUP('Données projet'!$B$11,Paramètres!$A$1:$I$89,3,0)*0.475*44/12</f>
        <v>2.7486225981603006E-15</v>
      </c>
      <c r="BS135" s="22">
        <f t="shared" si="117"/>
        <v>0.18364978489631564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108.5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279.00060755204919</v>
      </c>
      <c r="CE135" s="59">
        <f t="shared" si="148"/>
        <v>333.91128554211014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0.96848771306660519</v>
      </c>
      <c r="CL135" s="21">
        <f>EXP(-LN(2)/25)*CL134+(1-EXP(-LN(2)/25))/(LN(2)/25)*Calculateur!CG135*Calculateur!CI135*VLOOKUP('Données projet'!$B$12,Paramètres!$A$1:$I$89,3,0)*0.475*44/12</f>
        <v>1.6455912125076277</v>
      </c>
      <c r="CM135" s="21">
        <f>EXP(-LN(2)/2)*CM134+(1-EXP(-LN(2)/2))/(LN(2)/2)*CG135*CJ135*VLOOKUP('Données projet'!$B$12,Paramètres!$A$1:$I$89,3,0)*0.475*44/12</f>
        <v>9.5718494185666812E-15</v>
      </c>
      <c r="CN135" s="22">
        <f t="shared" si="120"/>
        <v>2.6140789255742427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108.5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-6.7984728957526396E-14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380.01315081072897</v>
      </c>
      <c r="CZ135" s="59">
        <f t="shared" si="150"/>
        <v>404.90871625409181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0.46406702917774895</v>
      </c>
      <c r="DG135" s="21">
        <f>EXP(-LN(2)/25)*DG134+(1-EXP(-LN(2)/25))/(LN(2)/25)*Calculateur!DB135*Calculateur!DD135*VLOOKUP('Données projet'!$B$13,Paramètres!$A$1:$I$89,3,0)*0.475*44/12</f>
        <v>1.2617877230336454</v>
      </c>
      <c r="DH135" s="21">
        <f>EXP(-LN(2)/2)*DH134+(1-EXP(-LN(2)/2))/(LN(2)/2)*DB135*DE135*VLOOKUP('Données projet'!$B$13,Paramètres!$A$1:$I$89,3,0)*0.475*44/12</f>
        <v>1.3457383703471944E-14</v>
      </c>
      <c r="DI135" s="22">
        <f t="shared" si="123"/>
        <v>1.7258547522114078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108.5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-5.6843418860808015E-14</v>
      </c>
      <c r="DP135" s="17">
        <f>DO135*VLOOKUP('Données projet'!$B$14,Paramètres!$A$1:$I$89,3,0)*VLOOKUP('Données projet'!$B$14,Paramètres!$A$1:$I$89,5,0)</f>
        <v>-5.1431925385259088E-14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320.81451813551064</v>
      </c>
      <c r="DU135" s="59">
        <f t="shared" si="152"/>
        <v>522.80818268773976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0.24348783568180765</v>
      </c>
      <c r="EB135" s="21">
        <f>EXP(-LN(2)/25)*EB134+(1-EXP(-LN(2)/25))/(LN(2)/25)*Calculateur!DW135*Calculateur!DY135*VLOOKUP('Données projet'!$B$14,Paramètres!$A$1:$I$89,3,0)*0.475*44/12</f>
        <v>0.61647240742164666</v>
      </c>
      <c r="EC135" s="21">
        <f>EXP(-LN(2)/2)*EC134+(1-EXP(-LN(2)/2))/(LN(2)/2)*DW135*DZ135*VLOOKUP('Données projet'!$B$14,Paramètres!$A$1:$I$89,3,0)*0.475*44/12</f>
        <v>2.6595985439021533E-15</v>
      </c>
      <c r="ED135" s="22">
        <f t="shared" si="126"/>
        <v>0.85996024310345698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108.5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228.3393311631487</v>
      </c>
      <c r="EP135" s="59">
        <f t="shared" si="154"/>
        <v>266.26050497804033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0.8240669601431182</v>
      </c>
      <c r="EW135" s="21">
        <f>EXP(-LN(2)/25)*EW134+(1-EXP(-LN(2)/25))/(LN(2)/25)*Calculateur!ER135*Calculateur!ET135*VLOOKUP('Données projet'!$B$15,Paramètres!$A$1:$I$89,3,0)*0.475*44/12</f>
        <v>0.72910784033348341</v>
      </c>
      <c r="EX135" s="21">
        <f>EXP(-LN(2)/2)*EX134+(1-EXP(-LN(2)/2))/(LN(2)/2)*ER135*EU135*VLOOKUP('Données projet'!$B$15,Paramètres!$A$1:$I$89,3,0)*0.475*44/12</f>
        <v>2.4183732234891102E-15</v>
      </c>
      <c r="EY135" s="22">
        <f t="shared" si="129"/>
        <v>1.5531748004766042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108.5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-1.7053025658242404E-13</v>
      </c>
      <c r="FF135" s="17">
        <f>FE135*VLOOKUP('Données projet'!$B$16,Paramètres!$A$1:$I$89,3,0)*VLOOKUP('Données projet'!$B$16,Paramètres!$A$1:$I$89,5,0)</f>
        <v>-9.7543306765146564E-14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242.10913976205194</v>
      </c>
      <c r="FK135" s="59">
        <f t="shared" si="156"/>
        <v>198.24795425321133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0.64080014427079102</v>
      </c>
      <c r="FS135" s="21">
        <f>EXP(-LN(2)/2)*FS134+(1-EXP(-LN(2)/2))/(LN(2)/2)*FM135*FP135*VLOOKUP('Données projet'!$B$16,Paramètres!$A$1:$I$89,3,0)*0.475*44/12</f>
        <v>5.8720506472182346E-15</v>
      </c>
      <c r="FT135" s="22">
        <f t="shared" si="132"/>
        <v>0.6408001442707969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108.5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108.5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65.044980000000081</v>
      </c>
      <c r="D136" s="11">
        <f t="shared" si="140"/>
        <v>18.437743327104297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354.43542184489934</v>
      </c>
      <c r="H136" s="67">
        <f t="shared" si="110"/>
        <v>543.23240979470677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108.5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4.6111381379887463E-14</v>
      </c>
      <c r="P136" s="13">
        <f t="shared" si="141"/>
        <v>7.5804141040779151E-13</v>
      </c>
      <c r="Q136" s="20">
        <f t="shared" si="108"/>
        <v>1.4005661123635408E-12</v>
      </c>
      <c r="R136" s="59">
        <f t="shared" si="109"/>
        <v>434.50000000000142</v>
      </c>
      <c r="S136" s="59">
        <f ca="1">AVERAGE(OFFSET($R$3,0,0,'Données projet'!$E$9+1,1))-AVERAGE(OFFSET($H$3,0,0,'Données projet'!$E$9+1,1))</f>
        <v>273.89826011924487</v>
      </c>
      <c r="T136" s="59">
        <f t="shared" si="142"/>
        <v>332.17519939974227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0.48921640667589589</v>
      </c>
      <c r="AB136" s="21">
        <f>EXP(-LN(2)/2)*AB135+(1-EXP(-LN(2)/2))/(LN(2)/2)*V136*Y136*VLOOKUP('Données projet'!$B$9,Paramètres!$A$1:$I$89,3,0)*0.475*44/12</f>
        <v>3.4455896752853729E-15</v>
      </c>
      <c r="AC136" s="22">
        <f t="shared" si="111"/>
        <v>0.48921640667589933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108.5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-5.3205440053716299E-14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293.42903587188346</v>
      </c>
      <c r="AO136" s="59">
        <f t="shared" si="144"/>
        <v>267.80827667062124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0.40765362375762126</v>
      </c>
      <c r="AV136" s="21">
        <f>EXP(-LN(2)/25)*AV135+(1-EXP(-LN(2)/25))/(LN(2)/25)*Calculateur!AQ136*Calculateur!AS136*VLOOKUP('Données projet'!$B$10,Paramètres!$A$1:$I$89,3,0)*0.475*44/12</f>
        <v>0.45178133052928005</v>
      </c>
      <c r="AW136" s="21">
        <f>EXP(-LN(2)/2)*AW135+(1-EXP(-LN(2)/2))/(LN(2)/2)*AQ136*AT136*VLOOKUP('Données projet'!$B$10,Paramètres!$A$1:$I$89,3,0)*0.475*44/12</f>
        <v>3.087485228832144E-15</v>
      </c>
      <c r="AX136" s="21">
        <f t="shared" si="114"/>
        <v>0.85943495428690442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108.5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-1.0286385077051818E-13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324.41828402031939</v>
      </c>
      <c r="BJ136" s="59">
        <f t="shared" si="146"/>
        <v>233.01060088065992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0.17862787187060078</v>
      </c>
      <c r="BR136" s="21">
        <f>EXP(-LN(2)/2)*BR135+(1-EXP(-LN(2)/2))/(LN(2)/2)*BL136*BO136*VLOOKUP('Données projet'!$B$11,Paramètres!$A$1:$I$89,3,0)*0.475*44/12</f>
        <v>1.9435696780817354E-15</v>
      </c>
      <c r="BS136" s="22">
        <f t="shared" si="117"/>
        <v>0.17862787187060272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108.5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279.00060755204919</v>
      </c>
      <c r="CE136" s="59">
        <f t="shared" si="148"/>
        <v>333.91128554211014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0.94949625973254537</v>
      </c>
      <c r="CL136" s="21">
        <f>EXP(-LN(2)/25)*CL135+(1-EXP(-LN(2)/25))/(LN(2)/25)*Calculateur!CG136*Calculateur!CI136*VLOOKUP('Données projet'!$B$12,Paramètres!$A$1:$I$89,3,0)*0.475*44/12</f>
        <v>1.6005924342637259</v>
      </c>
      <c r="CM136" s="21">
        <f>EXP(-LN(2)/2)*CM135+(1-EXP(-LN(2)/2))/(LN(2)/2)*CG136*CJ136*VLOOKUP('Données projet'!$B$12,Paramètres!$A$1:$I$89,3,0)*0.475*44/12</f>
        <v>6.7683196323650125E-15</v>
      </c>
      <c r="CN136" s="22">
        <f t="shared" si="120"/>
        <v>2.5500886939962779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108.5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-6.7984728957526396E-14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380.01315081072897</v>
      </c>
      <c r="CZ136" s="59">
        <f t="shared" si="150"/>
        <v>404.90871625409181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0.45496695778851193</v>
      </c>
      <c r="DG136" s="21">
        <f>EXP(-LN(2)/25)*DG135+(1-EXP(-LN(2)/25))/(LN(2)/25)*Calculateur!DB136*Calculateur!DD136*VLOOKUP('Données projet'!$B$13,Paramètres!$A$1:$I$89,3,0)*0.475*44/12</f>
        <v>1.227284071392758</v>
      </c>
      <c r="DH136" s="21">
        <f>EXP(-LN(2)/2)*DH135+(1-EXP(-LN(2)/2))/(LN(2)/2)*DB136*DE136*VLOOKUP('Données projet'!$B$13,Paramètres!$A$1:$I$89,3,0)*0.475*44/12</f>
        <v>9.515807273754346E-15</v>
      </c>
      <c r="DI136" s="22">
        <f t="shared" si="123"/>
        <v>1.6822510291812793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108.5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-5.6843418860808015E-14</v>
      </c>
      <c r="DP136" s="17">
        <f>DO136*VLOOKUP('Données projet'!$B$14,Paramètres!$A$1:$I$89,3,0)*VLOOKUP('Données projet'!$B$14,Paramètres!$A$1:$I$89,5,0)</f>
        <v>-5.1431925385259088E-14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320.81451813551064</v>
      </c>
      <c r="DU136" s="59">
        <f t="shared" si="152"/>
        <v>522.80818268773976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0.23871318773700273</v>
      </c>
      <c r="EB136" s="21">
        <f>EXP(-LN(2)/25)*EB135+(1-EXP(-LN(2)/25))/(LN(2)/25)*Calculateur!DW136*Calculateur!DY136*VLOOKUP('Données projet'!$B$14,Paramètres!$A$1:$I$89,3,0)*0.475*44/12</f>
        <v>0.59961493702182678</v>
      </c>
      <c r="EC136" s="21">
        <f>EXP(-LN(2)/2)*EC135+(1-EXP(-LN(2)/2))/(LN(2)/2)*DW136*DZ136*VLOOKUP('Données projet'!$B$14,Paramètres!$A$1:$I$89,3,0)*0.475*44/12</f>
        <v>1.8806201656270803E-15</v>
      </c>
      <c r="ED136" s="22">
        <f t="shared" si="126"/>
        <v>0.83832812475883134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108.5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228.3393311631487</v>
      </c>
      <c r="EP136" s="59">
        <f t="shared" si="154"/>
        <v>266.26050497804033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0.80790750968592662</v>
      </c>
      <c r="EW136" s="21">
        <f>EXP(-LN(2)/25)*EW135+(1-EXP(-LN(2)/25))/(LN(2)/25)*Calculateur!ER136*Calculateur!ET136*VLOOKUP('Données projet'!$B$15,Paramètres!$A$1:$I$89,3,0)*0.475*44/12</f>
        <v>0.70917034809744939</v>
      </c>
      <c r="EX136" s="21">
        <f>EXP(-LN(2)/2)*EX135+(1-EXP(-LN(2)/2))/(LN(2)/2)*ER136*EU136*VLOOKUP('Données projet'!$B$15,Paramètres!$A$1:$I$89,3,0)*0.475*44/12</f>
        <v>1.7100481057691199E-15</v>
      </c>
      <c r="EY136" s="22">
        <f t="shared" si="129"/>
        <v>1.5170778577833777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108.5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-1.7053025658242404E-13</v>
      </c>
      <c r="FF136" s="17">
        <f>FE136*VLOOKUP('Données projet'!$B$16,Paramètres!$A$1:$I$89,3,0)*VLOOKUP('Données projet'!$B$16,Paramètres!$A$1:$I$89,5,0)</f>
        <v>-9.7543306765146564E-14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242.10913976205194</v>
      </c>
      <c r="FK136" s="59">
        <f t="shared" si="156"/>
        <v>198.24795425321133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0.62327743062749119</v>
      </c>
      <c r="FS136" s="21">
        <f>EXP(-LN(2)/2)*FS135+(1-EXP(-LN(2)/2))/(LN(2)/2)*FM136*FP136*VLOOKUP('Données projet'!$B$16,Paramètres!$A$1:$I$89,3,0)*0.475*44/12</f>
        <v>4.1521668321188689E-15</v>
      </c>
      <c r="FT136" s="22">
        <f t="shared" si="132"/>
        <v>0.6232774306274953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108.5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108.5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65.534040000000076</v>
      </c>
      <c r="D137" s="11">
        <f t="shared" si="140"/>
        <v>18.560183032143748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357.03161357506679</v>
      </c>
      <c r="H137" s="67">
        <f t="shared" si="110"/>
        <v>544.29743844765039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108.5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4.6111381379887463E-14</v>
      </c>
      <c r="P137" s="13">
        <f t="shared" si="141"/>
        <v>7.5804141040779151E-13</v>
      </c>
      <c r="Q137" s="20">
        <f t="shared" si="108"/>
        <v>1.4005661123635408E-12</v>
      </c>
      <c r="R137" s="59">
        <f t="shared" si="109"/>
        <v>434.50000000000142</v>
      </c>
      <c r="S137" s="59">
        <f ca="1">AVERAGE(OFFSET($R$3,0,0,'Données projet'!$E$9+1,1))-AVERAGE(OFFSET($H$3,0,0,'Données projet'!$E$9+1,1))</f>
        <v>273.89826011924487</v>
      </c>
      <c r="T137" s="59">
        <f t="shared" si="142"/>
        <v>332.17519939974227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0.47583875830857081</v>
      </c>
      <c r="AB137" s="21">
        <f>EXP(-LN(2)/2)*AB136+(1-EXP(-LN(2)/2))/(LN(2)/2)*V137*Y137*VLOOKUP('Données projet'!$B$9,Paramètres!$A$1:$I$89,3,0)*0.475*44/12</f>
        <v>2.4363998245806415E-15</v>
      </c>
      <c r="AC137" s="22">
        <f t="shared" si="111"/>
        <v>0.47583875830857325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108.5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-5.3205440053716299E-14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293.42903587188346</v>
      </c>
      <c r="AO137" s="59">
        <f t="shared" si="144"/>
        <v>267.80827667062124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0.39965978483989323</v>
      </c>
      <c r="AV137" s="21">
        <f>EXP(-LN(2)/25)*AV136+(1-EXP(-LN(2)/25))/(LN(2)/25)*Calculateur!AQ137*Calculateur!AS137*VLOOKUP('Données projet'!$B$10,Paramètres!$A$1:$I$89,3,0)*0.475*44/12</f>
        <v>0.43942734628780927</v>
      </c>
      <c r="AW137" s="21">
        <f>EXP(-LN(2)/2)*AW136+(1-EXP(-LN(2)/2))/(LN(2)/2)*AQ137*AT137*VLOOKUP('Données projet'!$B$10,Paramètres!$A$1:$I$89,3,0)*0.475*44/12</f>
        <v>2.1831817421205084E-15</v>
      </c>
      <c r="AX137" s="21">
        <f t="shared" si="114"/>
        <v>0.83908713112770472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108.5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-1.0286385077051818E-13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324.41828402031939</v>
      </c>
      <c r="BJ137" s="59">
        <f t="shared" si="146"/>
        <v>233.01060088065992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0.17374328332066769</v>
      </c>
      <c r="BR137" s="21">
        <f>EXP(-LN(2)/2)*BR136+(1-EXP(-LN(2)/2))/(LN(2)/2)*BL137*BO137*VLOOKUP('Données projet'!$B$11,Paramètres!$A$1:$I$89,3,0)*0.475*44/12</f>
        <v>1.3743112990801503E-15</v>
      </c>
      <c r="BS137" s="22">
        <f t="shared" si="117"/>
        <v>0.17374328332066907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108.5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279.00060755204919</v>
      </c>
      <c r="CE137" s="59">
        <f t="shared" si="148"/>
        <v>333.91128554211014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0.93087721721472372</v>
      </c>
      <c r="CL137" s="21">
        <f>EXP(-LN(2)/25)*CL136+(1-EXP(-LN(2)/25))/(LN(2)/25)*Calculateur!CG137*Calculateur!CI137*VLOOKUP('Données projet'!$B$12,Paramètres!$A$1:$I$89,3,0)*0.475*44/12</f>
        <v>1.5568241499772864</v>
      </c>
      <c r="CM137" s="21">
        <f>EXP(-LN(2)/2)*CM136+(1-EXP(-LN(2)/2))/(LN(2)/2)*CG137*CJ137*VLOOKUP('Données projet'!$B$12,Paramètres!$A$1:$I$89,3,0)*0.475*44/12</f>
        <v>4.7859247092833406E-15</v>
      </c>
      <c r="CN137" s="22">
        <f t="shared" si="120"/>
        <v>2.487701367192015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108.5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-6.7984728957526396E-14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380.01315081072897</v>
      </c>
      <c r="CZ137" s="59">
        <f t="shared" si="150"/>
        <v>404.90871625409181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0.44604533324872236</v>
      </c>
      <c r="DG137" s="21">
        <f>EXP(-LN(2)/25)*DG136+(1-EXP(-LN(2)/25))/(LN(2)/25)*Calculateur!DB137*Calculateur!DD137*VLOOKUP('Données projet'!$B$13,Paramètres!$A$1:$I$89,3,0)*0.475*44/12</f>
        <v>1.1937239239204587</v>
      </c>
      <c r="DH137" s="21">
        <f>EXP(-LN(2)/2)*DH136+(1-EXP(-LN(2)/2))/(LN(2)/2)*DB137*DE137*VLOOKUP('Données projet'!$B$13,Paramètres!$A$1:$I$89,3,0)*0.475*44/12</f>
        <v>6.7286918517359718E-15</v>
      </c>
      <c r="DI137" s="22">
        <f t="shared" si="123"/>
        <v>1.6397692571691878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108.5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-5.6843418860808015E-14</v>
      </c>
      <c r="DP137" s="17">
        <f>DO137*VLOOKUP('Données projet'!$B$14,Paramètres!$A$1:$I$89,3,0)*VLOOKUP('Données projet'!$B$14,Paramètres!$A$1:$I$89,5,0)</f>
        <v>-5.1431925385259088E-14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320.81451813551064</v>
      </c>
      <c r="DU137" s="59">
        <f t="shared" si="152"/>
        <v>522.80818268773976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0.23403216772614777</v>
      </c>
      <c r="EB137" s="21">
        <f>EXP(-LN(2)/25)*EB136+(1-EXP(-LN(2)/25))/(LN(2)/25)*Calculateur!DW137*Calculateur!DY137*VLOOKUP('Données projet'!$B$14,Paramètres!$A$1:$I$89,3,0)*0.475*44/12</f>
        <v>0.58321843503658577</v>
      </c>
      <c r="EC137" s="21">
        <f>EXP(-LN(2)/2)*EC136+(1-EXP(-LN(2)/2))/(LN(2)/2)*DW137*DZ137*VLOOKUP('Données projet'!$B$14,Paramètres!$A$1:$I$89,3,0)*0.475*44/12</f>
        <v>1.3297992719510766E-15</v>
      </c>
      <c r="ED137" s="22">
        <f t="shared" si="126"/>
        <v>0.81725060276273487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108.5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228.3393311631487</v>
      </c>
      <c r="EP137" s="59">
        <f t="shared" si="154"/>
        <v>266.26050497804033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0.79206493619590901</v>
      </c>
      <c r="EW137" s="21">
        <f>EXP(-LN(2)/25)*EW136+(1-EXP(-LN(2)/25))/(LN(2)/25)*Calculateur!ER137*Calculateur!ET137*VLOOKUP('Données projet'!$B$15,Paramètres!$A$1:$I$89,3,0)*0.475*44/12</f>
        <v>0.68977804763507689</v>
      </c>
      <c r="EX137" s="21">
        <f>EXP(-LN(2)/2)*EX136+(1-EXP(-LN(2)/2))/(LN(2)/2)*ER137*EU137*VLOOKUP('Données projet'!$B$15,Paramètres!$A$1:$I$89,3,0)*0.475*44/12</f>
        <v>1.2091866117445551E-15</v>
      </c>
      <c r="EY137" s="22">
        <f t="shared" si="129"/>
        <v>1.481842983830987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108.5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-1.7053025658242404E-13</v>
      </c>
      <c r="FF137" s="17">
        <f>FE137*VLOOKUP('Données projet'!$B$16,Paramètres!$A$1:$I$89,3,0)*VLOOKUP('Données projet'!$B$16,Paramètres!$A$1:$I$89,5,0)</f>
        <v>-9.7543306765146564E-14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242.10913976205194</v>
      </c>
      <c r="FK137" s="59">
        <f t="shared" si="156"/>
        <v>198.24795425321133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0.60623387651024685</v>
      </c>
      <c r="FS137" s="21">
        <f>EXP(-LN(2)/2)*FS136+(1-EXP(-LN(2)/2))/(LN(2)/2)*FM137*FP137*VLOOKUP('Données projet'!$B$16,Paramètres!$A$1:$I$89,3,0)*0.475*44/12</f>
        <v>2.9360253236091173E-15</v>
      </c>
      <c r="FT137" s="22">
        <f t="shared" si="132"/>
        <v>0.60623387651024974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108.5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108.5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66.023100000000071</v>
      </c>
      <c r="D138" s="11">
        <f t="shared" si="140"/>
        <v>18.68251642424821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359.62735394154538</v>
      </c>
      <c r="H138" s="67">
        <f t="shared" si="110"/>
        <v>545.36228193889906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108.5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4.6111381379887463E-14</v>
      </c>
      <c r="P138" s="13">
        <f t="shared" si="141"/>
        <v>7.5804141040779151E-13</v>
      </c>
      <c r="Q138" s="20">
        <f t="shared" si="108"/>
        <v>1.4005661123635408E-12</v>
      </c>
      <c r="R138" s="59">
        <f t="shared" si="109"/>
        <v>434.50000000000142</v>
      </c>
      <c r="S138" s="59">
        <f ca="1">AVERAGE(OFFSET($R$3,0,0,'Données projet'!$E$9+1,1))-AVERAGE(OFFSET($H$3,0,0,'Données projet'!$E$9+1,1))</f>
        <v>273.89826011924487</v>
      </c>
      <c r="T138" s="59">
        <f t="shared" si="142"/>
        <v>332.17519939974227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0.4628269224393502</v>
      </c>
      <c r="AB138" s="21">
        <f>EXP(-LN(2)/2)*AB137+(1-EXP(-LN(2)/2))/(LN(2)/2)*V138*Y138*VLOOKUP('Données projet'!$B$9,Paramètres!$A$1:$I$89,3,0)*0.475*44/12</f>
        <v>1.7227948376426865E-15</v>
      </c>
      <c r="AC138" s="22">
        <f t="shared" si="111"/>
        <v>0.46282692243935192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108.5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-5.3205440053716299E-14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293.42903587188346</v>
      </c>
      <c r="AO138" s="59">
        <f t="shared" si="144"/>
        <v>267.80827667062124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0.39182270022758153</v>
      </c>
      <c r="AV138" s="21">
        <f>EXP(-LN(2)/25)*AV137+(1-EXP(-LN(2)/25))/(LN(2)/25)*Calculateur!AQ138*Calculateur!AS138*VLOOKUP('Données projet'!$B$10,Paramètres!$A$1:$I$89,3,0)*0.475*44/12</f>
        <v>0.4274111823950893</v>
      </c>
      <c r="AW138" s="21">
        <f>EXP(-LN(2)/2)*AW137+(1-EXP(-LN(2)/2))/(LN(2)/2)*AQ138*AT138*VLOOKUP('Données projet'!$B$10,Paramètres!$A$1:$I$89,3,0)*0.475*44/12</f>
        <v>1.543742614416072E-15</v>
      </c>
      <c r="AX138" s="21">
        <f t="shared" si="114"/>
        <v>0.81923388262267238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108.5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-1.0286385077051818E-13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324.41828402031939</v>
      </c>
      <c r="BJ138" s="59">
        <f t="shared" si="146"/>
        <v>233.01060088065992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0.16899226410150187</v>
      </c>
      <c r="BR138" s="21">
        <f>EXP(-LN(2)/2)*BR137+(1-EXP(-LN(2)/2))/(LN(2)/2)*BL138*BO138*VLOOKUP('Données projet'!$B$11,Paramètres!$A$1:$I$89,3,0)*0.475*44/12</f>
        <v>9.7178483904086771E-16</v>
      </c>
      <c r="BS138" s="22">
        <f t="shared" si="117"/>
        <v>0.16899226410150284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108.5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279.00060755204919</v>
      </c>
      <c r="CE138" s="59">
        <f t="shared" si="148"/>
        <v>333.91128554211014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0.91262328276418192</v>
      </c>
      <c r="CL138" s="21">
        <f>EXP(-LN(2)/25)*CL137+(1-EXP(-LN(2)/25))/(LN(2)/25)*Calculateur!CG138*Calculateur!CI138*VLOOKUP('Données projet'!$B$12,Paramètres!$A$1:$I$89,3,0)*0.475*44/12</f>
        <v>1.5142527117263336</v>
      </c>
      <c r="CM138" s="21">
        <f>EXP(-LN(2)/2)*CM137+(1-EXP(-LN(2)/2))/(LN(2)/2)*CG138*CJ138*VLOOKUP('Données projet'!$B$12,Paramètres!$A$1:$I$89,3,0)*0.475*44/12</f>
        <v>3.3841598161825062E-15</v>
      </c>
      <c r="CN138" s="22">
        <f t="shared" si="120"/>
        <v>2.4268759944905192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108.5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-6.7984728957526396E-14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380.01315081072897</v>
      </c>
      <c r="CZ138" s="59">
        <f t="shared" si="150"/>
        <v>404.90871625409181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0.43729865632450443</v>
      </c>
      <c r="DG138" s="21">
        <f>EXP(-LN(2)/25)*DG137+(1-EXP(-LN(2)/25))/(LN(2)/25)*Calculateur!DB138*Calculateur!DD138*VLOOKUP('Données projet'!$B$13,Paramètres!$A$1:$I$89,3,0)*0.475*44/12</f>
        <v>1.1610814804456409</v>
      </c>
      <c r="DH138" s="21">
        <f>EXP(-LN(2)/2)*DH137+(1-EXP(-LN(2)/2))/(LN(2)/2)*DB138*DE138*VLOOKUP('Données projet'!$B$13,Paramètres!$A$1:$I$89,3,0)*0.475*44/12</f>
        <v>4.757903636877173E-15</v>
      </c>
      <c r="DI138" s="22">
        <f t="shared" si="123"/>
        <v>1.59838013677015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108.5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-5.6843418860808015E-14</v>
      </c>
      <c r="DP138" s="17">
        <f>DO138*VLOOKUP('Données projet'!$B$14,Paramètres!$A$1:$I$89,3,0)*VLOOKUP('Données projet'!$B$14,Paramètres!$A$1:$I$89,5,0)</f>
        <v>-5.1431925385259088E-14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320.81451813551064</v>
      </c>
      <c r="DU138" s="59">
        <f t="shared" si="152"/>
        <v>522.80818268773976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0.22944293966256538</v>
      </c>
      <c r="EB138" s="21">
        <f>EXP(-LN(2)/25)*EB137+(1-EXP(-LN(2)/25))/(LN(2)/25)*Calculateur!DW138*Calculateur!DY138*VLOOKUP('Données projet'!$B$14,Paramètres!$A$1:$I$89,3,0)*0.475*44/12</f>
        <v>0.56727029626038583</v>
      </c>
      <c r="EC138" s="21">
        <f>EXP(-LN(2)/2)*EC137+(1-EXP(-LN(2)/2))/(LN(2)/2)*DW138*DZ138*VLOOKUP('Données projet'!$B$14,Paramètres!$A$1:$I$89,3,0)*0.475*44/12</f>
        <v>9.4031008281354014E-16</v>
      </c>
      <c r="ED138" s="22">
        <f t="shared" si="126"/>
        <v>0.79671323592295207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108.5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228.3393311631487</v>
      </c>
      <c r="EP138" s="59">
        <f t="shared" si="154"/>
        <v>266.26050497804033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0.77653302590901496</v>
      </c>
      <c r="EW138" s="21">
        <f>EXP(-LN(2)/25)*EW137+(1-EXP(-LN(2)/25))/(LN(2)/25)*Calculateur!ER138*Calculateur!ET138*VLOOKUP('Données projet'!$B$15,Paramètres!$A$1:$I$89,3,0)*0.475*44/12</f>
        <v>0.67091603064864469</v>
      </c>
      <c r="EX138" s="21">
        <f>EXP(-LN(2)/2)*EX137+(1-EXP(-LN(2)/2))/(LN(2)/2)*ER138*EU138*VLOOKUP('Données projet'!$B$15,Paramètres!$A$1:$I$89,3,0)*0.475*44/12</f>
        <v>8.5502405288455993E-16</v>
      </c>
      <c r="EY138" s="22">
        <f t="shared" si="129"/>
        <v>1.4474490565576605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108.5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-1.7053025658242404E-13</v>
      </c>
      <c r="FF138" s="17">
        <f>FE138*VLOOKUP('Données projet'!$B$16,Paramètres!$A$1:$I$89,3,0)*VLOOKUP('Données projet'!$B$16,Paramètres!$A$1:$I$89,5,0)</f>
        <v>-9.7543306765146564E-14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242.10913976205194</v>
      </c>
      <c r="FK138" s="59">
        <f t="shared" si="156"/>
        <v>198.24795425321133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0.58965637927662018</v>
      </c>
      <c r="FS138" s="21">
        <f>EXP(-LN(2)/2)*FS137+(1-EXP(-LN(2)/2))/(LN(2)/2)*FM138*FP138*VLOOKUP('Données projet'!$B$16,Paramètres!$A$1:$I$89,3,0)*0.475*44/12</f>
        <v>2.0760834160594345E-15</v>
      </c>
      <c r="FT138" s="22">
        <f t="shared" si="132"/>
        <v>0.58965637927662229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108.5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108.5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66.512160000000065</v>
      </c>
      <c r="D139" s="11">
        <f t="shared" si="140"/>
        <v>18.804744382223529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362.22264667540549</v>
      </c>
      <c r="H139" s="67">
        <f t="shared" si="110"/>
        <v>546.42694179903947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108.5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4.6111381379887463E-14</v>
      </c>
      <c r="P139" s="13">
        <f t="shared" si="141"/>
        <v>7.5804141040779151E-13</v>
      </c>
      <c r="Q139" s="20">
        <f t="shared" si="108"/>
        <v>1.4005661123635408E-12</v>
      </c>
      <c r="R139" s="59">
        <f t="shared" si="109"/>
        <v>434.50000000000142</v>
      </c>
      <c r="S139" s="59">
        <f ca="1">AVERAGE(OFFSET($R$3,0,0,'Données projet'!$E$9+1,1))-AVERAGE(OFFSET($H$3,0,0,'Données projet'!$E$9+1,1))</f>
        <v>273.89826011924487</v>
      </c>
      <c r="T139" s="59">
        <f t="shared" si="142"/>
        <v>332.17519939974227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0.4501708959062361</v>
      </c>
      <c r="AB139" s="21">
        <f>EXP(-LN(2)/2)*AB138+(1-EXP(-LN(2)/2))/(LN(2)/2)*V139*Y139*VLOOKUP('Données projet'!$B$9,Paramètres!$A$1:$I$89,3,0)*0.475*44/12</f>
        <v>1.2181999122903207E-15</v>
      </c>
      <c r="AC139" s="22">
        <f t="shared" si="111"/>
        <v>0.45017089590623732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108.5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-5.3205440053716299E-14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293.42903587188346</v>
      </c>
      <c r="AO139" s="59">
        <f t="shared" si="144"/>
        <v>267.80827667062124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0.38413929606436764</v>
      </c>
      <c r="AV139" s="21">
        <f>EXP(-LN(2)/25)*AV138+(1-EXP(-LN(2)/25))/(LN(2)/25)*Calculateur!AQ139*Calculateur!AS139*VLOOKUP('Données projet'!$B$10,Paramètres!$A$1:$I$89,3,0)*0.475*44/12</f>
        <v>0.41572360113591833</v>
      </c>
      <c r="AW139" s="21">
        <f>EXP(-LN(2)/2)*AW138+(1-EXP(-LN(2)/2))/(LN(2)/2)*AQ139*AT139*VLOOKUP('Données projet'!$B$10,Paramètres!$A$1:$I$89,3,0)*0.475*44/12</f>
        <v>1.0915908710602542E-15</v>
      </c>
      <c r="AX139" s="21">
        <f t="shared" si="114"/>
        <v>0.79986289720028703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108.5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-1.0286385077051818E-13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324.41828402031939</v>
      </c>
      <c r="BJ139" s="59">
        <f t="shared" si="146"/>
        <v>233.01060088065992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0.16437116175272937</v>
      </c>
      <c r="BR139" s="21">
        <f>EXP(-LN(2)/2)*BR138+(1-EXP(-LN(2)/2))/(LN(2)/2)*BL139*BO139*VLOOKUP('Données projet'!$B$11,Paramètres!$A$1:$I$89,3,0)*0.475*44/12</f>
        <v>6.8715564954007516E-16</v>
      </c>
      <c r="BS139" s="22">
        <f t="shared" si="117"/>
        <v>0.16437116175273006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108.5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279.00060755204919</v>
      </c>
      <c r="CE139" s="59">
        <f t="shared" si="148"/>
        <v>333.91128554211014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0.89472729683441465</v>
      </c>
      <c r="CL139" s="21">
        <f>EXP(-LN(2)/25)*CL138+(1-EXP(-LN(2)/25))/(LN(2)/25)*Calculateur!CG139*Calculateur!CI139*VLOOKUP('Données projet'!$B$12,Paramètres!$A$1:$I$89,3,0)*0.475*44/12</f>
        <v>1.4728453916930877</v>
      </c>
      <c r="CM139" s="21">
        <f>EXP(-LN(2)/2)*CM138+(1-EXP(-LN(2)/2))/(LN(2)/2)*CG139*CJ139*VLOOKUP('Données projet'!$B$12,Paramètres!$A$1:$I$89,3,0)*0.475*44/12</f>
        <v>2.3929623546416703E-15</v>
      </c>
      <c r="CN139" s="22">
        <f t="shared" si="120"/>
        <v>2.3675726885275048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108.5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-6.7984728957526396E-14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380.01315081072897</v>
      </c>
      <c r="CZ139" s="59">
        <f t="shared" si="150"/>
        <v>404.90871625409181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0.42872349639982427</v>
      </c>
      <c r="DG139" s="21">
        <f>EXP(-LN(2)/25)*DG138+(1-EXP(-LN(2)/25))/(LN(2)/25)*Calculateur!DB139*Calculateur!DD139*VLOOKUP('Données projet'!$B$13,Paramètres!$A$1:$I$89,3,0)*0.475*44/12</f>
        <v>1.1293316463042333</v>
      </c>
      <c r="DH139" s="21">
        <f>EXP(-LN(2)/2)*DH138+(1-EXP(-LN(2)/2))/(LN(2)/2)*DB139*DE139*VLOOKUP('Données projet'!$B$13,Paramètres!$A$1:$I$89,3,0)*0.475*44/12</f>
        <v>3.3643459258679859E-15</v>
      </c>
      <c r="DI139" s="22">
        <f t="shared" si="123"/>
        <v>1.558055142704061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108.5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-5.6843418860808015E-14</v>
      </c>
      <c r="DP139" s="17">
        <f>DO139*VLOOKUP('Données projet'!$B$14,Paramètres!$A$1:$I$89,3,0)*VLOOKUP('Données projet'!$B$14,Paramètres!$A$1:$I$89,5,0)</f>
        <v>-5.1431925385259088E-14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320.81451813551064</v>
      </c>
      <c r="DU139" s="59">
        <f t="shared" si="152"/>
        <v>522.80818268773976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0.22494370356215709</v>
      </c>
      <c r="EB139" s="21">
        <f>EXP(-LN(2)/25)*EB138+(1-EXP(-LN(2)/25))/(LN(2)/25)*Calculateur!DW139*Calculateur!DY139*VLOOKUP('Données projet'!$B$14,Paramètres!$A$1:$I$89,3,0)*0.475*44/12</f>
        <v>0.55175826017769725</v>
      </c>
      <c r="EC139" s="21">
        <f>EXP(-LN(2)/2)*EC138+(1-EXP(-LN(2)/2))/(LN(2)/2)*DW139*DZ139*VLOOKUP('Données projet'!$B$14,Paramètres!$A$1:$I$89,3,0)*0.475*44/12</f>
        <v>6.6489963597553831E-16</v>
      </c>
      <c r="ED139" s="22">
        <f t="shared" si="126"/>
        <v>0.77670196373985501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108.5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228.3393311631487</v>
      </c>
      <c r="EP139" s="59">
        <f t="shared" si="154"/>
        <v>266.26050497804033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0.7613056869093171</v>
      </c>
      <c r="EW139" s="21">
        <f>EXP(-LN(2)/25)*EW138+(1-EXP(-LN(2)/25))/(LN(2)/25)*Calculateur!ER139*Calculateur!ET139*VLOOKUP('Données projet'!$B$15,Paramètres!$A$1:$I$89,3,0)*0.475*44/12</f>
        <v>0.6525697965086168</v>
      </c>
      <c r="EX139" s="21">
        <f>EXP(-LN(2)/2)*EX138+(1-EXP(-LN(2)/2))/(LN(2)/2)*ER139*EU139*VLOOKUP('Données projet'!$B$15,Paramètres!$A$1:$I$89,3,0)*0.475*44/12</f>
        <v>6.0459330587227755E-16</v>
      </c>
      <c r="EY139" s="22">
        <f t="shared" si="129"/>
        <v>1.4138754834179346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108.5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-1.7053025658242404E-13</v>
      </c>
      <c r="FF139" s="17">
        <f>FE139*VLOOKUP('Données projet'!$B$16,Paramètres!$A$1:$I$89,3,0)*VLOOKUP('Données projet'!$B$16,Paramètres!$A$1:$I$89,5,0)</f>
        <v>-9.7543306765146564E-14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242.10913976205194</v>
      </c>
      <c r="FK139" s="59">
        <f t="shared" si="156"/>
        <v>198.24795425321133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0.57353219457661975</v>
      </c>
      <c r="FS139" s="21">
        <f>EXP(-LN(2)/2)*FS138+(1-EXP(-LN(2)/2))/(LN(2)/2)*FM139*FP139*VLOOKUP('Données projet'!$B$16,Paramètres!$A$1:$I$89,3,0)*0.475*44/12</f>
        <v>1.4680126618045586E-15</v>
      </c>
      <c r="FT139" s="22">
        <f t="shared" si="132"/>
        <v>0.57353219457662119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108.5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108.5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67.00122000000006</v>
      </c>
      <c r="D140" s="11">
        <f t="shared" si="140"/>
        <v>18.926867771205224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364.81749544967869</v>
      </c>
      <c r="H140" s="67">
        <f t="shared" si="110"/>
        <v>547.49141953484923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108.5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4.6111381379887463E-14</v>
      </c>
      <c r="P140" s="13">
        <f t="shared" si="141"/>
        <v>7.5804141040779151E-13</v>
      </c>
      <c r="Q140" s="20">
        <f t="shared" si="108"/>
        <v>1.4005661123635408E-12</v>
      </c>
      <c r="R140" s="59">
        <f t="shared" si="109"/>
        <v>434.50000000000142</v>
      </c>
      <c r="S140" s="59">
        <f ca="1">AVERAGE(OFFSET($R$3,0,0,'Données projet'!$E$9+1,1))-AVERAGE(OFFSET($H$3,0,0,'Données projet'!$E$9+1,1))</f>
        <v>273.89826011924487</v>
      </c>
      <c r="T140" s="59">
        <f t="shared" si="142"/>
        <v>332.17519939974227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0.43786094908422152</v>
      </c>
      <c r="AB140" s="21">
        <f>EXP(-LN(2)/2)*AB139+(1-EXP(-LN(2)/2))/(LN(2)/2)*V140*Y140*VLOOKUP('Données projet'!$B$9,Paramètres!$A$1:$I$89,3,0)*0.475*44/12</f>
        <v>8.6139741882134323E-16</v>
      </c>
      <c r="AC140" s="22">
        <f t="shared" si="111"/>
        <v>0.43786094908422241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108.5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-5.3205440053716299E-14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293.42903587188346</v>
      </c>
      <c r="AO140" s="59">
        <f t="shared" si="144"/>
        <v>267.80827667062124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0.37660655877038063</v>
      </c>
      <c r="AV140" s="21">
        <f>EXP(-LN(2)/25)*AV139+(1-EXP(-LN(2)/25))/(LN(2)/25)*Calculateur!AQ140*Calculateur!AS140*VLOOKUP('Données projet'!$B$10,Paramètres!$A$1:$I$89,3,0)*0.475*44/12</f>
        <v>0.40435561740090259</v>
      </c>
      <c r="AW140" s="21">
        <f>EXP(-LN(2)/2)*AW139+(1-EXP(-LN(2)/2))/(LN(2)/2)*AQ140*AT140*VLOOKUP('Données projet'!$B$10,Paramètres!$A$1:$I$89,3,0)*0.475*44/12</f>
        <v>7.7187130720803599E-16</v>
      </c>
      <c r="AX140" s="21">
        <f t="shared" si="114"/>
        <v>0.78096217617128405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108.5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-1.0286385077051818E-13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324.41828402031939</v>
      </c>
      <c r="BJ140" s="59">
        <f t="shared" si="146"/>
        <v>233.01060088065992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0.15987642369069727</v>
      </c>
      <c r="BR140" s="21">
        <f>EXP(-LN(2)/2)*BR139+(1-EXP(-LN(2)/2))/(LN(2)/2)*BL140*BO140*VLOOKUP('Données projet'!$B$11,Paramètres!$A$1:$I$89,3,0)*0.475*44/12</f>
        <v>4.8589241952043386E-16</v>
      </c>
      <c r="BS140" s="22">
        <f t="shared" si="117"/>
        <v>0.15987642369069777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108.5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279.00060755204919</v>
      </c>
      <c r="CE140" s="59">
        <f t="shared" si="148"/>
        <v>333.91128554211014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0.87718224027325653</v>
      </c>
      <c r="CL140" s="21">
        <f>EXP(-LN(2)/25)*CL139+(1-EXP(-LN(2)/25))/(LN(2)/25)*Calculateur!CG140*Calculateur!CI140*VLOOKUP('Données projet'!$B$12,Paramètres!$A$1:$I$89,3,0)*0.475*44/12</f>
        <v>1.4325703570036672</v>
      </c>
      <c r="CM140" s="21">
        <f>EXP(-LN(2)/2)*CM139+(1-EXP(-LN(2)/2))/(LN(2)/2)*CG140*CJ140*VLOOKUP('Données projet'!$B$12,Paramètres!$A$1:$I$89,3,0)*0.475*44/12</f>
        <v>1.6920799080912531E-15</v>
      </c>
      <c r="CN140" s="22">
        <f t="shared" si="120"/>
        <v>2.3097525972769253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108.5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-6.7984728957526396E-14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380.01315081072897</v>
      </c>
      <c r="CZ140" s="59">
        <f t="shared" si="150"/>
        <v>404.90871625409181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0.42031649013093597</v>
      </c>
      <c r="DG140" s="21">
        <f>EXP(-LN(2)/25)*DG139+(1-EXP(-LN(2)/25))/(LN(2)/25)*Calculateur!DB140*Calculateur!DD140*VLOOKUP('Données projet'!$B$13,Paramètres!$A$1:$I$89,3,0)*0.475*44/12</f>
        <v>1.098450013047074</v>
      </c>
      <c r="DH140" s="21">
        <f>EXP(-LN(2)/2)*DH139+(1-EXP(-LN(2)/2))/(LN(2)/2)*DB140*DE140*VLOOKUP('Données projet'!$B$13,Paramètres!$A$1:$I$89,3,0)*0.475*44/12</f>
        <v>2.3789518184385865E-15</v>
      </c>
      <c r="DI140" s="22">
        <f t="shared" si="123"/>
        <v>1.5187665031780124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108.5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-5.6843418860808015E-14</v>
      </c>
      <c r="DP140" s="17">
        <f>DO140*VLOOKUP('Données projet'!$B$14,Paramètres!$A$1:$I$89,3,0)*VLOOKUP('Données projet'!$B$14,Paramètres!$A$1:$I$89,5,0)</f>
        <v>-5.1431925385259088E-14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320.81451813551064</v>
      </c>
      <c r="DU140" s="59">
        <f t="shared" si="152"/>
        <v>522.80818268773976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0.22053269473741477</v>
      </c>
      <c r="EB140" s="21">
        <f>EXP(-LN(2)/25)*EB139+(1-EXP(-LN(2)/25))/(LN(2)/25)*Calculateur!DW140*Calculateur!DY140*VLOOKUP('Données projet'!$B$14,Paramètres!$A$1:$I$89,3,0)*0.475*44/12</f>
        <v>0.53667040153743228</v>
      </c>
      <c r="EC140" s="21">
        <f>EXP(-LN(2)/2)*EC139+(1-EXP(-LN(2)/2))/(LN(2)/2)*DW140*DZ140*VLOOKUP('Données projet'!$B$14,Paramètres!$A$1:$I$89,3,0)*0.475*44/12</f>
        <v>4.7015504140677007E-16</v>
      </c>
      <c r="ED140" s="22">
        <f t="shared" si="126"/>
        <v>0.7572030962748475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108.5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228.3393311631487</v>
      </c>
      <c r="EP140" s="59">
        <f t="shared" si="154"/>
        <v>266.26050497804033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0.74637694673964361</v>
      </c>
      <c r="EW140" s="21">
        <f>EXP(-LN(2)/25)*EW139+(1-EXP(-LN(2)/25))/(LN(2)/25)*Calculateur!ER140*Calculateur!ET140*VLOOKUP('Données projet'!$B$15,Paramètres!$A$1:$I$89,3,0)*0.475*44/12</f>
        <v>0.63472524110593453</v>
      </c>
      <c r="EX140" s="21">
        <f>EXP(-LN(2)/2)*EX139+(1-EXP(-LN(2)/2))/(LN(2)/2)*ER140*EU140*VLOOKUP('Données projet'!$B$15,Paramètres!$A$1:$I$89,3,0)*0.475*44/12</f>
        <v>4.2751202644227996E-16</v>
      </c>
      <c r="EY140" s="22">
        <f t="shared" si="129"/>
        <v>1.3811021878455785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108.5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-1.7053025658242404E-13</v>
      </c>
      <c r="FF140" s="17">
        <f>FE140*VLOOKUP('Données projet'!$B$16,Paramètres!$A$1:$I$89,3,0)*VLOOKUP('Données projet'!$B$16,Paramètres!$A$1:$I$89,5,0)</f>
        <v>-9.7543306765146564E-14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242.10913976205194</v>
      </c>
      <c r="FK140" s="59">
        <f t="shared" si="156"/>
        <v>198.24795425321133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0.55784892655517482</v>
      </c>
      <c r="FS140" s="21">
        <f>EXP(-LN(2)/2)*FS139+(1-EXP(-LN(2)/2))/(LN(2)/2)*FM140*FP140*VLOOKUP('Données projet'!$B$16,Paramètres!$A$1:$I$89,3,0)*0.475*44/12</f>
        <v>1.0380417080297172E-15</v>
      </c>
      <c r="FT140" s="22">
        <f t="shared" si="132"/>
        <v>0.55784892655517582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108.5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108.5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67.490280000000055</v>
      </c>
      <c r="D141" s="11">
        <f t="shared" si="140"/>
        <v>19.048887442969367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367.41190388067724</v>
      </c>
      <c r="H141" s="67">
        <f t="shared" si="110"/>
        <v>548.55571662983834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108.5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4.6111381379887463E-14</v>
      </c>
      <c r="P141" s="13">
        <f t="shared" si="141"/>
        <v>7.5804141040779151E-13</v>
      </c>
      <c r="Q141" s="20">
        <f t="shared" si="108"/>
        <v>1.4005661123635408E-12</v>
      </c>
      <c r="R141" s="59">
        <f t="shared" si="109"/>
        <v>434.50000000000142</v>
      </c>
      <c r="S141" s="59">
        <f ca="1">AVERAGE(OFFSET($R$3,0,0,'Données projet'!$E$9+1,1))-AVERAGE(OFFSET($H$3,0,0,'Données projet'!$E$9+1,1))</f>
        <v>273.89826011924487</v>
      </c>
      <c r="T141" s="59">
        <f t="shared" si="142"/>
        <v>332.17519939974227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0.4258876184054069</v>
      </c>
      <c r="AB141" s="21">
        <f>EXP(-LN(2)/2)*AB140+(1-EXP(-LN(2)/2))/(LN(2)/2)*V141*Y141*VLOOKUP('Données projet'!$B$9,Paramètres!$A$1:$I$89,3,0)*0.475*44/12</f>
        <v>6.0909995614516037E-16</v>
      </c>
      <c r="AC141" s="22">
        <f t="shared" si="111"/>
        <v>0.42588761840540751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108.5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-5.3205440053716299E-14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293.42903587188346</v>
      </c>
      <c r="AO141" s="59">
        <f t="shared" si="144"/>
        <v>267.80827667062124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0.36922153386021261</v>
      </c>
      <c r="AV141" s="21">
        <f>EXP(-LN(2)/25)*AV140+(1-EXP(-LN(2)/25))/(LN(2)/25)*Calculateur!AQ141*Calculateur!AS141*VLOOKUP('Données projet'!$B$10,Paramètres!$A$1:$I$89,3,0)*0.475*44/12</f>
        <v>0.39329849177893716</v>
      </c>
      <c r="AW141" s="21">
        <f>EXP(-LN(2)/2)*AW140+(1-EXP(-LN(2)/2))/(LN(2)/2)*AQ141*AT141*VLOOKUP('Données projet'!$B$10,Paramètres!$A$1:$I$89,3,0)*0.475*44/12</f>
        <v>5.457954355301271E-16</v>
      </c>
      <c r="AX141" s="21">
        <f t="shared" si="114"/>
        <v>0.76252002563915033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108.5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-1.0286385077051818E-13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324.41828402031939</v>
      </c>
      <c r="BJ141" s="59">
        <f t="shared" si="146"/>
        <v>233.01060088065992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0.15550459447733944</v>
      </c>
      <c r="BR141" s="21">
        <f>EXP(-LN(2)/2)*BR140+(1-EXP(-LN(2)/2))/(LN(2)/2)*BL141*BO141*VLOOKUP('Données projet'!$B$11,Paramètres!$A$1:$I$89,3,0)*0.475*44/12</f>
        <v>3.4357782477003758E-16</v>
      </c>
      <c r="BS141" s="22">
        <f t="shared" si="117"/>
        <v>0.15550459447733977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108.5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279.00060755204919</v>
      </c>
      <c r="CE141" s="59">
        <f t="shared" si="148"/>
        <v>333.91128554211014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0.85998123156983486</v>
      </c>
      <c r="CL141" s="21">
        <f>EXP(-LN(2)/25)*CL140+(1-EXP(-LN(2)/25))/(LN(2)/25)*Calculateur!CG141*Calculateur!CI141*VLOOKUP('Données projet'!$B$12,Paramètres!$A$1:$I$89,3,0)*0.475*44/12</f>
        <v>1.3933966452558011</v>
      </c>
      <c r="CM141" s="21">
        <f>EXP(-LN(2)/2)*CM140+(1-EXP(-LN(2)/2))/(LN(2)/2)*CG141*CJ141*VLOOKUP('Données projet'!$B$12,Paramètres!$A$1:$I$89,3,0)*0.475*44/12</f>
        <v>1.1964811773208351E-15</v>
      </c>
      <c r="CN141" s="22">
        <f t="shared" si="120"/>
        <v>2.2533778768256374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108.5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-6.7984728957526396E-14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380.01315081072897</v>
      </c>
      <c r="CZ141" s="59">
        <f t="shared" si="150"/>
        <v>404.90871625409181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0.41207434012721311</v>
      </c>
      <c r="DG141" s="21">
        <f>EXP(-LN(2)/25)*DG140+(1-EXP(-LN(2)/25))/(LN(2)/25)*Calculateur!DB141*Calculateur!DD141*VLOOKUP('Données projet'!$B$13,Paramètres!$A$1:$I$89,3,0)*0.475*44/12</f>
        <v>1.0684128396753261</v>
      </c>
      <c r="DH141" s="21">
        <f>EXP(-LN(2)/2)*DH140+(1-EXP(-LN(2)/2))/(LN(2)/2)*DB141*DE141*VLOOKUP('Données projet'!$B$13,Paramètres!$A$1:$I$89,3,0)*0.475*44/12</f>
        <v>1.6821729629339929E-15</v>
      </c>
      <c r="DI141" s="22">
        <f t="shared" si="123"/>
        <v>1.480487179802541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108.5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-5.6843418860808015E-14</v>
      </c>
      <c r="DP141" s="17">
        <f>DO141*VLOOKUP('Données projet'!$B$14,Paramètres!$A$1:$I$89,3,0)*VLOOKUP('Données projet'!$B$14,Paramètres!$A$1:$I$89,5,0)</f>
        <v>-5.1431925385259088E-14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320.81451813551064</v>
      </c>
      <c r="DU141" s="59">
        <f t="shared" si="152"/>
        <v>522.80818268773976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0.21620818310527593</v>
      </c>
      <c r="EB141" s="21">
        <f>EXP(-LN(2)/25)*EB140+(1-EXP(-LN(2)/25))/(LN(2)/25)*Calculateur!DW141*Calculateur!DY141*VLOOKUP('Données projet'!$B$14,Paramètres!$A$1:$I$89,3,0)*0.475*44/12</f>
        <v>0.52199512118512137</v>
      </c>
      <c r="EC141" s="21">
        <f>EXP(-LN(2)/2)*EC140+(1-EXP(-LN(2)/2))/(LN(2)/2)*DW141*DZ141*VLOOKUP('Données projet'!$B$14,Paramètres!$A$1:$I$89,3,0)*0.475*44/12</f>
        <v>3.3244981798776916E-16</v>
      </c>
      <c r="ED141" s="22">
        <f t="shared" si="126"/>
        <v>0.7382033042903976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108.5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228.3393311631487</v>
      </c>
      <c r="EP141" s="59">
        <f t="shared" si="154"/>
        <v>266.26050497804033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0.73174095005906503</v>
      </c>
      <c r="EW141" s="21">
        <f>EXP(-LN(2)/25)*EW140+(1-EXP(-LN(2)/25))/(LN(2)/25)*Calculateur!ER141*Calculateur!ET141*VLOOKUP('Données projet'!$B$15,Paramètres!$A$1:$I$89,3,0)*0.475*44/12</f>
        <v>0.61736864600914299</v>
      </c>
      <c r="EX141" s="21">
        <f>EXP(-LN(2)/2)*EX140+(1-EXP(-LN(2)/2))/(LN(2)/2)*ER141*EU141*VLOOKUP('Données projet'!$B$15,Paramètres!$A$1:$I$89,3,0)*0.475*44/12</f>
        <v>3.0229665293613877E-16</v>
      </c>
      <c r="EY141" s="22">
        <f t="shared" si="129"/>
        <v>1.3491095960682082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108.5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-1.7053025658242404E-13</v>
      </c>
      <c r="FF141" s="17">
        <f>FE141*VLOOKUP('Données projet'!$B$16,Paramètres!$A$1:$I$89,3,0)*VLOOKUP('Données projet'!$B$16,Paramètres!$A$1:$I$89,5,0)</f>
        <v>-9.7543306765146564E-14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242.10913976205194</v>
      </c>
      <c r="FK141" s="59">
        <f t="shared" si="156"/>
        <v>198.24795425321133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0.54259451832252348</v>
      </c>
      <c r="FS141" s="21">
        <f>EXP(-LN(2)/2)*FS140+(1-EXP(-LN(2)/2))/(LN(2)/2)*FM141*FP141*VLOOKUP('Données projet'!$B$16,Paramètres!$A$1:$I$89,3,0)*0.475*44/12</f>
        <v>7.3400633090227932E-16</v>
      </c>
      <c r="FT141" s="22">
        <f t="shared" si="132"/>
        <v>0.54259451832252426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108.5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108.5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67.97934000000005</v>
      </c>
      <c r="D142" s="11">
        <f t="shared" si="140"/>
        <v>19.170804236234211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370.00587552927533</v>
      </c>
      <c r="H142" s="67">
        <f t="shared" si="110"/>
        <v>549.61983454477468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108.5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4.6111381379887463E-14</v>
      </c>
      <c r="P142" s="13">
        <f t="shared" si="141"/>
        <v>7.5804141040779151E-13</v>
      </c>
      <c r="Q142" s="20">
        <f t="shared" si="108"/>
        <v>1.4005661123635408E-12</v>
      </c>
      <c r="R142" s="59">
        <f t="shared" si="109"/>
        <v>434.50000000000142</v>
      </c>
      <c r="S142" s="59">
        <f ca="1">AVERAGE(OFFSET($R$3,0,0,'Données projet'!$E$9+1,1))-AVERAGE(OFFSET($H$3,0,0,'Données projet'!$E$9+1,1))</f>
        <v>273.89826011924487</v>
      </c>
      <c r="T142" s="59">
        <f t="shared" si="142"/>
        <v>332.17519939974227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0.41424169908365455</v>
      </c>
      <c r="AB142" s="21">
        <f>EXP(-LN(2)/2)*AB141+(1-EXP(-LN(2)/2))/(LN(2)/2)*V142*Y142*VLOOKUP('Données projet'!$B$9,Paramètres!$A$1:$I$89,3,0)*0.475*44/12</f>
        <v>4.3069870941067161E-16</v>
      </c>
      <c r="AC142" s="22">
        <f t="shared" si="111"/>
        <v>0.41424169908365499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108.5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-5.3205440053716299E-14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293.42903587188346</v>
      </c>
      <c r="AO142" s="59">
        <f t="shared" si="144"/>
        <v>267.80827667062124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0.36198132478411255</v>
      </c>
      <c r="AV142" s="21">
        <f>EXP(-LN(2)/25)*AV141+(1-EXP(-LN(2)/25))/(LN(2)/25)*Calculateur!AQ142*Calculateur!AS142*VLOOKUP('Données projet'!$B$10,Paramètres!$A$1:$I$89,3,0)*0.475*44/12</f>
        <v>0.38254372383857332</v>
      </c>
      <c r="AW142" s="21">
        <f>EXP(-LN(2)/2)*AW141+(1-EXP(-LN(2)/2))/(LN(2)/2)*AQ142*AT142*VLOOKUP('Données projet'!$B$10,Paramètres!$A$1:$I$89,3,0)*0.475*44/12</f>
        <v>3.85935653604018E-16</v>
      </c>
      <c r="AX142" s="21">
        <f t="shared" si="114"/>
        <v>0.7445250486226862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108.5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-1.0286385077051818E-13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324.41828402031939</v>
      </c>
      <c r="BJ142" s="59">
        <f t="shared" si="146"/>
        <v>233.01060088065992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0.15125231316372539</v>
      </c>
      <c r="BR142" s="21">
        <f>EXP(-LN(2)/2)*BR141+(1-EXP(-LN(2)/2))/(LN(2)/2)*BL142*BO142*VLOOKUP('Données projet'!$B$11,Paramètres!$A$1:$I$89,3,0)*0.475*44/12</f>
        <v>2.4294620976021693E-16</v>
      </c>
      <c r="BS142" s="22">
        <f t="shared" si="117"/>
        <v>0.15125231316372564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108.5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279.00060755204919</v>
      </c>
      <c r="CE142" s="59">
        <f t="shared" si="148"/>
        <v>333.91128554211014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0.843117524155508</v>
      </c>
      <c r="CL142" s="21">
        <f>EXP(-LN(2)/25)*CL141+(1-EXP(-LN(2)/25))/(LN(2)/25)*Calculateur!CG142*Calculateur!CI142*VLOOKUP('Données projet'!$B$12,Paramètres!$A$1:$I$89,3,0)*0.475*44/12</f>
        <v>1.3552941407157364</v>
      </c>
      <c r="CM142" s="21">
        <f>EXP(-LN(2)/2)*CM141+(1-EXP(-LN(2)/2))/(LN(2)/2)*CG142*CJ142*VLOOKUP('Données projet'!$B$12,Paramètres!$A$1:$I$89,3,0)*0.475*44/12</f>
        <v>8.4603995404562656E-16</v>
      </c>
      <c r="CN142" s="22">
        <f t="shared" si="120"/>
        <v>2.1984116648712453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108.5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-6.7984728957526396E-14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380.01315081072897</v>
      </c>
      <c r="CZ142" s="59">
        <f t="shared" si="150"/>
        <v>404.90871625409181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0.40399381365784814</v>
      </c>
      <c r="DG142" s="21">
        <f>EXP(-LN(2)/25)*DG141+(1-EXP(-LN(2)/25))/(LN(2)/25)*Calculateur!DB142*Calculateur!DD142*VLOOKUP('Données projet'!$B$13,Paramètres!$A$1:$I$89,3,0)*0.475*44/12</f>
        <v>1.0391970343890149</v>
      </c>
      <c r="DH142" s="21">
        <f>EXP(-LN(2)/2)*DH141+(1-EXP(-LN(2)/2))/(LN(2)/2)*DB142*DE142*VLOOKUP('Données projet'!$B$13,Paramètres!$A$1:$I$89,3,0)*0.475*44/12</f>
        <v>1.1894759092192933E-15</v>
      </c>
      <c r="DI142" s="22">
        <f t="shared" si="123"/>
        <v>1.443190848046864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108.5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-5.6843418860808015E-14</v>
      </c>
      <c r="DP142" s="17">
        <f>DO142*VLOOKUP('Données projet'!$B$14,Paramètres!$A$1:$I$89,3,0)*VLOOKUP('Données projet'!$B$14,Paramètres!$A$1:$I$89,5,0)</f>
        <v>-5.1431925385259088E-14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320.81451813551064</v>
      </c>
      <c r="DU142" s="59">
        <f t="shared" si="152"/>
        <v>522.80818268773976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0.21196847250855169</v>
      </c>
      <c r="EB142" s="21">
        <f>EXP(-LN(2)/25)*EB141+(1-EXP(-LN(2)/25))/(LN(2)/25)*Calculateur!DW142*Calculateur!DY142*VLOOKUP('Données projet'!$B$14,Paramètres!$A$1:$I$89,3,0)*0.475*44/12</f>
        <v>0.50772113714578382</v>
      </c>
      <c r="EC142" s="21">
        <f>EXP(-LN(2)/2)*EC141+(1-EXP(-LN(2)/2))/(LN(2)/2)*DW142*DZ142*VLOOKUP('Données projet'!$B$14,Paramètres!$A$1:$I$89,3,0)*0.475*44/12</f>
        <v>2.3507752070338503E-16</v>
      </c>
      <c r="ED142" s="22">
        <f t="shared" si="126"/>
        <v>0.7196896096543357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108.5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228.3393311631487</v>
      </c>
      <c r="EP142" s="59">
        <f t="shared" si="154"/>
        <v>266.26050497804033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0.71739195634631603</v>
      </c>
      <c r="EW142" s="21">
        <f>EXP(-LN(2)/25)*EW141+(1-EXP(-LN(2)/25))/(LN(2)/25)*Calculateur!ER142*Calculateur!ET142*VLOOKUP('Données projet'!$B$15,Paramètres!$A$1:$I$89,3,0)*0.475*44/12</f>
        <v>0.60048666791801686</v>
      </c>
      <c r="EX142" s="21">
        <f>EXP(-LN(2)/2)*EX141+(1-EXP(-LN(2)/2))/(LN(2)/2)*ER142*EU142*VLOOKUP('Données projet'!$B$15,Paramètres!$A$1:$I$89,3,0)*0.475*44/12</f>
        <v>2.1375601322113998E-16</v>
      </c>
      <c r="EY142" s="22">
        <f t="shared" si="129"/>
        <v>1.3178786242643332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108.5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-1.7053025658242404E-13</v>
      </c>
      <c r="FF142" s="17">
        <f>FE142*VLOOKUP('Données projet'!$B$16,Paramètres!$A$1:$I$89,3,0)*VLOOKUP('Données projet'!$B$16,Paramètres!$A$1:$I$89,5,0)</f>
        <v>-9.7543306765146564E-14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242.10913976205194</v>
      </c>
      <c r="FK142" s="59">
        <f t="shared" si="156"/>
        <v>198.24795425321133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0.52775724268518842</v>
      </c>
      <c r="FS142" s="21">
        <f>EXP(-LN(2)/2)*FS141+(1-EXP(-LN(2)/2))/(LN(2)/2)*FM142*FP142*VLOOKUP('Données projet'!$B$16,Paramètres!$A$1:$I$89,3,0)*0.475*44/12</f>
        <v>5.1902085401485861E-16</v>
      </c>
      <c r="FT142" s="22">
        <f t="shared" si="132"/>
        <v>0.52775724268518898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108.5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108.5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68.468400000000045</v>
      </c>
      <c r="D143" s="11">
        <f t="shared" si="140"/>
        <v>19.292618976952735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372.59941390215045</v>
      </c>
      <c r="H143" s="67">
        <f t="shared" si="110"/>
        <v>550.68377471819269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108.5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4.6111381379887463E-14</v>
      </c>
      <c r="P143" s="13">
        <f t="shared" si="141"/>
        <v>7.5804141040779151E-13</v>
      </c>
      <c r="Q143" s="20">
        <f t="shared" si="108"/>
        <v>1.4005661123635408E-12</v>
      </c>
      <c r="R143" s="59">
        <f t="shared" si="109"/>
        <v>434.50000000000142</v>
      </c>
      <c r="S143" s="59">
        <f ca="1">AVERAGE(OFFSET($R$3,0,0,'Données projet'!$E$9+1,1))-AVERAGE(OFFSET($H$3,0,0,'Données projet'!$E$9+1,1))</f>
        <v>273.89826011924487</v>
      </c>
      <c r="T143" s="59">
        <f t="shared" si="142"/>
        <v>332.17519939974227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0.40291423803818782</v>
      </c>
      <c r="AB143" s="21">
        <f>EXP(-LN(2)/2)*AB142+(1-EXP(-LN(2)/2))/(LN(2)/2)*V143*Y143*VLOOKUP('Données projet'!$B$9,Paramètres!$A$1:$I$89,3,0)*0.475*44/12</f>
        <v>3.0454997807258019E-16</v>
      </c>
      <c r="AC143" s="22">
        <f t="shared" si="111"/>
        <v>0.4029142380381881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108.5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-5.3205440053716299E-14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293.42903587188346</v>
      </c>
      <c r="AO143" s="59">
        <f t="shared" si="144"/>
        <v>267.80827667062124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0.3548830917919033</v>
      </c>
      <c r="AV143" s="21">
        <f>EXP(-LN(2)/25)*AV142+(1-EXP(-LN(2)/25))/(LN(2)/25)*Calculateur!AQ143*Calculateur!AS143*VLOOKUP('Données projet'!$B$10,Paramètres!$A$1:$I$89,3,0)*0.475*44/12</f>
        <v>0.3720830455931074</v>
      </c>
      <c r="AW143" s="21">
        <f>EXP(-LN(2)/2)*AW142+(1-EXP(-LN(2)/2))/(LN(2)/2)*AQ143*AT143*VLOOKUP('Données projet'!$B$10,Paramètres!$A$1:$I$89,3,0)*0.475*44/12</f>
        <v>2.7289771776506355E-16</v>
      </c>
      <c r="AX143" s="21">
        <f t="shared" si="114"/>
        <v>0.72696613738501092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108.5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-1.0286385077051818E-13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324.41828402031939</v>
      </c>
      <c r="BJ143" s="59">
        <f t="shared" si="146"/>
        <v>233.01060088065992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0.14711631070624986</v>
      </c>
      <c r="BR143" s="21">
        <f>EXP(-LN(2)/2)*BR142+(1-EXP(-LN(2)/2))/(LN(2)/2)*BL143*BO143*VLOOKUP('Données projet'!$B$11,Paramètres!$A$1:$I$89,3,0)*0.475*44/12</f>
        <v>1.7178891238501879E-16</v>
      </c>
      <c r="BS143" s="22">
        <f t="shared" si="117"/>
        <v>0.14711631070625003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108.5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279.00060755204919</v>
      </c>
      <c r="CE143" s="59">
        <f t="shared" si="148"/>
        <v>333.91128554211014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0.82658450375773018</v>
      </c>
      <c r="CL143" s="21">
        <f>EXP(-LN(2)/25)*CL142+(1-EXP(-LN(2)/25))/(LN(2)/25)*Calculateur!CG143*Calculateur!CI143*VLOOKUP('Données projet'!$B$12,Paramètres!$A$1:$I$89,3,0)*0.475*44/12</f>
        <v>1.3182335511660432</v>
      </c>
      <c r="CM143" s="21">
        <f>EXP(-LN(2)/2)*CM142+(1-EXP(-LN(2)/2))/(LN(2)/2)*CG143*CJ143*VLOOKUP('Données projet'!$B$12,Paramètres!$A$1:$I$89,3,0)*0.475*44/12</f>
        <v>5.9824058866041757E-16</v>
      </c>
      <c r="CN143" s="22">
        <f t="shared" si="120"/>
        <v>2.1448180549237739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108.5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-6.7984728957526396E-14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380.01315081072897</v>
      </c>
      <c r="CZ143" s="59">
        <f t="shared" si="150"/>
        <v>404.90871625409181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0.39607174138391293</v>
      </c>
      <c r="DG143" s="21">
        <f>EXP(-LN(2)/25)*DG142+(1-EXP(-LN(2)/25))/(LN(2)/25)*Calculateur!DB143*Calculateur!DD143*VLOOKUP('Données projet'!$B$13,Paramètres!$A$1:$I$89,3,0)*0.475*44/12</f>
        <v>1.0107801368346503</v>
      </c>
      <c r="DH143" s="21">
        <f>EXP(-LN(2)/2)*DH142+(1-EXP(-LN(2)/2))/(LN(2)/2)*DB143*DE143*VLOOKUP('Données projet'!$B$13,Paramètres!$A$1:$I$89,3,0)*0.475*44/12</f>
        <v>8.4108648146699647E-16</v>
      </c>
      <c r="DI143" s="22">
        <f t="shared" si="123"/>
        <v>1.4068518782185642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108.5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-5.6843418860808015E-14</v>
      </c>
      <c r="DP143" s="17">
        <f>DO143*VLOOKUP('Données projet'!$B$14,Paramètres!$A$1:$I$89,3,0)*VLOOKUP('Données projet'!$B$14,Paramètres!$A$1:$I$89,5,0)</f>
        <v>-5.1431925385259088E-14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320.81451813551064</v>
      </c>
      <c r="DU143" s="59">
        <f t="shared" si="152"/>
        <v>522.80818268773976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0.20781190005066108</v>
      </c>
      <c r="EB143" s="21">
        <f>EXP(-LN(2)/25)*EB142+(1-EXP(-LN(2)/25))/(LN(2)/25)*Calculateur!DW143*Calculateur!DY143*VLOOKUP('Données projet'!$B$14,Paramètres!$A$1:$I$89,3,0)*0.475*44/12</f>
        <v>0.49383747595063815</v>
      </c>
      <c r="EC143" s="21">
        <f>EXP(-LN(2)/2)*EC142+(1-EXP(-LN(2)/2))/(LN(2)/2)*DW143*DZ143*VLOOKUP('Données projet'!$B$14,Paramètres!$A$1:$I$89,3,0)*0.475*44/12</f>
        <v>1.6622490899388458E-16</v>
      </c>
      <c r="ED143" s="22">
        <f t="shared" si="126"/>
        <v>0.70164937600129929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108.5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228.3393311631487</v>
      </c>
      <c r="EP143" s="59">
        <f t="shared" si="154"/>
        <v>266.26050497804033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0.70332433764825208</v>
      </c>
      <c r="EW143" s="21">
        <f>EXP(-LN(2)/25)*EW142+(1-EXP(-LN(2)/25))/(LN(2)/25)*Calculateur!ER143*Calculateur!ET143*VLOOKUP('Données projet'!$B$15,Paramètres!$A$1:$I$89,3,0)*0.475*44/12</f>
        <v>0.58406632840557726</v>
      </c>
      <c r="EX143" s="21">
        <f>EXP(-LN(2)/2)*EX142+(1-EXP(-LN(2)/2))/(LN(2)/2)*ER143*EU143*VLOOKUP('Données projet'!$B$15,Paramètres!$A$1:$I$89,3,0)*0.475*44/12</f>
        <v>1.5114832646806939E-16</v>
      </c>
      <c r="EY143" s="22">
        <f t="shared" si="129"/>
        <v>1.2873906660538295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108.5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-1.7053025658242404E-13</v>
      </c>
      <c r="FF143" s="17">
        <f>FE143*VLOOKUP('Données projet'!$B$16,Paramètres!$A$1:$I$89,3,0)*VLOOKUP('Données projet'!$B$16,Paramètres!$A$1:$I$89,5,0)</f>
        <v>-9.7543306765146564E-14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242.10913976205194</v>
      </c>
      <c r="FK143" s="59">
        <f t="shared" si="156"/>
        <v>198.24795425321133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0.51332569313041476</v>
      </c>
      <c r="FS143" s="21">
        <f>EXP(-LN(2)/2)*FS142+(1-EXP(-LN(2)/2))/(LN(2)/2)*FM143*FP143*VLOOKUP('Données projet'!$B$16,Paramètres!$A$1:$I$89,3,0)*0.475*44/12</f>
        <v>3.6700316545113966E-16</v>
      </c>
      <c r="FT143" s="22">
        <f t="shared" si="132"/>
        <v>0.51332569313041509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108.5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108.5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68.95746000000004</v>
      </c>
      <c r="D144" s="11">
        <f t="shared" si="140"/>
        <v>19.414332478596773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375.19252245299009</v>
      </c>
      <c r="H144" s="67">
        <f t="shared" si="110"/>
        <v>551.74753856688949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108.5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4.6111381379887463E-14</v>
      </c>
      <c r="P144" s="13">
        <f t="shared" si="141"/>
        <v>7.5804141040779151E-13</v>
      </c>
      <c r="Q144" s="20">
        <f t="shared" si="108"/>
        <v>1.4005661123635408E-12</v>
      </c>
      <c r="R144" s="59">
        <f t="shared" si="109"/>
        <v>434.50000000000142</v>
      </c>
      <c r="S144" s="59">
        <f ca="1">AVERAGE(OFFSET($R$3,0,0,'Données projet'!$E$9+1,1))-AVERAGE(OFFSET($H$3,0,0,'Données projet'!$E$9+1,1))</f>
        <v>273.89826011924487</v>
      </c>
      <c r="T144" s="59">
        <f t="shared" si="142"/>
        <v>332.17519939974227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0.39189652701069466</v>
      </c>
      <c r="AB144" s="21">
        <f>EXP(-LN(2)/2)*AB143+(1-EXP(-LN(2)/2))/(LN(2)/2)*V144*Y144*VLOOKUP('Données projet'!$B$9,Paramètres!$A$1:$I$89,3,0)*0.475*44/12</f>
        <v>2.1534935470533581E-16</v>
      </c>
      <c r="AC144" s="22">
        <f t="shared" si="111"/>
        <v>0.39189652701069488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108.5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-5.3205440053716299E-14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293.42903587188346</v>
      </c>
      <c r="AO144" s="59">
        <f t="shared" si="144"/>
        <v>267.80827667062124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0.34792405081917671</v>
      </c>
      <c r="AV144" s="21">
        <f>EXP(-LN(2)/25)*AV143+(1-EXP(-LN(2)/25))/(LN(2)/25)*Calculateur!AQ144*Calculateur!AS144*VLOOKUP('Données projet'!$B$10,Paramètres!$A$1:$I$89,3,0)*0.475*44/12</f>
        <v>0.36190841514436689</v>
      </c>
      <c r="AW144" s="21">
        <f>EXP(-LN(2)/2)*AW143+(1-EXP(-LN(2)/2))/(LN(2)/2)*AQ144*AT144*VLOOKUP('Données projet'!$B$10,Paramètres!$A$1:$I$89,3,0)*0.475*44/12</f>
        <v>1.92967826802009E-16</v>
      </c>
      <c r="AX144" s="21">
        <f t="shared" si="114"/>
        <v>0.70983246596354377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108.5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-1.0286385077051818E-13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324.41828402031939</v>
      </c>
      <c r="BJ144" s="59">
        <f t="shared" si="146"/>
        <v>233.01060088065992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0.14309340745347693</v>
      </c>
      <c r="BR144" s="21">
        <f>EXP(-LN(2)/2)*BR143+(1-EXP(-LN(2)/2))/(LN(2)/2)*BL144*BO144*VLOOKUP('Données projet'!$B$11,Paramètres!$A$1:$I$89,3,0)*0.475*44/12</f>
        <v>1.2147310488010846E-16</v>
      </c>
      <c r="BS144" s="22">
        <f t="shared" si="117"/>
        <v>0.14309340745347704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108.5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279.00060755204919</v>
      </c>
      <c r="CE144" s="59">
        <f t="shared" si="148"/>
        <v>333.91128554211014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0.8103756858058061</v>
      </c>
      <c r="CL144" s="21">
        <f>EXP(-LN(2)/25)*CL143+(1-EXP(-LN(2)/25))/(LN(2)/25)*Calculateur!CG144*Calculateur!CI144*VLOOKUP('Données projet'!$B$12,Paramètres!$A$1:$I$89,3,0)*0.475*44/12</f>
        <v>1.2821863853865183</v>
      </c>
      <c r="CM144" s="21">
        <f>EXP(-LN(2)/2)*CM143+(1-EXP(-LN(2)/2))/(LN(2)/2)*CG144*CJ144*VLOOKUP('Données projet'!$B$12,Paramètres!$A$1:$I$89,3,0)*0.475*44/12</f>
        <v>4.2301997702281328E-16</v>
      </c>
      <c r="CN144" s="22">
        <f t="shared" si="120"/>
        <v>2.092562071192325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108.5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-6.7984728957526396E-14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380.01315081072897</v>
      </c>
      <c r="CZ144" s="59">
        <f t="shared" si="150"/>
        <v>404.90871625409181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0.38830501611528262</v>
      </c>
      <c r="DG144" s="21">
        <f>EXP(-LN(2)/25)*DG143+(1-EXP(-LN(2)/25))/(LN(2)/25)*Calculateur!DB144*Calculateur!DD144*VLOOKUP('Données projet'!$B$13,Paramètres!$A$1:$I$89,3,0)*0.475*44/12</f>
        <v>0.98314030083828952</v>
      </c>
      <c r="DH144" s="21">
        <f>EXP(-LN(2)/2)*DH143+(1-EXP(-LN(2)/2))/(LN(2)/2)*DB144*DE144*VLOOKUP('Données projet'!$B$13,Paramètres!$A$1:$I$89,3,0)*0.475*44/12</f>
        <v>5.9473795460964663E-16</v>
      </c>
      <c r="DI144" s="22">
        <f t="shared" si="123"/>
        <v>1.3714453169535727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108.5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-5.6843418860808015E-14</v>
      </c>
      <c r="DP144" s="17">
        <f>DO144*VLOOKUP('Données projet'!$B$14,Paramètres!$A$1:$I$89,3,0)*VLOOKUP('Données projet'!$B$14,Paramètres!$A$1:$I$89,5,0)</f>
        <v>-5.1431925385259088E-14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320.81451813551064</v>
      </c>
      <c r="DU144" s="59">
        <f t="shared" si="152"/>
        <v>522.80818268773976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0.20373683544341084</v>
      </c>
      <c r="EB144" s="21">
        <f>EXP(-LN(2)/25)*EB143+(1-EXP(-LN(2)/25))/(LN(2)/25)*Calculateur!DW144*Calculateur!DY144*VLOOKUP('Données projet'!$B$14,Paramètres!$A$1:$I$89,3,0)*0.475*44/12</f>
        <v>0.48033346420098377</v>
      </c>
      <c r="EC144" s="21">
        <f>EXP(-LN(2)/2)*EC143+(1-EXP(-LN(2)/2))/(LN(2)/2)*DW144*DZ144*VLOOKUP('Données projet'!$B$14,Paramètres!$A$1:$I$89,3,0)*0.475*44/12</f>
        <v>1.1753876035169252E-16</v>
      </c>
      <c r="ED144" s="22">
        <f t="shared" si="126"/>
        <v>0.6840702996443947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108.5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228.3393311631487</v>
      </c>
      <c r="EP144" s="59">
        <f t="shared" si="154"/>
        <v>266.26050497804033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0.68953257637245702</v>
      </c>
      <c r="EW144" s="21">
        <f>EXP(-LN(2)/25)*EW143+(1-EXP(-LN(2)/25))/(LN(2)/25)*Calculateur!ER144*Calculateur!ET144*VLOOKUP('Données projet'!$B$15,Paramètres!$A$1:$I$89,3,0)*0.475*44/12</f>
        <v>0.56809500394061341</v>
      </c>
      <c r="EX144" s="21">
        <f>EXP(-LN(2)/2)*EX143+(1-EXP(-LN(2)/2))/(LN(2)/2)*ER144*EU144*VLOOKUP('Données projet'!$B$15,Paramètres!$A$1:$I$89,3,0)*0.475*44/12</f>
        <v>1.0687800661056999E-16</v>
      </c>
      <c r="EY144" s="22">
        <f t="shared" si="129"/>
        <v>1.2576275803130703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108.5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-1.7053025658242404E-13</v>
      </c>
      <c r="FF144" s="17">
        <f>FE144*VLOOKUP('Données projet'!$B$16,Paramètres!$A$1:$I$89,3,0)*VLOOKUP('Données projet'!$B$16,Paramètres!$A$1:$I$89,5,0)</f>
        <v>-9.7543306765146564E-14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242.10913976205194</v>
      </c>
      <c r="FK144" s="59">
        <f t="shared" si="156"/>
        <v>198.24795425321133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0.49928877505713859</v>
      </c>
      <c r="FS144" s="21">
        <f>EXP(-LN(2)/2)*FS143+(1-EXP(-LN(2)/2))/(LN(2)/2)*FM144*FP144*VLOOKUP('Données projet'!$B$16,Paramètres!$A$1:$I$89,3,0)*0.475*44/12</f>
        <v>2.5951042700742931E-16</v>
      </c>
      <c r="FT144" s="22">
        <f t="shared" si="132"/>
        <v>0.49928877505713887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108.5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108.5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69.446520000000035</v>
      </c>
      <c r="D145" s="11">
        <f t="shared" si="140"/>
        <v>19.535945542432746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377.78520458366205</v>
      </c>
      <c r="H145" s="67">
        <f t="shared" si="110"/>
        <v>552.81112748640373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108.5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4.6111381379887463E-14</v>
      </c>
      <c r="P145" s="13">
        <f t="shared" si="141"/>
        <v>7.5804141040779151E-13</v>
      </c>
      <c r="Q145" s="20">
        <f t="shared" si="108"/>
        <v>1.4005661123635408E-12</v>
      </c>
      <c r="R145" s="59">
        <f t="shared" si="109"/>
        <v>434.50000000000142</v>
      </c>
      <c r="S145" s="59">
        <f ca="1">AVERAGE(OFFSET($R$3,0,0,'Données projet'!$E$9+1,1))-AVERAGE(OFFSET($H$3,0,0,'Données projet'!$E$9+1,1))</f>
        <v>273.89826011924487</v>
      </c>
      <c r="T145" s="59">
        <f t="shared" si="142"/>
        <v>332.17519939974227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0.38118009587064455</v>
      </c>
      <c r="AB145" s="21">
        <f>EXP(-LN(2)/2)*AB144+(1-EXP(-LN(2)/2))/(LN(2)/2)*V145*Y145*VLOOKUP('Données projet'!$B$9,Paramètres!$A$1:$I$89,3,0)*0.475*44/12</f>
        <v>1.5227498903629009E-16</v>
      </c>
      <c r="AC145" s="22">
        <f t="shared" si="111"/>
        <v>0.38118009587064472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108.5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-5.3205440053716299E-14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293.42903587188346</v>
      </c>
      <c r="AO145" s="59">
        <f t="shared" si="144"/>
        <v>267.80827667062124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0.3411014723953294</v>
      </c>
      <c r="AV145" s="21">
        <f>EXP(-LN(2)/25)*AV144+(1-EXP(-LN(2)/25))/(LN(2)/25)*Calculateur!AQ145*Calculateur!AS145*VLOOKUP('Données projet'!$B$10,Paramètres!$A$1:$I$89,3,0)*0.475*44/12</f>
        <v>0.35201201050030778</v>
      </c>
      <c r="AW145" s="21">
        <f>EXP(-LN(2)/2)*AW144+(1-EXP(-LN(2)/2))/(LN(2)/2)*AQ145*AT145*VLOOKUP('Données projet'!$B$10,Paramètres!$A$1:$I$89,3,0)*0.475*44/12</f>
        <v>1.3644885888253177E-16</v>
      </c>
      <c r="AX145" s="21">
        <f t="shared" si="114"/>
        <v>0.69311348289563723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108.5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-1.0286385077051818E-13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324.41828402031939</v>
      </c>
      <c r="BJ145" s="59">
        <f t="shared" si="146"/>
        <v>233.01060088065992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0.13918051070170634</v>
      </c>
      <c r="BR145" s="21">
        <f>EXP(-LN(2)/2)*BR144+(1-EXP(-LN(2)/2))/(LN(2)/2)*BL145*BO145*VLOOKUP('Données projet'!$B$11,Paramètres!$A$1:$I$89,3,0)*0.475*44/12</f>
        <v>8.5894456192509395E-17</v>
      </c>
      <c r="BS145" s="22">
        <f t="shared" si="117"/>
        <v>0.13918051070170642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108.5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279.00060755204919</v>
      </c>
      <c r="CE145" s="59">
        <f t="shared" si="148"/>
        <v>333.91128554211014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0.79448471288751643</v>
      </c>
      <c r="CL145" s="21">
        <f>EXP(-LN(2)/25)*CL144+(1-EXP(-LN(2)/25))/(LN(2)/25)*Calculateur!CG145*Calculateur!CI145*VLOOKUP('Données projet'!$B$12,Paramètres!$A$1:$I$89,3,0)*0.475*44/12</f>
        <v>1.2471249312508725</v>
      </c>
      <c r="CM145" s="21">
        <f>EXP(-LN(2)/2)*CM144+(1-EXP(-LN(2)/2))/(LN(2)/2)*CG145*CJ145*VLOOKUP('Données projet'!$B$12,Paramètres!$A$1:$I$89,3,0)*0.475*44/12</f>
        <v>2.9912029433020879E-16</v>
      </c>
      <c r="CN145" s="22">
        <f t="shared" si="120"/>
        <v>2.0416096441383895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108.5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-6.7984728957526396E-14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380.01315081072897</v>
      </c>
      <c r="CZ145" s="59">
        <f t="shared" si="150"/>
        <v>404.90871625409181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0.38069059159193547</v>
      </c>
      <c r="DG145" s="21">
        <f>EXP(-LN(2)/25)*DG144+(1-EXP(-LN(2)/25))/(LN(2)/25)*Calculateur!DB145*Calculateur!DD145*VLOOKUP('Données projet'!$B$13,Paramètres!$A$1:$I$89,3,0)*0.475*44/12</f>
        <v>0.95625627761076504</v>
      </c>
      <c r="DH145" s="21">
        <f>EXP(-LN(2)/2)*DH144+(1-EXP(-LN(2)/2))/(LN(2)/2)*DB145*DE145*VLOOKUP('Données projet'!$B$13,Paramètres!$A$1:$I$89,3,0)*0.475*44/12</f>
        <v>4.2054324073349824E-16</v>
      </c>
      <c r="DI145" s="22">
        <f t="shared" si="123"/>
        <v>1.3369468692027009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108.5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-5.6843418860808015E-14</v>
      </c>
      <c r="DP145" s="17">
        <f>DO145*VLOOKUP('Données projet'!$B$14,Paramètres!$A$1:$I$89,3,0)*VLOOKUP('Données projet'!$B$14,Paramètres!$A$1:$I$89,5,0)</f>
        <v>-5.1431925385259088E-14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320.81451813551064</v>
      </c>
      <c r="DU145" s="59">
        <f t="shared" si="152"/>
        <v>522.80818268773976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0.19974168036756482</v>
      </c>
      <c r="EB145" s="21">
        <f>EXP(-LN(2)/25)*EB144+(1-EXP(-LN(2)/25))/(LN(2)/25)*Calculateur!DW145*Calculateur!DY145*VLOOKUP('Données projet'!$B$14,Paramètres!$A$1:$I$89,3,0)*0.475*44/12</f>
        <v>0.46719872036276883</v>
      </c>
      <c r="EC145" s="21">
        <f>EXP(-LN(2)/2)*EC144+(1-EXP(-LN(2)/2))/(LN(2)/2)*DW145*DZ145*VLOOKUP('Données projet'!$B$14,Paramètres!$A$1:$I$89,3,0)*0.475*44/12</f>
        <v>8.3112454496942289E-17</v>
      </c>
      <c r="ED145" s="22">
        <f t="shared" si="126"/>
        <v>0.66694040073033378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108.5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228.3393311631487</v>
      </c>
      <c r="EP145" s="59">
        <f t="shared" si="154"/>
        <v>266.26050497804033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0.67601126312313653</v>
      </c>
      <c r="EW145" s="21">
        <f>EXP(-LN(2)/25)*EW144+(1-EXP(-LN(2)/25))/(LN(2)/25)*Calculateur!ER145*Calculateur!ET145*VLOOKUP('Données projet'!$B$15,Paramètres!$A$1:$I$89,3,0)*0.475*44/12</f>
        <v>0.55256041618303953</v>
      </c>
      <c r="EX145" s="21">
        <f>EXP(-LN(2)/2)*EX144+(1-EXP(-LN(2)/2))/(LN(2)/2)*ER145*EU145*VLOOKUP('Données projet'!$B$15,Paramètres!$A$1:$I$89,3,0)*0.475*44/12</f>
        <v>7.5574163234034693E-17</v>
      </c>
      <c r="EY145" s="22">
        <f t="shared" si="129"/>
        <v>1.2285716793061761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108.5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-1.7053025658242404E-13</v>
      </c>
      <c r="FF145" s="17">
        <f>FE145*VLOOKUP('Données projet'!$B$16,Paramètres!$A$1:$I$89,3,0)*VLOOKUP('Données projet'!$B$16,Paramètres!$A$1:$I$89,5,0)</f>
        <v>-9.7543306765146564E-14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242.10913976205194</v>
      </c>
      <c r="FK145" s="59">
        <f t="shared" si="156"/>
        <v>198.24795425321133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0.4856356972467456</v>
      </c>
      <c r="FS145" s="21">
        <f>EXP(-LN(2)/2)*FS144+(1-EXP(-LN(2)/2))/(LN(2)/2)*FM145*FP145*VLOOKUP('Données projet'!$B$16,Paramètres!$A$1:$I$89,3,0)*0.475*44/12</f>
        <v>1.8350158272556983E-16</v>
      </c>
      <c r="FT145" s="22">
        <f t="shared" si="132"/>
        <v>0.48563569724674577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108.5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108.5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69.93558000000003</v>
      </c>
      <c r="D146" s="11">
        <f t="shared" si="140"/>
        <v>19.657458957789405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380.37746364535161</v>
      </c>
      <c r="H146" s="67">
        <f t="shared" si="110"/>
        <v>553.87454285148328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108.5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4.6111381379887463E-14</v>
      </c>
      <c r="P146" s="13">
        <f t="shared" si="141"/>
        <v>7.5804141040779151E-13</v>
      </c>
      <c r="Q146" s="20">
        <f t="shared" si="108"/>
        <v>1.4005661123635408E-12</v>
      </c>
      <c r="R146" s="59">
        <f t="shared" si="109"/>
        <v>434.50000000000142</v>
      </c>
      <c r="S146" s="59">
        <f ca="1">AVERAGE(OFFSET($R$3,0,0,'Données projet'!$E$9+1,1))-AVERAGE(OFFSET($H$3,0,0,'Données projet'!$E$9+1,1))</f>
        <v>273.89826011924487</v>
      </c>
      <c r="T146" s="59">
        <f t="shared" si="142"/>
        <v>332.17519939974227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0.37075670610367173</v>
      </c>
      <c r="AB146" s="21">
        <f>EXP(-LN(2)/2)*AB145+(1-EXP(-LN(2)/2))/(LN(2)/2)*V146*Y146*VLOOKUP('Données projet'!$B$9,Paramètres!$A$1:$I$89,3,0)*0.475*44/12</f>
        <v>1.076746773526679E-16</v>
      </c>
      <c r="AC146" s="22">
        <f t="shared" si="111"/>
        <v>0.37075670610367184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108.5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-5.3205440053716299E-14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293.42903587188346</v>
      </c>
      <c r="AO146" s="59">
        <f t="shared" si="144"/>
        <v>267.80827667062124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0.33441268057301177</v>
      </c>
      <c r="AV146" s="21">
        <f>EXP(-LN(2)/25)*AV145+(1-EXP(-LN(2)/25))/(LN(2)/25)*Calculateur!AQ146*Calculateur!AS146*VLOOKUP('Données projet'!$B$10,Paramètres!$A$1:$I$89,3,0)*0.475*44/12</f>
        <v>0.34238622356166976</v>
      </c>
      <c r="AW146" s="21">
        <f>EXP(-LN(2)/2)*AW145+(1-EXP(-LN(2)/2))/(LN(2)/2)*AQ146*AT146*VLOOKUP('Données projet'!$B$10,Paramètres!$A$1:$I$89,3,0)*0.475*44/12</f>
        <v>9.6483913401004499E-17</v>
      </c>
      <c r="AX146" s="21">
        <f t="shared" si="114"/>
        <v>0.67679890413468169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108.5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-1.0286385077051818E-13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324.41828402031939</v>
      </c>
      <c r="BJ146" s="59">
        <f t="shared" si="146"/>
        <v>233.01060088065992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0.13537461231738324</v>
      </c>
      <c r="BR146" s="21">
        <f>EXP(-LN(2)/2)*BR145+(1-EXP(-LN(2)/2))/(LN(2)/2)*BL146*BO146*VLOOKUP('Données projet'!$B$11,Paramètres!$A$1:$I$89,3,0)*0.475*44/12</f>
        <v>6.0736552440054232E-17</v>
      </c>
      <c r="BS146" s="22">
        <f t="shared" si="117"/>
        <v>0.13537461231738329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108.5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279.00060755204919</v>
      </c>
      <c r="CE146" s="59">
        <f t="shared" si="148"/>
        <v>333.91128554211014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0.77890535225561797</v>
      </c>
      <c r="CL146" s="21">
        <f>EXP(-LN(2)/25)*CL145+(1-EXP(-LN(2)/25))/(LN(2)/25)*Calculateur!CG146*Calculateur!CI146*VLOOKUP('Données projet'!$B$12,Paramètres!$A$1:$I$89,3,0)*0.475*44/12</f>
        <v>1.2130222344223676</v>
      </c>
      <c r="CM146" s="21">
        <f>EXP(-LN(2)/2)*CM145+(1-EXP(-LN(2)/2))/(LN(2)/2)*CG146*CJ146*VLOOKUP('Données projet'!$B$12,Paramètres!$A$1:$I$89,3,0)*0.475*44/12</f>
        <v>2.1150998851140664E-16</v>
      </c>
      <c r="CN146" s="22">
        <f t="shared" si="120"/>
        <v>1.9919275866779858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108.5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-6.7984728957526396E-14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380.01315081072897</v>
      </c>
      <c r="CZ146" s="59">
        <f t="shared" si="150"/>
        <v>404.90871625409181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0.37322548128915078</v>
      </c>
      <c r="DG146" s="21">
        <f>EXP(-LN(2)/25)*DG145+(1-EXP(-LN(2)/25))/(LN(2)/25)*Calculateur!DB146*Calculateur!DD146*VLOOKUP('Données projet'!$B$13,Paramètres!$A$1:$I$89,3,0)*0.475*44/12</f>
        <v>0.93010739941216658</v>
      </c>
      <c r="DH146" s="21">
        <f>EXP(-LN(2)/2)*DH145+(1-EXP(-LN(2)/2))/(LN(2)/2)*DB146*DE146*VLOOKUP('Données projet'!$B$13,Paramètres!$A$1:$I$89,3,0)*0.475*44/12</f>
        <v>2.9736897730482331E-16</v>
      </c>
      <c r="DI146" s="22">
        <f t="shared" si="123"/>
        <v>1.3033328807013176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108.5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-5.6843418860808015E-14</v>
      </c>
      <c r="DP146" s="17">
        <f>DO146*VLOOKUP('Données projet'!$B$14,Paramètres!$A$1:$I$89,3,0)*VLOOKUP('Données projet'!$B$14,Paramètres!$A$1:$I$89,5,0)</f>
        <v>-5.1431925385259088E-14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320.81451813551064</v>
      </c>
      <c r="DU146" s="59">
        <f t="shared" si="152"/>
        <v>522.80818268773976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0.19582486784595216</v>
      </c>
      <c r="EB146" s="21">
        <f>EXP(-LN(2)/25)*EB145+(1-EXP(-LN(2)/25))/(LN(2)/25)*Calculateur!DW146*Calculateur!DY146*VLOOKUP('Données projet'!$B$14,Paramètres!$A$1:$I$89,3,0)*0.475*44/12</f>
        <v>0.45442314678553603</v>
      </c>
      <c r="EC146" s="21">
        <f>EXP(-LN(2)/2)*EC145+(1-EXP(-LN(2)/2))/(LN(2)/2)*DW146*DZ146*VLOOKUP('Données projet'!$B$14,Paramètres!$A$1:$I$89,3,0)*0.475*44/12</f>
        <v>5.8769380175846259E-17</v>
      </c>
      <c r="ED146" s="22">
        <f t="shared" si="126"/>
        <v>0.65024801463148829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108.5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228.3393311631487</v>
      </c>
      <c r="EP146" s="59">
        <f t="shared" si="154"/>
        <v>266.26050497804033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0.66275509457944848</v>
      </c>
      <c r="EW146" s="21">
        <f>EXP(-LN(2)/25)*EW145+(1-EXP(-LN(2)/25))/(LN(2)/25)*Calculateur!ER146*Calculateur!ET146*VLOOKUP('Données projet'!$B$15,Paramètres!$A$1:$I$89,3,0)*0.475*44/12</f>
        <v>0.53745062254462495</v>
      </c>
      <c r="EX146" s="21">
        <f>EXP(-LN(2)/2)*EX145+(1-EXP(-LN(2)/2))/(LN(2)/2)*ER146*EU146*VLOOKUP('Données projet'!$B$15,Paramètres!$A$1:$I$89,3,0)*0.475*44/12</f>
        <v>5.3439003305284995E-17</v>
      </c>
      <c r="EY146" s="22">
        <f t="shared" si="129"/>
        <v>1.2002057171240734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108.5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-1.7053025658242404E-13</v>
      </c>
      <c r="FF146" s="17">
        <f>FE146*VLOOKUP('Données projet'!$B$16,Paramètres!$A$1:$I$89,3,0)*VLOOKUP('Données projet'!$B$16,Paramètres!$A$1:$I$89,5,0)</f>
        <v>-9.7543306765146564E-14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242.10913976205194</v>
      </c>
      <c r="FK146" s="59">
        <f t="shared" si="156"/>
        <v>198.24795425321133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0.47235596356706194</v>
      </c>
      <c r="FS146" s="21">
        <f>EXP(-LN(2)/2)*FS145+(1-EXP(-LN(2)/2))/(LN(2)/2)*FM146*FP146*VLOOKUP('Données projet'!$B$16,Paramètres!$A$1:$I$89,3,0)*0.475*44/12</f>
        <v>1.2975521350371465E-16</v>
      </c>
      <c r="FT146" s="22">
        <f t="shared" si="132"/>
        <v>0.47235596356706205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108.5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108.5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70.424640000000025</v>
      </c>
      <c r="D147" s="11">
        <f t="shared" si="140"/>
        <v>19.778873502317886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382.96930293966557</v>
      </c>
      <c r="H147" s="67">
        <f t="shared" si="110"/>
        <v>554.93778601653707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108.5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4.6111381379887463E-14</v>
      </c>
      <c r="P147" s="13">
        <f t="shared" si="141"/>
        <v>7.5804141040779151E-13</v>
      </c>
      <c r="Q147" s="20">
        <f t="shared" si="108"/>
        <v>1.4005661123635408E-12</v>
      </c>
      <c r="R147" s="59">
        <f t="shared" si="109"/>
        <v>434.50000000000142</v>
      </c>
      <c r="S147" s="59">
        <f ca="1">AVERAGE(OFFSET($R$3,0,0,'Données projet'!$E$9+1,1))-AVERAGE(OFFSET($H$3,0,0,'Données projet'!$E$9+1,1))</f>
        <v>273.89826011924487</v>
      </c>
      <c r="T147" s="59">
        <f t="shared" si="142"/>
        <v>332.17519939974227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0.36061834447801905</v>
      </c>
      <c r="AB147" s="21">
        <f>EXP(-LN(2)/2)*AB146+(1-EXP(-LN(2)/2))/(LN(2)/2)*V147*Y147*VLOOKUP('Données projet'!$B$9,Paramètres!$A$1:$I$89,3,0)*0.475*44/12</f>
        <v>7.6137494518145046E-17</v>
      </c>
      <c r="AC147" s="22">
        <f t="shared" si="111"/>
        <v>0.3606183444780191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108.5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-5.3205440053716299E-14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293.42903587188346</v>
      </c>
      <c r="AO147" s="59">
        <f t="shared" si="144"/>
        <v>267.80827667062124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0.32785505187856961</v>
      </c>
      <c r="AV147" s="21">
        <f>EXP(-LN(2)/25)*AV146+(1-EXP(-LN(2)/25))/(LN(2)/25)*Calculateur!AQ147*Calculateur!AS147*VLOOKUP('Données projet'!$B$10,Paramètres!$A$1:$I$89,3,0)*0.475*44/12</f>
        <v>0.33302365427306696</v>
      </c>
      <c r="AW147" s="21">
        <f>EXP(-LN(2)/2)*AW146+(1-EXP(-LN(2)/2))/(LN(2)/2)*AQ147*AT147*VLOOKUP('Données projet'!$B$10,Paramètres!$A$1:$I$89,3,0)*0.475*44/12</f>
        <v>6.8224429441265887E-17</v>
      </c>
      <c r="AX147" s="21">
        <f t="shared" si="114"/>
        <v>0.66087870615163669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108.5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-1.0286385077051818E-13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324.41828402031939</v>
      </c>
      <c r="BJ147" s="59">
        <f t="shared" si="146"/>
        <v>233.01060088065992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0.13167278642452293</v>
      </c>
      <c r="BR147" s="21">
        <f>EXP(-LN(2)/2)*BR146+(1-EXP(-LN(2)/2))/(LN(2)/2)*BL147*BO147*VLOOKUP('Données projet'!$B$11,Paramètres!$A$1:$I$89,3,0)*0.475*44/12</f>
        <v>4.2947228096254698E-17</v>
      </c>
      <c r="BS147" s="22">
        <f t="shared" si="117"/>
        <v>0.13167278642452299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108.5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279.00060755204919</v>
      </c>
      <c r="CE147" s="59">
        <f t="shared" si="148"/>
        <v>333.91128554211014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0.76363149338323943</v>
      </c>
      <c r="CL147" s="21">
        <f>EXP(-LN(2)/25)*CL146+(1-EXP(-LN(2)/25))/(LN(2)/25)*Calculateur!CG147*Calculateur!CI147*VLOOKUP('Données projet'!$B$12,Paramètres!$A$1:$I$89,3,0)*0.475*44/12</f>
        <v>1.1798520776320209</v>
      </c>
      <c r="CM147" s="21">
        <f>EXP(-LN(2)/2)*CM146+(1-EXP(-LN(2)/2))/(LN(2)/2)*CG147*CJ147*VLOOKUP('Données projet'!$B$12,Paramètres!$A$1:$I$89,3,0)*0.475*44/12</f>
        <v>1.4956014716510439E-16</v>
      </c>
      <c r="CN147" s="22">
        <f t="shared" si="120"/>
        <v>1.9434835710152607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108.5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-6.7984728957526396E-14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380.01315081072897</v>
      </c>
      <c r="CZ147" s="59">
        <f t="shared" si="150"/>
        <v>404.90871625409181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0.36590675724613603</v>
      </c>
      <c r="DG147" s="21">
        <f>EXP(-LN(2)/25)*DG146+(1-EXP(-LN(2)/25))/(LN(2)/25)*Calculateur!DB147*Calculateur!DD147*VLOOKUP('Données projet'!$B$13,Paramètres!$A$1:$I$89,3,0)*0.475*44/12</f>
        <v>0.90467356366301854</v>
      </c>
      <c r="DH147" s="21">
        <f>EXP(-LN(2)/2)*DH146+(1-EXP(-LN(2)/2))/(LN(2)/2)*DB147*DE147*VLOOKUP('Données projet'!$B$13,Paramètres!$A$1:$I$89,3,0)*0.475*44/12</f>
        <v>2.1027162036674912E-16</v>
      </c>
      <c r="DI147" s="22">
        <f t="shared" si="123"/>
        <v>1.2705803209091548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108.5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-5.6843418860808015E-14</v>
      </c>
      <c r="DP147" s="17">
        <f>DO147*VLOOKUP('Données projet'!$B$14,Paramètres!$A$1:$I$89,3,0)*VLOOKUP('Données projet'!$B$14,Paramètres!$A$1:$I$89,5,0)</f>
        <v>-5.1431925385259088E-14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320.81451813551064</v>
      </c>
      <c r="DU147" s="59">
        <f t="shared" si="152"/>
        <v>522.80818268773976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0.19198486162886857</v>
      </c>
      <c r="EB147" s="21">
        <f>EXP(-LN(2)/25)*EB146+(1-EXP(-LN(2)/25))/(LN(2)/25)*Calculateur!DW147*Calculateur!DY147*VLOOKUP('Données projet'!$B$14,Paramètres!$A$1:$I$89,3,0)*0.475*44/12</f>
        <v>0.44199692193961088</v>
      </c>
      <c r="EC147" s="21">
        <f>EXP(-LN(2)/2)*EC146+(1-EXP(-LN(2)/2))/(LN(2)/2)*DW147*DZ147*VLOOKUP('Données projet'!$B$14,Paramètres!$A$1:$I$89,3,0)*0.475*44/12</f>
        <v>4.1556227248471145E-17</v>
      </c>
      <c r="ED147" s="22">
        <f t="shared" si="126"/>
        <v>0.63398178356847945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108.5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228.3393311631487</v>
      </c>
      <c r="EP147" s="59">
        <f t="shared" si="154"/>
        <v>266.26050497804033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0.64975887141543776</v>
      </c>
      <c r="EW147" s="21">
        <f>EXP(-LN(2)/25)*EW146+(1-EXP(-LN(2)/25))/(LN(2)/25)*Calculateur!ER147*Calculateur!ET147*VLOOKUP('Données projet'!$B$15,Paramètres!$A$1:$I$89,3,0)*0.475*44/12</f>
        <v>0.52275400700784225</v>
      </c>
      <c r="EX147" s="21">
        <f>EXP(-LN(2)/2)*EX146+(1-EXP(-LN(2)/2))/(LN(2)/2)*ER147*EU147*VLOOKUP('Données projet'!$B$15,Paramètres!$A$1:$I$89,3,0)*0.475*44/12</f>
        <v>3.7787081617017347E-17</v>
      </c>
      <c r="EY147" s="22">
        <f t="shared" si="129"/>
        <v>1.1725128784232801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108.5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-1.7053025658242404E-13</v>
      </c>
      <c r="FF147" s="17">
        <f>FE147*VLOOKUP('Données projet'!$B$16,Paramètres!$A$1:$I$89,3,0)*VLOOKUP('Données projet'!$B$16,Paramètres!$A$1:$I$89,5,0)</f>
        <v>-9.7543306765146564E-14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242.10913976205194</v>
      </c>
      <c r="FK147" s="59">
        <f t="shared" si="156"/>
        <v>198.24795425321133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0.45943936490320009</v>
      </c>
      <c r="FS147" s="21">
        <f>EXP(-LN(2)/2)*FS146+(1-EXP(-LN(2)/2))/(LN(2)/2)*FM147*FP147*VLOOKUP('Données projet'!$B$16,Paramètres!$A$1:$I$89,3,0)*0.475*44/12</f>
        <v>9.1750791362784915E-17</v>
      </c>
      <c r="FT147" s="22">
        <f t="shared" si="132"/>
        <v>0.4594393649032002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108.5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108.5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70.91370000000002</v>
      </c>
      <c r="D148" s="11">
        <f t="shared" si="140"/>
        <v>19.900189942244424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385.56072571970452</v>
      </c>
      <c r="H148" s="67">
        <f t="shared" si="110"/>
        <v>556.00085831607566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108.5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4.6111381379887463E-14</v>
      </c>
      <c r="P148" s="13">
        <f t="shared" si="141"/>
        <v>7.5804141040779151E-13</v>
      </c>
      <c r="Q148" s="20">
        <f t="shared" si="108"/>
        <v>1.4005661123635408E-12</v>
      </c>
      <c r="R148" s="59">
        <f t="shared" si="109"/>
        <v>434.50000000000142</v>
      </c>
      <c r="S148" s="59">
        <f ca="1">AVERAGE(OFFSET($R$3,0,0,'Données projet'!$E$9+1,1))-AVERAGE(OFFSET($H$3,0,0,'Données projet'!$E$9+1,1))</f>
        <v>273.89826011924487</v>
      </c>
      <c r="T148" s="59">
        <f t="shared" si="142"/>
        <v>332.17519939974227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0.35075721688417311</v>
      </c>
      <c r="AB148" s="21">
        <f>EXP(-LN(2)/2)*AB147+(1-EXP(-LN(2)/2))/(LN(2)/2)*V148*Y148*VLOOKUP('Données projet'!$B$9,Paramètres!$A$1:$I$89,3,0)*0.475*44/12</f>
        <v>5.3837338676333952E-17</v>
      </c>
      <c r="AC148" s="22">
        <f t="shared" si="111"/>
        <v>0.35075721688417316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108.5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-5.3205440053716299E-14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293.42903587188346</v>
      </c>
      <c r="AO148" s="59">
        <f t="shared" si="144"/>
        <v>267.80827667062124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0.32142601428306694</v>
      </c>
      <c r="AV148" s="21">
        <f>EXP(-LN(2)/25)*AV147+(1-EXP(-LN(2)/25))/(LN(2)/25)*Calculateur!AQ148*Calculateur!AS148*VLOOKUP('Données projet'!$B$10,Paramètres!$A$1:$I$89,3,0)*0.475*44/12</f>
        <v>0.3239171049340171</v>
      </c>
      <c r="AW148" s="21">
        <f>EXP(-LN(2)/2)*AW147+(1-EXP(-LN(2)/2))/(LN(2)/2)*AQ148*AT148*VLOOKUP('Données projet'!$B$10,Paramètres!$A$1:$I$89,3,0)*0.475*44/12</f>
        <v>4.8241956700502249E-17</v>
      </c>
      <c r="AX148" s="21">
        <f t="shared" si="114"/>
        <v>0.64534311921708398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108.5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-1.0286385077051818E-13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324.41828402031939</v>
      </c>
      <c r="BJ148" s="59">
        <f t="shared" si="146"/>
        <v>233.01060088065992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0.12807218715537347</v>
      </c>
      <c r="BR148" s="21">
        <f>EXP(-LN(2)/2)*BR147+(1-EXP(-LN(2)/2))/(LN(2)/2)*BL148*BO148*VLOOKUP('Données projet'!$B$11,Paramètres!$A$1:$I$89,3,0)*0.475*44/12</f>
        <v>3.0368276220027116E-17</v>
      </c>
      <c r="BS148" s="22">
        <f t="shared" si="117"/>
        <v>0.1280721871553735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108.5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279.00060755204919</v>
      </c>
      <c r="CE148" s="59">
        <f t="shared" si="148"/>
        <v>333.91128554211014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0.74865714556721419</v>
      </c>
      <c r="CL148" s="21">
        <f>EXP(-LN(2)/25)*CL147+(1-EXP(-LN(2)/25))/(LN(2)/25)*Calculateur!CG148*Calculateur!CI148*VLOOKUP('Données projet'!$B$12,Paramètres!$A$1:$I$89,3,0)*0.475*44/12</f>
        <v>1.1475889605234491</v>
      </c>
      <c r="CM148" s="21">
        <f>EXP(-LN(2)/2)*CM147+(1-EXP(-LN(2)/2))/(LN(2)/2)*CG148*CJ148*VLOOKUP('Données projet'!$B$12,Paramètres!$A$1:$I$89,3,0)*0.475*44/12</f>
        <v>1.0575499425570332E-16</v>
      </c>
      <c r="CN148" s="22">
        <f t="shared" si="120"/>
        <v>1.8962461060906632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108.5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-6.7984728957526396E-14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380.01315081072897</v>
      </c>
      <c r="CZ148" s="59">
        <f t="shared" si="150"/>
        <v>404.90871625409181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0.35873154891762393</v>
      </c>
      <c r="DG148" s="21">
        <f>EXP(-LN(2)/25)*DG147+(1-EXP(-LN(2)/25))/(LN(2)/25)*Calculateur!DB148*Calculateur!DD148*VLOOKUP('Données projet'!$B$13,Paramètres!$A$1:$I$89,3,0)*0.475*44/12</f>
        <v>0.87993521748993819</v>
      </c>
      <c r="DH148" s="21">
        <f>EXP(-LN(2)/2)*DH147+(1-EXP(-LN(2)/2))/(LN(2)/2)*DB148*DE148*VLOOKUP('Données projet'!$B$13,Paramètres!$A$1:$I$89,3,0)*0.475*44/12</f>
        <v>1.4868448865241166E-16</v>
      </c>
      <c r="DI148" s="22">
        <f t="shared" si="123"/>
        <v>1.2386667664075623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108.5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-5.6843418860808015E-14</v>
      </c>
      <c r="DP148" s="17">
        <f>DO148*VLOOKUP('Données projet'!$B$14,Paramètres!$A$1:$I$89,3,0)*VLOOKUP('Données projet'!$B$14,Paramètres!$A$1:$I$89,5,0)</f>
        <v>-5.1431925385259088E-14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320.81451813551064</v>
      </c>
      <c r="DU148" s="59">
        <f t="shared" si="152"/>
        <v>522.80818268773976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0.18822015559152946</v>
      </c>
      <c r="EB148" s="21">
        <f>EXP(-LN(2)/25)*EB147+(1-EXP(-LN(2)/25))/(LN(2)/25)*Calculateur!DW148*Calculateur!DY148*VLOOKUP('Données projet'!$B$14,Paramètres!$A$1:$I$89,3,0)*0.475*44/12</f>
        <v>0.42991049286556426</v>
      </c>
      <c r="EC148" s="21">
        <f>EXP(-LN(2)/2)*EC147+(1-EXP(-LN(2)/2))/(LN(2)/2)*DW148*DZ148*VLOOKUP('Données projet'!$B$14,Paramètres!$A$1:$I$89,3,0)*0.475*44/12</f>
        <v>2.9384690087923129E-17</v>
      </c>
      <c r="ED148" s="22">
        <f t="shared" si="126"/>
        <v>0.61813064845709376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108.5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228.3393311631487</v>
      </c>
      <c r="EP148" s="59">
        <f t="shared" si="154"/>
        <v>266.26050497804033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0.63701749626075987</v>
      </c>
      <c r="EW148" s="21">
        <f>EXP(-LN(2)/25)*EW147+(1-EXP(-LN(2)/25))/(LN(2)/25)*Calculateur!ER148*Calculateur!ET148*VLOOKUP('Données projet'!$B$15,Paramètres!$A$1:$I$89,3,0)*0.475*44/12</f>
        <v>0.50845927119577439</v>
      </c>
      <c r="EX148" s="21">
        <f>EXP(-LN(2)/2)*EX147+(1-EXP(-LN(2)/2))/(LN(2)/2)*ER148*EU148*VLOOKUP('Données projet'!$B$15,Paramètres!$A$1:$I$89,3,0)*0.475*44/12</f>
        <v>2.6719501652642498E-17</v>
      </c>
      <c r="EY148" s="22">
        <f t="shared" si="129"/>
        <v>1.1454767674565343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108.5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-1.7053025658242404E-13</v>
      </c>
      <c r="FF148" s="17">
        <f>FE148*VLOOKUP('Données projet'!$B$16,Paramètres!$A$1:$I$89,3,0)*VLOOKUP('Données projet'!$B$16,Paramètres!$A$1:$I$89,5,0)</f>
        <v>-9.7543306765146564E-14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242.10913976205194</v>
      </c>
      <c r="FK148" s="59">
        <f t="shared" si="156"/>
        <v>198.24795425321133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0.44687597130905593</v>
      </c>
      <c r="FS148" s="21">
        <f>EXP(-LN(2)/2)*FS147+(1-EXP(-LN(2)/2))/(LN(2)/2)*FM148*FP148*VLOOKUP('Données projet'!$B$16,Paramètres!$A$1:$I$89,3,0)*0.475*44/12</f>
        <v>6.4877606751857327E-17</v>
      </c>
      <c r="FT148" s="22">
        <f t="shared" si="132"/>
        <v>0.44687597130905599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108.5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108.5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71.402760000000015</v>
      </c>
      <c r="D149" s="11">
        <f t="shared" si="140"/>
        <v>20.021409032615669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388.15173519110522</v>
      </c>
      <c r="H149" s="67">
        <f t="shared" si="110"/>
        <v>557.06376106513892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108.5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4.6111381379887463E-14</v>
      </c>
      <c r="P149" s="13">
        <f t="shared" si="141"/>
        <v>7.5804141040779151E-13</v>
      </c>
      <c r="Q149" s="20">
        <f t="shared" si="108"/>
        <v>1.4005661123635408E-12</v>
      </c>
      <c r="R149" s="59">
        <f t="shared" si="109"/>
        <v>434.50000000000142</v>
      </c>
      <c r="S149" s="59">
        <f ca="1">AVERAGE(OFFSET($R$3,0,0,'Données projet'!$E$9+1,1))-AVERAGE(OFFSET($H$3,0,0,'Données projet'!$E$9+1,1))</f>
        <v>273.89826011924487</v>
      </c>
      <c r="T149" s="59">
        <f t="shared" si="142"/>
        <v>332.17519939974227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0.34116574234295505</v>
      </c>
      <c r="AB149" s="21">
        <f>EXP(-LN(2)/2)*AB148+(1-EXP(-LN(2)/2))/(LN(2)/2)*V149*Y149*VLOOKUP('Données projet'!$B$9,Paramètres!$A$1:$I$89,3,0)*0.475*44/12</f>
        <v>3.8068747259072523E-17</v>
      </c>
      <c r="AC149" s="22">
        <f t="shared" si="111"/>
        <v>0.3411657423429551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108.5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-5.3205440053716299E-14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293.42903587188346</v>
      </c>
      <c r="AO149" s="59">
        <f t="shared" si="144"/>
        <v>267.80827667062124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0.31512304619348636</v>
      </c>
      <c r="AV149" s="21">
        <f>EXP(-LN(2)/25)*AV148+(1-EXP(-LN(2)/25))/(LN(2)/25)*Calculateur!AQ149*Calculateur!AS149*VLOOKUP('Données projet'!$B$10,Paramètres!$A$1:$I$89,3,0)*0.475*44/12</f>
        <v>0.31505957466553619</v>
      </c>
      <c r="AW149" s="21">
        <f>EXP(-LN(2)/2)*AW148+(1-EXP(-LN(2)/2))/(LN(2)/2)*AQ149*AT149*VLOOKUP('Données projet'!$B$10,Paramètres!$A$1:$I$89,3,0)*0.475*44/12</f>
        <v>3.4112214720632944E-17</v>
      </c>
      <c r="AX149" s="21">
        <f t="shared" si="114"/>
        <v>0.63018262085902255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108.5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-1.0286385077051818E-13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324.41828402031939</v>
      </c>
      <c r="BJ149" s="59">
        <f t="shared" si="146"/>
        <v>233.01060088065992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0.12457004646258617</v>
      </c>
      <c r="BR149" s="21">
        <f>EXP(-LN(2)/2)*BR148+(1-EXP(-LN(2)/2))/(LN(2)/2)*BL149*BO149*VLOOKUP('Données projet'!$B$11,Paramètres!$A$1:$I$89,3,0)*0.475*44/12</f>
        <v>2.1473614048127349E-17</v>
      </c>
      <c r="BS149" s="22">
        <f t="shared" si="117"/>
        <v>0.1245700464625862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108.5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279.00060755204919</v>
      </c>
      <c r="CE149" s="59">
        <f t="shared" si="148"/>
        <v>333.91128554211014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0.73397643557841086</v>
      </c>
      <c r="CL149" s="21">
        <f>EXP(-LN(2)/25)*CL148+(1-EXP(-LN(2)/25))/(LN(2)/25)*Calculateur!CG149*Calculateur!CI149*VLOOKUP('Données projet'!$B$12,Paramètres!$A$1:$I$89,3,0)*0.475*44/12</f>
        <v>1.1162080800488547</v>
      </c>
      <c r="CM149" s="21">
        <f>EXP(-LN(2)/2)*CM148+(1-EXP(-LN(2)/2))/(LN(2)/2)*CG149*CJ149*VLOOKUP('Données projet'!$B$12,Paramètres!$A$1:$I$89,3,0)*0.475*44/12</f>
        <v>7.4780073582552197E-17</v>
      </c>
      <c r="CN149" s="22">
        <f t="shared" si="120"/>
        <v>1.8501845156272656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108.5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-6.7984728957526396E-14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380.01315081072897</v>
      </c>
      <c r="CZ149" s="59">
        <f t="shared" si="150"/>
        <v>404.90871625409181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0.35169704204798902</v>
      </c>
      <c r="DG149" s="21">
        <f>EXP(-LN(2)/25)*DG148+(1-EXP(-LN(2)/25))/(LN(2)/25)*Calculateur!DB149*Calculateur!DD149*VLOOKUP('Données projet'!$B$13,Paramètres!$A$1:$I$89,3,0)*0.475*44/12</f>
        <v>0.85587334269389381</v>
      </c>
      <c r="DH149" s="21">
        <f>EXP(-LN(2)/2)*DH148+(1-EXP(-LN(2)/2))/(LN(2)/2)*DB149*DE149*VLOOKUP('Données projet'!$B$13,Paramètres!$A$1:$I$89,3,0)*0.475*44/12</f>
        <v>1.0513581018337456E-16</v>
      </c>
      <c r="DI149" s="22">
        <f t="shared" si="123"/>
        <v>1.2075703847418828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108.5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-5.6843418860808015E-14</v>
      </c>
      <c r="DP149" s="17">
        <f>DO149*VLOOKUP('Données projet'!$B$14,Paramètres!$A$1:$I$89,3,0)*VLOOKUP('Données projet'!$B$14,Paramètres!$A$1:$I$89,5,0)</f>
        <v>-5.1431925385259088E-14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320.81451813551064</v>
      </c>
      <c r="DU149" s="59">
        <f t="shared" si="152"/>
        <v>522.80818268773976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0.18452927314333864</v>
      </c>
      <c r="EB149" s="21">
        <f>EXP(-LN(2)/25)*EB148+(1-EXP(-LN(2)/25))/(LN(2)/25)*Calculateur!DW149*Calculateur!DY149*VLOOKUP('Données projet'!$B$14,Paramètres!$A$1:$I$89,3,0)*0.475*44/12</f>
        <v>0.41815456783014515</v>
      </c>
      <c r="EC149" s="21">
        <f>EXP(-LN(2)/2)*EC148+(1-EXP(-LN(2)/2))/(LN(2)/2)*DW149*DZ149*VLOOKUP('Données projet'!$B$14,Paramètres!$A$1:$I$89,3,0)*0.475*44/12</f>
        <v>2.0778113624235572E-17</v>
      </c>
      <c r="ED149" s="22">
        <f t="shared" si="126"/>
        <v>0.60268384097348382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108.5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228.3393311631487</v>
      </c>
      <c r="EP149" s="59">
        <f t="shared" si="154"/>
        <v>266.26050497804033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0.62452597170139368</v>
      </c>
      <c r="EW149" s="21">
        <f>EXP(-LN(2)/25)*EW148+(1-EXP(-LN(2)/25))/(LN(2)/25)*Calculateur!ER149*Calculateur!ET149*VLOOKUP('Données projet'!$B$15,Paramètres!$A$1:$I$89,3,0)*0.475*44/12</f>
        <v>0.49455542568621497</v>
      </c>
      <c r="EX149" s="21">
        <f>EXP(-LN(2)/2)*EX148+(1-EXP(-LN(2)/2))/(LN(2)/2)*ER149*EU149*VLOOKUP('Données projet'!$B$15,Paramètres!$A$1:$I$89,3,0)*0.475*44/12</f>
        <v>1.8893540808508673E-17</v>
      </c>
      <c r="EY149" s="22">
        <f t="shared" si="129"/>
        <v>1.1190813973876086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108.5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-1.7053025658242404E-13</v>
      </c>
      <c r="FF149" s="17">
        <f>FE149*VLOOKUP('Données projet'!$B$16,Paramètres!$A$1:$I$89,3,0)*VLOOKUP('Données projet'!$B$16,Paramètres!$A$1:$I$89,5,0)</f>
        <v>-9.7543306765146564E-14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242.10913976205194</v>
      </c>
      <c r="FK149" s="59">
        <f t="shared" si="156"/>
        <v>198.24795425321133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0.43465612437342382</v>
      </c>
      <c r="FS149" s="21">
        <f>EXP(-LN(2)/2)*FS148+(1-EXP(-LN(2)/2))/(LN(2)/2)*FM149*FP149*VLOOKUP('Données projet'!$B$16,Paramètres!$A$1:$I$89,3,0)*0.475*44/12</f>
        <v>4.5875395681392458E-17</v>
      </c>
      <c r="FT149" s="22">
        <f t="shared" si="132"/>
        <v>0.43465612437342388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108.5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108.5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71.89182000000001</v>
      </c>
      <c r="D150" s="11">
        <f t="shared" si="140"/>
        <v>20.142531517537353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390.74233451305344</v>
      </c>
      <c r="H150" s="67">
        <f t="shared" si="110"/>
        <v>558.12649555971086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108.5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4.6111381379887463E-14</v>
      </c>
      <c r="P150" s="13">
        <f t="shared" si="141"/>
        <v>7.5804141040779151E-13</v>
      </c>
      <c r="Q150" s="20">
        <f t="shared" si="108"/>
        <v>1.4005661123635408E-12</v>
      </c>
      <c r="R150" s="59">
        <f t="shared" si="109"/>
        <v>434.50000000000142</v>
      </c>
      <c r="S150" s="59">
        <f ca="1">AVERAGE(OFFSET($R$3,0,0,'Données projet'!$E$9+1,1))-AVERAGE(OFFSET($H$3,0,0,'Données projet'!$E$9+1,1))</f>
        <v>273.89826011924487</v>
      </c>
      <c r="T150" s="59">
        <f t="shared" si="142"/>
        <v>332.17519939974227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0.33183654717746031</v>
      </c>
      <c r="AB150" s="21">
        <f>EXP(-LN(2)/2)*AB149+(1-EXP(-LN(2)/2))/(LN(2)/2)*V150*Y150*VLOOKUP('Données projet'!$B$9,Paramètres!$A$1:$I$89,3,0)*0.475*44/12</f>
        <v>2.6918669338166976E-17</v>
      </c>
      <c r="AC150" s="22">
        <f t="shared" si="111"/>
        <v>0.33183654717746031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108.5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-5.3205440053716299E-14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293.42903587188346</v>
      </c>
      <c r="AO150" s="59">
        <f t="shared" si="144"/>
        <v>267.80827667062124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0.30894367546371149</v>
      </c>
      <c r="AV150" s="21">
        <f>EXP(-LN(2)/25)*AV149+(1-EXP(-LN(2)/25))/(LN(2)/25)*Calculateur!AQ150*Calculateur!AS150*VLOOKUP('Données projet'!$B$10,Paramètres!$A$1:$I$89,3,0)*0.475*44/12</f>
        <v>0.30644425402804415</v>
      </c>
      <c r="AW150" s="21">
        <f>EXP(-LN(2)/2)*AW149+(1-EXP(-LN(2)/2))/(LN(2)/2)*AQ150*AT150*VLOOKUP('Données projet'!$B$10,Paramètres!$A$1:$I$89,3,0)*0.475*44/12</f>
        <v>2.4120978350251125E-17</v>
      </c>
      <c r="AX150" s="21">
        <f t="shared" si="114"/>
        <v>0.61538792949175569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108.5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-1.0286385077051818E-13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324.41828402031939</v>
      </c>
      <c r="BJ150" s="59">
        <f t="shared" si="146"/>
        <v>233.01060088065992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0.12116367199121271</v>
      </c>
      <c r="BR150" s="21">
        <f>EXP(-LN(2)/2)*BR149+(1-EXP(-LN(2)/2))/(LN(2)/2)*BL150*BO150*VLOOKUP('Données projet'!$B$11,Paramètres!$A$1:$I$89,3,0)*0.475*44/12</f>
        <v>1.5184138110013558E-17</v>
      </c>
      <c r="BS150" s="22">
        <f t="shared" si="117"/>
        <v>0.12116367199121272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108.5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279.00060755204919</v>
      </c>
      <c r="CE150" s="59">
        <f t="shared" si="148"/>
        <v>333.91128554211014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0.71958360535813903</v>
      </c>
      <c r="CL150" s="21">
        <f>EXP(-LN(2)/25)*CL149+(1-EXP(-LN(2)/25))/(LN(2)/25)*Calculateur!CG150*Calculateur!CI150*VLOOKUP('Données projet'!$B$12,Paramètres!$A$1:$I$89,3,0)*0.475*44/12</f>
        <v>1.0856853114010869</v>
      </c>
      <c r="CM150" s="21">
        <f>EXP(-LN(2)/2)*CM149+(1-EXP(-LN(2)/2))/(LN(2)/2)*CG150*CJ150*VLOOKUP('Données projet'!$B$12,Paramètres!$A$1:$I$89,3,0)*0.475*44/12</f>
        <v>5.287749712785166E-17</v>
      </c>
      <c r="CN150" s="22">
        <f t="shared" si="120"/>
        <v>1.805268916759226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108.5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-6.7984728957526396E-14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380.01315081072897</v>
      </c>
      <c r="CZ150" s="59">
        <f t="shared" si="150"/>
        <v>404.90871625409181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0.34480047756744209</v>
      </c>
      <c r="DG150" s="21">
        <f>EXP(-LN(2)/25)*DG149+(1-EXP(-LN(2)/25))/(LN(2)/25)*Calculateur!DB150*Calculateur!DD150*VLOOKUP('Données projet'!$B$13,Paramètres!$A$1:$I$89,3,0)*0.475*44/12</f>
        <v>0.83246944112950627</v>
      </c>
      <c r="DH150" s="21">
        <f>EXP(-LN(2)/2)*DH149+(1-EXP(-LN(2)/2))/(LN(2)/2)*DB150*DE150*VLOOKUP('Données projet'!$B$13,Paramètres!$A$1:$I$89,3,0)*0.475*44/12</f>
        <v>7.4342244326205828E-17</v>
      </c>
      <c r="DI150" s="22">
        <f t="shared" si="123"/>
        <v>1.1772699186969484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108.5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-5.6843418860808015E-14</v>
      </c>
      <c r="DP150" s="17">
        <f>DO150*VLOOKUP('Données projet'!$B$14,Paramètres!$A$1:$I$89,3,0)*VLOOKUP('Données projet'!$B$14,Paramètres!$A$1:$I$89,5,0)</f>
        <v>-5.1431925385259088E-14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320.81451813551064</v>
      </c>
      <c r="DU150" s="59">
        <f t="shared" si="152"/>
        <v>522.80818268773976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0.18091076664874081</v>
      </c>
      <c r="EB150" s="21">
        <f>EXP(-LN(2)/25)*EB149+(1-EXP(-LN(2)/25))/(LN(2)/25)*Calculateur!DW150*Calculateur!DY150*VLOOKUP('Données projet'!$B$14,Paramètres!$A$1:$I$89,3,0)*0.475*44/12</f>
        <v>0.4067201091830368</v>
      </c>
      <c r="EC150" s="21">
        <f>EXP(-LN(2)/2)*EC149+(1-EXP(-LN(2)/2))/(LN(2)/2)*DW150*DZ150*VLOOKUP('Données projet'!$B$14,Paramètres!$A$1:$I$89,3,0)*0.475*44/12</f>
        <v>1.4692345043961565E-17</v>
      </c>
      <c r="ED150" s="22">
        <f t="shared" si="126"/>
        <v>0.58763087583177764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108.5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228.3393311631487</v>
      </c>
      <c r="EP150" s="59">
        <f t="shared" si="154"/>
        <v>266.26050497804033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0.61227939831955902</v>
      </c>
      <c r="EW150" s="21">
        <f>EXP(-LN(2)/25)*EW149+(1-EXP(-LN(2)/25))/(LN(2)/25)*Calculateur!ER150*Calculateur!ET150*VLOOKUP('Données projet'!$B$15,Paramètres!$A$1:$I$89,3,0)*0.475*44/12</f>
        <v>0.48103178156328591</v>
      </c>
      <c r="EX150" s="21">
        <f>EXP(-LN(2)/2)*EX149+(1-EXP(-LN(2)/2))/(LN(2)/2)*ER150*EU150*VLOOKUP('Données projet'!$B$15,Paramètres!$A$1:$I$89,3,0)*0.475*44/12</f>
        <v>1.3359750826321249E-17</v>
      </c>
      <c r="EY150" s="22">
        <f t="shared" si="129"/>
        <v>1.093311179882845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108.5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-1.7053025658242404E-13</v>
      </c>
      <c r="FF150" s="17">
        <f>FE150*VLOOKUP('Données projet'!$B$16,Paramètres!$A$1:$I$89,3,0)*VLOOKUP('Données projet'!$B$16,Paramètres!$A$1:$I$89,5,0)</f>
        <v>-9.7543306765146564E-14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242.10913976205194</v>
      </c>
      <c r="FK150" s="59">
        <f t="shared" si="156"/>
        <v>198.24795425321133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0.4227704297948604</v>
      </c>
      <c r="FS150" s="21">
        <f>EXP(-LN(2)/2)*FS149+(1-EXP(-LN(2)/2))/(LN(2)/2)*FM150*FP150*VLOOKUP('Données projet'!$B$16,Paramètres!$A$1:$I$89,3,0)*0.475*44/12</f>
        <v>3.2438803375928663E-17</v>
      </c>
      <c r="FT150" s="22">
        <f t="shared" si="132"/>
        <v>0.42277042979486046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108.5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108.5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72.380880000000005</v>
      </c>
      <c r="D151" s="11">
        <f t="shared" si="140"/>
        <v>20.263558130406125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393.33252679926818</v>
      </c>
      <c r="H151" s="67">
        <f t="shared" si="110"/>
        <v>559.18906307712393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108.5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4.6111381379887463E-14</v>
      </c>
      <c r="P151" s="13">
        <f t="shared" si="141"/>
        <v>7.5804141040779151E-13</v>
      </c>
      <c r="Q151" s="20">
        <f t="shared" si="108"/>
        <v>1.4005661123635408E-12</v>
      </c>
      <c r="R151" s="59">
        <f t="shared" si="109"/>
        <v>434.50000000000142</v>
      </c>
      <c r="S151" s="59">
        <f ca="1">AVERAGE(OFFSET($R$3,0,0,'Données projet'!$E$9+1,1))-AVERAGE(OFFSET($H$3,0,0,'Données projet'!$E$9+1,1))</f>
        <v>273.89826011924487</v>
      </c>
      <c r="T151" s="59">
        <f t="shared" si="142"/>
        <v>332.17519939974227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0.32276245934436704</v>
      </c>
      <c r="AB151" s="21">
        <f>EXP(-LN(2)/2)*AB150+(1-EXP(-LN(2)/2))/(LN(2)/2)*V151*Y151*VLOOKUP('Données projet'!$B$9,Paramètres!$A$1:$I$89,3,0)*0.475*44/12</f>
        <v>1.9034373629536262E-17</v>
      </c>
      <c r="AC151" s="22">
        <f t="shared" si="111"/>
        <v>0.32276245934436704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108.5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-5.3205440053716299E-14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293.42903587188346</v>
      </c>
      <c r="AO151" s="59">
        <f t="shared" si="144"/>
        <v>267.80827667062124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0.30288547842490354</v>
      </c>
      <c r="AV151" s="21">
        <f>EXP(-LN(2)/25)*AV150+(1-EXP(-LN(2)/25))/(LN(2)/25)*Calculateur!AQ151*Calculateur!AS151*VLOOKUP('Données projet'!$B$10,Paramètres!$A$1:$I$89,3,0)*0.475*44/12</f>
        <v>0.29806451978644433</v>
      </c>
      <c r="AW151" s="21">
        <f>EXP(-LN(2)/2)*AW150+(1-EXP(-LN(2)/2))/(LN(2)/2)*AQ151*AT151*VLOOKUP('Données projet'!$B$10,Paramètres!$A$1:$I$89,3,0)*0.475*44/12</f>
        <v>1.7056107360316472E-17</v>
      </c>
      <c r="AX151" s="21">
        <f t="shared" si="114"/>
        <v>0.60094999821134787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108.5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-1.0286385077051818E-13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324.41828402031939</v>
      </c>
      <c r="BJ151" s="59">
        <f t="shared" si="146"/>
        <v>233.01060088065992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0.11785044500889241</v>
      </c>
      <c r="BR151" s="21">
        <f>EXP(-LN(2)/2)*BR150+(1-EXP(-LN(2)/2))/(LN(2)/2)*BL151*BO151*VLOOKUP('Données projet'!$B$11,Paramètres!$A$1:$I$89,3,0)*0.475*44/12</f>
        <v>1.0736807024063674E-17</v>
      </c>
      <c r="BS151" s="22">
        <f t="shared" si="117"/>
        <v>0.11785044500889243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108.5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279.00060755204919</v>
      </c>
      <c r="CE151" s="59">
        <f t="shared" si="148"/>
        <v>333.91128554211014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0.70547300975972715</v>
      </c>
      <c r="CL151" s="21">
        <f>EXP(-LN(2)/25)*CL150+(1-EXP(-LN(2)/25))/(LN(2)/25)*Calculateur!CG151*Calculateur!CI151*VLOOKUP('Données projet'!$B$12,Paramètres!$A$1:$I$89,3,0)*0.475*44/12</f>
        <v>1.055997189467115</v>
      </c>
      <c r="CM151" s="21">
        <f>EXP(-LN(2)/2)*CM150+(1-EXP(-LN(2)/2))/(LN(2)/2)*CG151*CJ151*VLOOKUP('Données projet'!$B$12,Paramètres!$A$1:$I$89,3,0)*0.475*44/12</f>
        <v>3.7390036791276098E-17</v>
      </c>
      <c r="CN151" s="22">
        <f t="shared" si="120"/>
        <v>1.7614701992268422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108.5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-6.7984728957526396E-14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380.01315081072897</v>
      </c>
      <c r="CZ151" s="59">
        <f t="shared" si="150"/>
        <v>404.90871625409181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0.33803915050986971</v>
      </c>
      <c r="DG151" s="21">
        <f>EXP(-LN(2)/25)*DG150+(1-EXP(-LN(2)/25))/(LN(2)/25)*Calculateur!DB151*Calculateur!DD151*VLOOKUP('Données projet'!$B$13,Paramètres!$A$1:$I$89,3,0)*0.475*44/12</f>
        <v>0.80970552048415467</v>
      </c>
      <c r="DH151" s="21">
        <f>EXP(-LN(2)/2)*DH150+(1-EXP(-LN(2)/2))/(LN(2)/2)*DB151*DE151*VLOOKUP('Données projet'!$B$13,Paramètres!$A$1:$I$89,3,0)*0.475*44/12</f>
        <v>5.256790509168728E-17</v>
      </c>
      <c r="DI151" s="22">
        <f t="shared" si="123"/>
        <v>1.1477446709940244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108.5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-5.6843418860808015E-14</v>
      </c>
      <c r="DP151" s="17">
        <f>DO151*VLOOKUP('Données projet'!$B$14,Paramètres!$A$1:$I$89,3,0)*VLOOKUP('Données projet'!$B$14,Paramètres!$A$1:$I$89,5,0)</f>
        <v>-5.1431925385259088E-14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320.81451813551064</v>
      </c>
      <c r="DU151" s="59">
        <f t="shared" si="152"/>
        <v>522.80818268773976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0.17736321685943102</v>
      </c>
      <c r="EB151" s="21">
        <f>EXP(-LN(2)/25)*EB150+(1-EXP(-LN(2)/25))/(LN(2)/25)*Calculateur!DW151*Calculateur!DY151*VLOOKUP('Données projet'!$B$14,Paramètres!$A$1:$I$89,3,0)*0.475*44/12</f>
        <v>0.39559832640894571</v>
      </c>
      <c r="EC151" s="21">
        <f>EXP(-LN(2)/2)*EC150+(1-EXP(-LN(2)/2))/(LN(2)/2)*DW151*DZ151*VLOOKUP('Données projet'!$B$14,Paramètres!$A$1:$I$89,3,0)*0.475*44/12</f>
        <v>1.0389056812117786E-17</v>
      </c>
      <c r="ED151" s="22">
        <f t="shared" si="126"/>
        <v>0.57296154326837678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108.5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228.3393311631487</v>
      </c>
      <c r="EP151" s="59">
        <f t="shared" si="154"/>
        <v>266.26050497804033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0.60027297277206992</v>
      </c>
      <c r="EW151" s="21">
        <f>EXP(-LN(2)/25)*EW150+(1-EXP(-LN(2)/25))/(LN(2)/25)*Calculateur!ER151*Calculateur!ET151*VLOOKUP('Données projet'!$B$15,Paramètres!$A$1:$I$89,3,0)*0.475*44/12</f>
        <v>0.46787794220007589</v>
      </c>
      <c r="EX151" s="21">
        <f>EXP(-LN(2)/2)*EX150+(1-EXP(-LN(2)/2))/(LN(2)/2)*ER151*EU151*VLOOKUP('Données projet'!$B$15,Paramètres!$A$1:$I$89,3,0)*0.475*44/12</f>
        <v>9.4467704042543367E-18</v>
      </c>
      <c r="EY151" s="22">
        <f t="shared" si="129"/>
        <v>1.0681509149721458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108.5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-1.7053025658242404E-13</v>
      </c>
      <c r="FF151" s="17">
        <f>FE151*VLOOKUP('Données projet'!$B$16,Paramètres!$A$1:$I$89,3,0)*VLOOKUP('Données projet'!$B$16,Paramètres!$A$1:$I$89,5,0)</f>
        <v>-9.7543306765146564E-14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242.10913976205194</v>
      </c>
      <c r="FK151" s="59">
        <f t="shared" si="156"/>
        <v>198.24795425321133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0.41120975015958927</v>
      </c>
      <c r="FS151" s="21">
        <f>EXP(-LN(2)/2)*FS150+(1-EXP(-LN(2)/2))/(LN(2)/2)*FM151*FP151*VLOOKUP('Données projet'!$B$16,Paramètres!$A$1:$I$89,3,0)*0.475*44/12</f>
        <v>2.2937697840696229E-17</v>
      </c>
      <c r="FT151" s="22">
        <f t="shared" si="132"/>
        <v>0.41120975015958927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108.5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108.5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72.86994</v>
      </c>
      <c r="D152" s="11">
        <f t="shared" si="140"/>
        <v>20.384489594134898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395.92231511895875</v>
      </c>
      <c r="H152" s="67">
        <f t="shared" si="110"/>
        <v>560.25146487645156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108.5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4.6111381379887463E-14</v>
      </c>
      <c r="P152" s="13">
        <f t="shared" si="141"/>
        <v>7.5804141040779151E-13</v>
      </c>
      <c r="Q152" s="20">
        <f t="shared" si="108"/>
        <v>1.4005661123635408E-12</v>
      </c>
      <c r="R152" s="59">
        <f t="shared" si="109"/>
        <v>434.50000000000142</v>
      </c>
      <c r="S152" s="59">
        <f ca="1">AVERAGE(OFFSET($R$3,0,0,'Données projet'!$E$9+1,1))-AVERAGE(OFFSET($H$3,0,0,'Données projet'!$E$9+1,1))</f>
        <v>273.89826011924487</v>
      </c>
      <c r="T152" s="59">
        <f t="shared" si="142"/>
        <v>332.17519939974227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0.31393650292025527</v>
      </c>
      <c r="AB152" s="21">
        <f>EXP(-LN(2)/2)*AB151+(1-EXP(-LN(2)/2))/(LN(2)/2)*V152*Y152*VLOOKUP('Données projet'!$B$9,Paramètres!$A$1:$I$89,3,0)*0.475*44/12</f>
        <v>1.3459334669083488E-17</v>
      </c>
      <c r="AC152" s="22">
        <f t="shared" si="111"/>
        <v>0.31393650292025527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108.5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-5.3205440053716299E-14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293.42903587188346</v>
      </c>
      <c r="AO152" s="59">
        <f t="shared" si="144"/>
        <v>267.80827667062124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0.29694607893489128</v>
      </c>
      <c r="AV152" s="21">
        <f>EXP(-LN(2)/25)*AV151+(1-EXP(-LN(2)/25))/(LN(2)/25)*Calculateur!AQ152*Calculateur!AS152*VLOOKUP('Données projet'!$B$10,Paramètres!$A$1:$I$89,3,0)*0.475*44/12</f>
        <v>0.28991392981835212</v>
      </c>
      <c r="AW152" s="21">
        <f>EXP(-LN(2)/2)*AW151+(1-EXP(-LN(2)/2))/(LN(2)/2)*AQ152*AT152*VLOOKUP('Données projet'!$B$10,Paramètres!$A$1:$I$89,3,0)*0.475*44/12</f>
        <v>1.2060489175125562E-17</v>
      </c>
      <c r="AX152" s="21">
        <f t="shared" si="114"/>
        <v>0.5868600087532434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108.5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-1.0286385077051818E-13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324.41828402031939</v>
      </c>
      <c r="BJ152" s="59">
        <f t="shared" si="146"/>
        <v>233.01060088065992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0.11462781839263869</v>
      </c>
      <c r="BR152" s="21">
        <f>EXP(-LN(2)/2)*BR151+(1-EXP(-LN(2)/2))/(LN(2)/2)*BL152*BO152*VLOOKUP('Données projet'!$B$11,Paramètres!$A$1:$I$89,3,0)*0.475*44/12</f>
        <v>7.592069055006779E-18</v>
      </c>
      <c r="BS152" s="22">
        <f t="shared" si="117"/>
        <v>0.11462781839263871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108.5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279.00060755204919</v>
      </c>
      <c r="CE152" s="59">
        <f t="shared" si="148"/>
        <v>333.91128554211014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0.69163911433438663</v>
      </c>
      <c r="CL152" s="21">
        <f>EXP(-LN(2)/25)*CL151+(1-EXP(-LN(2)/25))/(LN(2)/25)*Calculateur!CG152*Calculateur!CI152*VLOOKUP('Données projet'!$B$12,Paramètres!$A$1:$I$89,3,0)*0.475*44/12</f>
        <v>1.027120890788658</v>
      </c>
      <c r="CM152" s="21">
        <f>EXP(-LN(2)/2)*CM151+(1-EXP(-LN(2)/2))/(LN(2)/2)*CG152*CJ152*VLOOKUP('Données projet'!$B$12,Paramètres!$A$1:$I$89,3,0)*0.475*44/12</f>
        <v>2.643874856392583E-17</v>
      </c>
      <c r="CN152" s="22">
        <f t="shared" si="120"/>
        <v>1.7187600051230447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108.5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-6.7984728957526396E-14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380.01315081072897</v>
      </c>
      <c r="CZ152" s="59">
        <f t="shared" si="150"/>
        <v>404.90871625409181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0.33141040895189405</v>
      </c>
      <c r="DG152" s="21">
        <f>EXP(-LN(2)/25)*DG151+(1-EXP(-LN(2)/25))/(LN(2)/25)*Calculateur!DB152*Calculateur!DD152*VLOOKUP('Données projet'!$B$13,Paramètres!$A$1:$I$89,3,0)*0.475*44/12</f>
        <v>0.78756408044595272</v>
      </c>
      <c r="DH152" s="21">
        <f>EXP(-LN(2)/2)*DH151+(1-EXP(-LN(2)/2))/(LN(2)/2)*DB152*DE152*VLOOKUP('Données projet'!$B$13,Paramètres!$A$1:$I$89,3,0)*0.475*44/12</f>
        <v>3.7171122163102914E-17</v>
      </c>
      <c r="DI152" s="22">
        <f t="shared" si="123"/>
        <v>1.1189744893978468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108.5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-5.6843418860808015E-14</v>
      </c>
      <c r="DP152" s="17">
        <f>DO152*VLOOKUP('Données projet'!$B$14,Paramètres!$A$1:$I$89,3,0)*VLOOKUP('Données projet'!$B$14,Paramètres!$A$1:$I$89,5,0)</f>
        <v>-5.1431925385259088E-14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320.81451813551064</v>
      </c>
      <c r="DU152" s="59">
        <f t="shared" si="152"/>
        <v>522.80818268773976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0.17388523235769787</v>
      </c>
      <c r="EB152" s="21">
        <f>EXP(-LN(2)/25)*EB151+(1-EXP(-LN(2)/25))/(LN(2)/25)*Calculateur!DW152*Calculateur!DY152*VLOOKUP('Données projet'!$B$14,Paramètres!$A$1:$I$89,3,0)*0.475*44/12</f>
        <v>0.38478066936968125</v>
      </c>
      <c r="EC152" s="21">
        <f>EXP(-LN(2)/2)*EC151+(1-EXP(-LN(2)/2))/(LN(2)/2)*DW152*DZ152*VLOOKUP('Données projet'!$B$14,Paramètres!$A$1:$I$89,3,0)*0.475*44/12</f>
        <v>7.3461725219807823E-18</v>
      </c>
      <c r="ED152" s="22">
        <f t="shared" si="126"/>
        <v>0.55866590172737918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108.5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228.3393311631487</v>
      </c>
      <c r="EP152" s="59">
        <f t="shared" si="154"/>
        <v>266.26050497804033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0.58850198590637071</v>
      </c>
      <c r="EW152" s="21">
        <f>EXP(-LN(2)/25)*EW151+(1-EXP(-LN(2)/25))/(LN(2)/25)*Calculateur!ER152*Calculateur!ET152*VLOOKUP('Données projet'!$B$15,Paramètres!$A$1:$I$89,3,0)*0.475*44/12</f>
        <v>0.45508379526598319</v>
      </c>
      <c r="EX152" s="21">
        <f>EXP(-LN(2)/2)*EX151+(1-EXP(-LN(2)/2))/(LN(2)/2)*ER152*EU152*VLOOKUP('Données projet'!$B$15,Paramètres!$A$1:$I$89,3,0)*0.475*44/12</f>
        <v>6.6798754131606244E-18</v>
      </c>
      <c r="EY152" s="22">
        <f t="shared" si="129"/>
        <v>1.0435857811723539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108.5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-1.7053025658242404E-13</v>
      </c>
      <c r="FF152" s="17">
        <f>FE152*VLOOKUP('Données projet'!$B$16,Paramètres!$A$1:$I$89,3,0)*VLOOKUP('Données projet'!$B$16,Paramètres!$A$1:$I$89,5,0)</f>
        <v>-9.7543306765146564E-14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242.10913976205194</v>
      </c>
      <c r="FK152" s="59">
        <f t="shared" si="156"/>
        <v>198.24795425321133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0.39996519791689439</v>
      </c>
      <c r="FS152" s="21">
        <f>EXP(-LN(2)/2)*FS151+(1-EXP(-LN(2)/2))/(LN(2)/2)*FM152*FP152*VLOOKUP('Données projet'!$B$16,Paramètres!$A$1:$I$89,3,0)*0.475*44/12</f>
        <v>1.6219401687964332E-17</v>
      </c>
      <c r="FT152" s="22">
        <f t="shared" si="132"/>
        <v>0.39996519791689439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108.5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108.5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73.358999999999995</v>
      </c>
      <c r="D153" s="11">
        <f t="shared" si="140"/>
        <v>20.505326621372113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398.51170249775532</v>
      </c>
      <c r="H153" s="67">
        <f t="shared" si="110"/>
        <v>561.3137021988897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108.5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4.6111381379887463E-14</v>
      </c>
      <c r="P153" s="13">
        <f t="shared" si="141"/>
        <v>7.5804141040779151E-13</v>
      </c>
      <c r="Q153" s="20">
        <f t="shared" si="108"/>
        <v>1.4005661123635408E-12</v>
      </c>
      <c r="R153" s="59">
        <f t="shared" si="109"/>
        <v>434.50000000000142</v>
      </c>
      <c r="S153" s="59">
        <f ca="1">AVERAGE(OFFSET($R$3,0,0,'Données projet'!$E$9+1,1))-AVERAGE(OFFSET($H$3,0,0,'Données projet'!$E$9+1,1))</f>
        <v>273.89826011924487</v>
      </c>
      <c r="T153" s="59">
        <f t="shared" si="142"/>
        <v>332.17519939974227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0.30535189273869773</v>
      </c>
      <c r="AB153" s="21">
        <f>EXP(-LN(2)/2)*AB152+(1-EXP(-LN(2)/2))/(LN(2)/2)*V153*Y153*VLOOKUP('Données projet'!$B$9,Paramètres!$A$1:$I$89,3,0)*0.475*44/12</f>
        <v>9.5171868147681308E-18</v>
      </c>
      <c r="AC153" s="22">
        <f t="shared" si="111"/>
        <v>0.30535189273869773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108.5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-5.3205440053716299E-14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293.42903587188346</v>
      </c>
      <c r="AO153" s="59">
        <f t="shared" si="144"/>
        <v>267.80827667062124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0.29112314744620216</v>
      </c>
      <c r="AV153" s="21">
        <f>EXP(-LN(2)/25)*AV152+(1-EXP(-LN(2)/25))/(LN(2)/25)*Calculateur!AQ153*Calculateur!AS153*VLOOKUP('Données projet'!$B$10,Paramètres!$A$1:$I$89,3,0)*0.475*44/12</f>
        <v>0.28198621816155833</v>
      </c>
      <c r="AW153" s="21">
        <f>EXP(-LN(2)/2)*AW152+(1-EXP(-LN(2)/2))/(LN(2)/2)*AQ153*AT153*VLOOKUP('Données projet'!$B$10,Paramètres!$A$1:$I$89,3,0)*0.475*44/12</f>
        <v>8.5280536801582359E-18</v>
      </c>
      <c r="AX153" s="21">
        <f t="shared" si="114"/>
        <v>0.57310936560776049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108.5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-1.0286385077051818E-13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324.41828402031939</v>
      </c>
      <c r="BJ153" s="59">
        <f t="shared" si="146"/>
        <v>233.01060088065992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0.111493314670677</v>
      </c>
      <c r="BR153" s="21">
        <f>EXP(-LN(2)/2)*BR152+(1-EXP(-LN(2)/2))/(LN(2)/2)*BL153*BO153*VLOOKUP('Données projet'!$B$11,Paramètres!$A$1:$I$89,3,0)*0.475*44/12</f>
        <v>5.3684035120318372E-18</v>
      </c>
      <c r="BS153" s="22">
        <f t="shared" si="117"/>
        <v>0.111493314670677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108.5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279.00060755204919</v>
      </c>
      <c r="CE153" s="59">
        <f t="shared" si="148"/>
        <v>333.91128554211014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0.67807649316049401</v>
      </c>
      <c r="CL153" s="21">
        <f>EXP(-LN(2)/25)*CL152+(1-EXP(-LN(2)/25))/(LN(2)/25)*Calculateur!CG153*Calculateur!CI153*VLOOKUP('Données projet'!$B$12,Paramètres!$A$1:$I$89,3,0)*0.475*44/12</f>
        <v>0.99903421601610198</v>
      </c>
      <c r="CM153" s="21">
        <f>EXP(-LN(2)/2)*CM152+(1-EXP(-LN(2)/2))/(LN(2)/2)*CG153*CJ153*VLOOKUP('Données projet'!$B$12,Paramètres!$A$1:$I$89,3,0)*0.475*44/12</f>
        <v>1.8695018395638049E-17</v>
      </c>
      <c r="CN153" s="22">
        <f t="shared" si="120"/>
        <v>1.677110709176596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108.5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-6.7984728957526396E-14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380.01315081072897</v>
      </c>
      <c r="CZ153" s="59">
        <f t="shared" si="150"/>
        <v>404.90871625409181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0.32491165297273716</v>
      </c>
      <c r="DG153" s="21">
        <f>EXP(-LN(2)/25)*DG152+(1-EXP(-LN(2)/25))/(LN(2)/25)*Calculateur!DB153*Calculateur!DD153*VLOOKUP('Données projet'!$B$13,Paramètres!$A$1:$I$89,3,0)*0.475*44/12</f>
        <v>0.76602809924996318</v>
      </c>
      <c r="DH153" s="21">
        <f>EXP(-LN(2)/2)*DH152+(1-EXP(-LN(2)/2))/(LN(2)/2)*DB153*DE153*VLOOKUP('Données projet'!$B$13,Paramètres!$A$1:$I$89,3,0)*0.475*44/12</f>
        <v>2.628395254584364E-17</v>
      </c>
      <c r="DI153" s="22">
        <f t="shared" si="123"/>
        <v>1.0909397522227002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108.5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-5.6843418860808015E-14</v>
      </c>
      <c r="DP153" s="17">
        <f>DO153*VLOOKUP('Données projet'!$B$14,Paramètres!$A$1:$I$89,3,0)*VLOOKUP('Données projet'!$B$14,Paramètres!$A$1:$I$89,5,0)</f>
        <v>-5.1431925385259088E-14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320.81451813551064</v>
      </c>
      <c r="DU153" s="59">
        <f t="shared" si="152"/>
        <v>522.80818268773976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0.17047544901068265</v>
      </c>
      <c r="EB153" s="21">
        <f>EXP(-LN(2)/25)*EB152+(1-EXP(-LN(2)/25))/(LN(2)/25)*Calculateur!DW153*Calculateur!DY153*VLOOKUP('Données projet'!$B$14,Paramètres!$A$1:$I$89,3,0)*0.475*44/12</f>
        <v>0.37425882173103137</v>
      </c>
      <c r="EC153" s="21">
        <f>EXP(-LN(2)/2)*EC152+(1-EXP(-LN(2)/2))/(LN(2)/2)*DW153*DZ153*VLOOKUP('Données projet'!$B$14,Paramètres!$A$1:$I$89,3,0)*0.475*44/12</f>
        <v>5.1945284060588931E-18</v>
      </c>
      <c r="ED153" s="22">
        <f t="shared" si="126"/>
        <v>0.54473427074171399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108.5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228.3393311631487</v>
      </c>
      <c r="EP153" s="59">
        <f t="shared" si="154"/>
        <v>266.26050497804033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0.57696182091351478</v>
      </c>
      <c r="EW153" s="21">
        <f>EXP(-LN(2)/25)*EW152+(1-EXP(-LN(2)/25))/(LN(2)/25)*Calculateur!ER153*Calculateur!ET153*VLOOKUP('Données projet'!$B$15,Paramètres!$A$1:$I$89,3,0)*0.475*44/12</f>
        <v>0.44263950495261822</v>
      </c>
      <c r="EX153" s="21">
        <f>EXP(-LN(2)/2)*EX152+(1-EXP(-LN(2)/2))/(LN(2)/2)*ER153*EU153*VLOOKUP('Données projet'!$B$15,Paramètres!$A$1:$I$89,3,0)*0.475*44/12</f>
        <v>4.7233852021271683E-18</v>
      </c>
      <c r="EY153" s="22">
        <f t="shared" si="129"/>
        <v>1.0196013258661329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108.5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-1.7053025658242404E-13</v>
      </c>
      <c r="FF153" s="17">
        <f>FE153*VLOOKUP('Données projet'!$B$16,Paramètres!$A$1:$I$89,3,0)*VLOOKUP('Données projet'!$B$16,Paramètres!$A$1:$I$89,5,0)</f>
        <v>-9.7543306765146564E-14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242.10913976205194</v>
      </c>
      <c r="FK153" s="59">
        <f t="shared" si="156"/>
        <v>198.24795425321133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0.38902812854660129</v>
      </c>
      <c r="FS153" s="21">
        <f>EXP(-LN(2)/2)*FS152+(1-EXP(-LN(2)/2))/(LN(2)/2)*FM153*FP153*VLOOKUP('Données projet'!$B$16,Paramètres!$A$1:$I$89,3,0)*0.475*44/12</f>
        <v>1.1468848920348114E-17</v>
      </c>
      <c r="FT153" s="22">
        <f t="shared" si="132"/>
        <v>0.38902812854660129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108.5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108.5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73.84805999999999</v>
      </c>
      <c r="D154" s="11">
        <f t="shared" si="140"/>
        <v>20.626069914714904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401.10069191861413</v>
      </c>
      <c r="H154" s="67">
        <f t="shared" si="110"/>
        <v>562.37577626812845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108.5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4.6111381379887463E-14</v>
      </c>
      <c r="P154" s="13">
        <f t="shared" si="141"/>
        <v>7.5804141040779151E-13</v>
      </c>
      <c r="Q154" s="20">
        <f t="shared" ref="Q154:Q203" si="162">(O154+P154)*0.475*44/12</f>
        <v>1.4005661123635408E-12</v>
      </c>
      <c r="R154" s="59">
        <f t="shared" si="109"/>
        <v>434.50000000000142</v>
      </c>
      <c r="S154" s="59">
        <f ca="1">AVERAGE(OFFSET($R$3,0,0,'Données projet'!$E$9+1,1))-AVERAGE(OFFSET($H$3,0,0,'Données projet'!$E$9+1,1))</f>
        <v>273.89826011924487</v>
      </c>
      <c r="T154" s="59">
        <f t="shared" si="142"/>
        <v>332.17519939974227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0.29700202917399987</v>
      </c>
      <c r="AB154" s="21">
        <f>EXP(-LN(2)/2)*AB153+(1-EXP(-LN(2)/2))/(LN(2)/2)*V154*Y154*VLOOKUP('Données projet'!$B$9,Paramètres!$A$1:$I$89,3,0)*0.475*44/12</f>
        <v>6.7296673345417439E-18</v>
      </c>
      <c r="AC154" s="22">
        <f t="shared" ref="AC154:AC203" si="163">SUM(Z154:AB154)</f>
        <v>0.29700202917399987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108.5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-5.3205440053716299E-14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293.42903587188346</v>
      </c>
      <c r="AO154" s="59">
        <f t="shared" si="144"/>
        <v>267.80827667062124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0.28541440009236874</v>
      </c>
      <c r="AV154" s="21">
        <f>EXP(-LN(2)/25)*AV153+(1-EXP(-LN(2)/25))/(LN(2)/25)*Calculateur!AQ154*Calculateur!AS154*VLOOKUP('Données projet'!$B$10,Paramètres!$A$1:$I$89,3,0)*0.475*44/12</f>
        <v>0.27427529019691982</v>
      </c>
      <c r="AW154" s="21">
        <f>EXP(-LN(2)/2)*AW153+(1-EXP(-LN(2)/2))/(LN(2)/2)*AQ154*AT154*VLOOKUP('Données projet'!$B$10,Paramètres!$A$1:$I$89,3,0)*0.475*44/12</f>
        <v>6.0302445875627812E-18</v>
      </c>
      <c r="AX154" s="21">
        <f t="shared" ref="AX154:AX203" si="166">SUM(AU154:AW154)</f>
        <v>0.5596896902892885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108.5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-1.0286385077051818E-13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324.41828402031939</v>
      </c>
      <c r="BJ154" s="59">
        <f t="shared" si="146"/>
        <v>233.01060088065992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0.10844452411782873</v>
      </c>
      <c r="BR154" s="21">
        <f>EXP(-LN(2)/2)*BR153+(1-EXP(-LN(2)/2))/(LN(2)/2)*BL154*BO154*VLOOKUP('Données projet'!$B$11,Paramètres!$A$1:$I$89,3,0)*0.475*44/12</f>
        <v>3.7960345275033895E-18</v>
      </c>
      <c r="BS154" s="22">
        <f t="shared" ref="BS154:BS203" si="169">SUM(BP154:BR154)</f>
        <v>0.10844452411782873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108.5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279.00060755204919</v>
      </c>
      <c r="CE154" s="59">
        <f t="shared" si="148"/>
        <v>333.91128554211014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0.66477982671543934</v>
      </c>
      <c r="CL154" s="21">
        <f>EXP(-LN(2)/25)*CL153+(1-EXP(-LN(2)/25))/(LN(2)/25)*Calculateur!CG154*Calculateur!CI154*VLOOKUP('Données projet'!$B$12,Paramètres!$A$1:$I$89,3,0)*0.475*44/12</f>
        <v>0.97171557284221555</v>
      </c>
      <c r="CM154" s="21">
        <f>EXP(-LN(2)/2)*CM153+(1-EXP(-LN(2)/2))/(LN(2)/2)*CG154*CJ154*VLOOKUP('Données projet'!$B$12,Paramètres!$A$1:$I$89,3,0)*0.475*44/12</f>
        <v>1.3219374281962915E-17</v>
      </c>
      <c r="CN154" s="22">
        <f t="shared" ref="CN154:CN203" si="172">SUM(CK154:CM154)</f>
        <v>1.636495399557655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108.5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-6.7984728957526396E-14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380.01315081072897</v>
      </c>
      <c r="CZ154" s="59">
        <f t="shared" si="150"/>
        <v>404.90871625409181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0.31854033363448181</v>
      </c>
      <c r="DG154" s="21">
        <f>EXP(-LN(2)/25)*DG153+(1-EXP(-LN(2)/25))/(LN(2)/25)*Calculateur!DB154*Calculateur!DD154*VLOOKUP('Données projet'!$B$13,Paramètres!$A$1:$I$89,3,0)*0.475*44/12</f>
        <v>0.74508102059230596</v>
      </c>
      <c r="DH154" s="21">
        <f>EXP(-LN(2)/2)*DH153+(1-EXP(-LN(2)/2))/(LN(2)/2)*DB154*DE154*VLOOKUP('Données projet'!$B$13,Paramètres!$A$1:$I$89,3,0)*0.475*44/12</f>
        <v>1.8585561081551457E-17</v>
      </c>
      <c r="DI154" s="22">
        <f t="shared" ref="DI154:DI203" si="175">SUM(DF154:DH154)</f>
        <v>1.0636213542267878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108.5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-5.6843418860808015E-14</v>
      </c>
      <c r="DP154" s="17">
        <f>DO154*VLOOKUP('Données projet'!$B$14,Paramètres!$A$1:$I$89,3,0)*VLOOKUP('Données projet'!$B$14,Paramètres!$A$1:$I$89,5,0)</f>
        <v>-5.1431925385259088E-14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320.81451813551064</v>
      </c>
      <c r="DU154" s="59">
        <f t="shared" si="152"/>
        <v>522.80818268773976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0.1671325294353399</v>
      </c>
      <c r="EB154" s="21">
        <f>EXP(-LN(2)/25)*EB153+(1-EXP(-LN(2)/25))/(LN(2)/25)*Calculateur!DW154*Calculateur!DY154*VLOOKUP('Données projet'!$B$14,Paramètres!$A$1:$I$89,3,0)*0.475*44/12</f>
        <v>0.36402469456938025</v>
      </c>
      <c r="EC154" s="21">
        <f>EXP(-LN(2)/2)*EC153+(1-EXP(-LN(2)/2))/(LN(2)/2)*DW154*DZ154*VLOOKUP('Données projet'!$B$14,Paramètres!$A$1:$I$89,3,0)*0.475*44/12</f>
        <v>3.6730862609903912E-18</v>
      </c>
      <c r="ED154" s="22">
        <f t="shared" ref="ED154:ED203" si="178">SUM(EA154:EC154)</f>
        <v>0.53115722400472021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108.5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228.3393311631487</v>
      </c>
      <c r="EP154" s="59">
        <f t="shared" si="154"/>
        <v>266.26050497804033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0.56564795151736313</v>
      </c>
      <c r="EW154" s="21">
        <f>EXP(-LN(2)/25)*EW153+(1-EXP(-LN(2)/25))/(LN(2)/25)*Calculateur!ER154*Calculateur!ET154*VLOOKUP('Données projet'!$B$15,Paramètres!$A$1:$I$89,3,0)*0.475*44/12</f>
        <v>0.43053550441228899</v>
      </c>
      <c r="EX154" s="21">
        <f>EXP(-LN(2)/2)*EX153+(1-EXP(-LN(2)/2))/(LN(2)/2)*ER154*EU154*VLOOKUP('Données projet'!$B$15,Paramètres!$A$1:$I$89,3,0)*0.475*44/12</f>
        <v>3.3399377065803122E-18</v>
      </c>
      <c r="EY154" s="22">
        <f t="shared" ref="EY154:EY203" si="181">SUM(EV154:EX154)</f>
        <v>0.99618345592965207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108.5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-1.7053025658242404E-13</v>
      </c>
      <c r="FF154" s="17">
        <f>FE154*VLOOKUP('Données projet'!$B$16,Paramètres!$A$1:$I$89,3,0)*VLOOKUP('Données projet'!$B$16,Paramètres!$A$1:$I$89,5,0)</f>
        <v>-9.7543306765146564E-14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242.10913976205194</v>
      </c>
      <c r="FK154" s="59">
        <f t="shared" si="156"/>
        <v>198.24795425321133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0.37839013391339432</v>
      </c>
      <c r="FS154" s="21">
        <f>EXP(-LN(2)/2)*FS153+(1-EXP(-LN(2)/2))/(LN(2)/2)*FM154*FP154*VLOOKUP('Données projet'!$B$16,Paramètres!$A$1:$I$89,3,0)*0.475*44/12</f>
        <v>8.1097008439821658E-18</v>
      </c>
      <c r="FT154" s="22">
        <f t="shared" ref="FT154:FT203" si="184">SUM(FQ154:FS154)</f>
        <v>0.37839013391339432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108.5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108.5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74.337119999999985</v>
      </c>
      <c r="D155" s="11">
        <f t="shared" si="140"/>
        <v>20.746720166916457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403.68928632269791</v>
      </c>
      <c r="H155" s="67">
        <f t="shared" si="110"/>
        <v>563.4376882907128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108.5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4.6111381379887463E-14</v>
      </c>
      <c r="P155" s="13">
        <f t="shared" si="141"/>
        <v>7.5804141040779151E-13</v>
      </c>
      <c r="Q155" s="20">
        <f t="shared" si="162"/>
        <v>1.4005661123635408E-12</v>
      </c>
      <c r="R155" s="59">
        <f t="shared" si="109"/>
        <v>434.50000000000142</v>
      </c>
      <c r="S155" s="59">
        <f ca="1">AVERAGE(OFFSET($R$3,0,0,'Données projet'!$E$9+1,1))-AVERAGE(OFFSET($H$3,0,0,'Données projet'!$E$9+1,1))</f>
        <v>273.89826011924487</v>
      </c>
      <c r="T155" s="59">
        <f t="shared" si="142"/>
        <v>332.17519939974227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0.28888049306757896</v>
      </c>
      <c r="AB155" s="21">
        <f>EXP(-LN(2)/2)*AB154+(1-EXP(-LN(2)/2))/(LN(2)/2)*V155*Y155*VLOOKUP('Données projet'!$B$9,Paramètres!$A$1:$I$89,3,0)*0.475*44/12</f>
        <v>4.7585934073840654E-18</v>
      </c>
      <c r="AC155" s="22">
        <f t="shared" si="163"/>
        <v>0.28888049306757896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108.5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-5.3205440053716299E-14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293.42903587188346</v>
      </c>
      <c r="AO155" s="59">
        <f t="shared" si="144"/>
        <v>267.80827667062124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0.27981759779215193</v>
      </c>
      <c r="AV155" s="21">
        <f>EXP(-LN(2)/25)*AV154+(1-EXP(-LN(2)/25))/(LN(2)/25)*Calculateur!AQ155*Calculateur!AS155*VLOOKUP('Données projet'!$B$10,Paramètres!$A$1:$I$89,3,0)*0.475*44/12</f>
        <v>0.26677521796297438</v>
      </c>
      <c r="AW155" s="21">
        <f>EXP(-LN(2)/2)*AW154+(1-EXP(-LN(2)/2))/(LN(2)/2)*AQ155*AT155*VLOOKUP('Données projet'!$B$10,Paramètres!$A$1:$I$89,3,0)*0.475*44/12</f>
        <v>4.264026840079118E-18</v>
      </c>
      <c r="AX155" s="21">
        <f t="shared" si="166"/>
        <v>0.5465928157551263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108.5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-1.0286385077051818E-13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324.41828402031939</v>
      </c>
      <c r="BJ155" s="59">
        <f t="shared" si="146"/>
        <v>233.01060088065992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0.10547910290297703</v>
      </c>
      <c r="BR155" s="21">
        <f>EXP(-LN(2)/2)*BR154+(1-EXP(-LN(2)/2))/(LN(2)/2)*BL155*BO155*VLOOKUP('Données projet'!$B$11,Paramètres!$A$1:$I$89,3,0)*0.475*44/12</f>
        <v>2.6842017560159186E-18</v>
      </c>
      <c r="BS155" s="22">
        <f t="shared" si="169"/>
        <v>0.10547910290297703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108.5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279.00060755204919</v>
      </c>
      <c r="CE155" s="59">
        <f t="shared" si="148"/>
        <v>333.91128554211014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0.65174389978920644</v>
      </c>
      <c r="CL155" s="21">
        <f>EXP(-LN(2)/25)*CL154+(1-EXP(-LN(2)/25))/(LN(2)/25)*Calculateur!CG155*Calculateur!CI155*VLOOKUP('Données projet'!$B$12,Paramètres!$A$1:$I$89,3,0)*0.475*44/12</f>
        <v>0.94514395940254403</v>
      </c>
      <c r="CM155" s="21">
        <f>EXP(-LN(2)/2)*CM154+(1-EXP(-LN(2)/2))/(LN(2)/2)*CG155*CJ155*VLOOKUP('Données projet'!$B$12,Paramètres!$A$1:$I$89,3,0)*0.475*44/12</f>
        <v>9.3475091978190246E-18</v>
      </c>
      <c r="CN155" s="22">
        <f t="shared" si="172"/>
        <v>1.5968878591917504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108.5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-6.7984728957526396E-14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380.01315081072897</v>
      </c>
      <c r="CZ155" s="59">
        <f t="shared" si="150"/>
        <v>404.90871625409181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0.31229395198232857</v>
      </c>
      <c r="DG155" s="21">
        <f>EXP(-LN(2)/25)*DG154+(1-EXP(-LN(2)/25))/(LN(2)/25)*Calculateur!DB155*Calculateur!DD155*VLOOKUP('Données projet'!$B$13,Paramètres!$A$1:$I$89,3,0)*0.475*44/12</f>
        <v>0.72470674090210141</v>
      </c>
      <c r="DH155" s="21">
        <f>EXP(-LN(2)/2)*DH154+(1-EXP(-LN(2)/2))/(LN(2)/2)*DB155*DE155*VLOOKUP('Données projet'!$B$13,Paramètres!$A$1:$I$89,3,0)*0.475*44/12</f>
        <v>1.314197627292182E-17</v>
      </c>
      <c r="DI155" s="22">
        <f t="shared" si="175"/>
        <v>1.03700069288443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108.5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-5.6843418860808015E-14</v>
      </c>
      <c r="DP155" s="17">
        <f>DO155*VLOOKUP('Données projet'!$B$14,Paramètres!$A$1:$I$89,3,0)*VLOOKUP('Données projet'!$B$14,Paramètres!$A$1:$I$89,5,0)</f>
        <v>-5.1431925385259088E-14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320.81451813551064</v>
      </c>
      <c r="DU155" s="59">
        <f t="shared" si="152"/>
        <v>522.80818268773976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0.16385516247389004</v>
      </c>
      <c r="EB155" s="21">
        <f>EXP(-LN(2)/25)*EB154+(1-EXP(-LN(2)/25))/(LN(2)/25)*Calculateur!DW155*Calculateur!DY155*VLOOKUP('Données projet'!$B$14,Paramètres!$A$1:$I$89,3,0)*0.475*44/12</f>
        <v>0.35407042015315382</v>
      </c>
      <c r="EC155" s="21">
        <f>EXP(-LN(2)/2)*EC154+(1-EXP(-LN(2)/2))/(LN(2)/2)*DW155*DZ155*VLOOKUP('Données projet'!$B$14,Paramètres!$A$1:$I$89,3,0)*0.475*44/12</f>
        <v>2.5972642030294465E-18</v>
      </c>
      <c r="ED155" s="22">
        <f t="shared" si="178"/>
        <v>0.51792558262704391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108.5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228.3393311631487</v>
      </c>
      <c r="EP155" s="59">
        <f t="shared" si="154"/>
        <v>266.26050497804033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0.554555940199291</v>
      </c>
      <c r="EW155" s="21">
        <f>EXP(-LN(2)/25)*EW154+(1-EXP(-LN(2)/25))/(LN(2)/25)*Calculateur!ER155*Calculateur!ET155*VLOOKUP('Données projet'!$B$15,Paramètres!$A$1:$I$89,3,0)*0.475*44/12</f>
        <v>0.41876248840325675</v>
      </c>
      <c r="EX155" s="21">
        <f>EXP(-LN(2)/2)*EX154+(1-EXP(-LN(2)/2))/(LN(2)/2)*ER155*EU155*VLOOKUP('Données projet'!$B$15,Paramètres!$A$1:$I$89,3,0)*0.475*44/12</f>
        <v>2.3616926010635842E-18</v>
      </c>
      <c r="EY155" s="22">
        <f t="shared" si="181"/>
        <v>0.9733184286025478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108.5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-1.7053025658242404E-13</v>
      </c>
      <c r="FF155" s="17">
        <f>FE155*VLOOKUP('Données projet'!$B$16,Paramètres!$A$1:$I$89,3,0)*VLOOKUP('Données projet'!$B$16,Paramètres!$A$1:$I$89,5,0)</f>
        <v>-9.7543306765146564E-14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242.10913976205194</v>
      </c>
      <c r="FK155" s="59">
        <f t="shared" si="156"/>
        <v>198.24795425321133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0.36804303580286024</v>
      </c>
      <c r="FS155" s="21">
        <f>EXP(-LN(2)/2)*FS154+(1-EXP(-LN(2)/2))/(LN(2)/2)*FM155*FP155*VLOOKUP('Données projet'!$B$16,Paramètres!$A$1:$I$89,3,0)*0.475*44/12</f>
        <v>5.7344244601740572E-18</v>
      </c>
      <c r="FT155" s="22">
        <f t="shared" si="184"/>
        <v>0.36804303580286024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108.5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108.5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74.826179999999979</v>
      </c>
      <c r="D156" s="11">
        <f t="shared" si="140"/>
        <v>20.867278061087756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406.27748861023224</v>
      </c>
      <c r="H156" s="67">
        <f t="shared" si="110"/>
        <v>564.4994394563945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108.5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4.6111381379887463E-14</v>
      </c>
      <c r="P156" s="13">
        <f t="shared" si="141"/>
        <v>7.5804141040779151E-13</v>
      </c>
      <c r="Q156" s="20">
        <f t="shared" si="162"/>
        <v>1.4005661123635408E-12</v>
      </c>
      <c r="R156" s="59">
        <f t="shared" si="109"/>
        <v>434.50000000000142</v>
      </c>
      <c r="S156" s="59">
        <f ca="1">AVERAGE(OFFSET($R$3,0,0,'Données projet'!$E$9+1,1))-AVERAGE(OFFSET($H$3,0,0,'Données projet'!$E$9+1,1))</f>
        <v>273.89826011924487</v>
      </c>
      <c r="T156" s="59">
        <f t="shared" si="142"/>
        <v>332.17519939974227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0.28098104079308112</v>
      </c>
      <c r="AB156" s="21">
        <f>EXP(-LN(2)/2)*AB155+(1-EXP(-LN(2)/2))/(LN(2)/2)*V156*Y156*VLOOKUP('Données projet'!$B$9,Paramètres!$A$1:$I$89,3,0)*0.475*44/12</f>
        <v>3.364833667270872E-18</v>
      </c>
      <c r="AC156" s="22">
        <f t="shared" si="163"/>
        <v>0.28098104079308112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108.5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-5.3205440053716299E-14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293.42903587188346</v>
      </c>
      <c r="AO156" s="59">
        <f t="shared" si="144"/>
        <v>267.80827667062124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0.27433054537133006</v>
      </c>
      <c r="AV156" s="21">
        <f>EXP(-LN(2)/25)*AV155+(1-EXP(-LN(2)/25))/(LN(2)/25)*Calculateur!AQ156*Calculateur!AS156*VLOOKUP('Données projet'!$B$10,Paramètres!$A$1:$I$89,3,0)*0.475*44/12</f>
        <v>0.25948023559867783</v>
      </c>
      <c r="AW156" s="21">
        <f>EXP(-LN(2)/2)*AW155+(1-EXP(-LN(2)/2))/(LN(2)/2)*AQ156*AT156*VLOOKUP('Données projet'!$B$10,Paramètres!$A$1:$I$89,3,0)*0.475*44/12</f>
        <v>3.0151222937813906E-18</v>
      </c>
      <c r="AX156" s="21">
        <f t="shared" si="166"/>
        <v>0.53381078097000789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108.5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-1.0286385077051818E-13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324.41828402031939</v>
      </c>
      <c r="BJ156" s="59">
        <f t="shared" si="146"/>
        <v>233.01060088065992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0.10259477128719018</v>
      </c>
      <c r="BR156" s="21">
        <f>EXP(-LN(2)/2)*BR155+(1-EXP(-LN(2)/2))/(LN(2)/2)*BL156*BO156*VLOOKUP('Données projet'!$B$11,Paramètres!$A$1:$I$89,3,0)*0.475*44/12</f>
        <v>1.8980172637516947E-18</v>
      </c>
      <c r="BS156" s="22">
        <f t="shared" si="169"/>
        <v>0.10259477128719018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108.5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279.00060755204919</v>
      </c>
      <c r="CE156" s="59">
        <f t="shared" si="148"/>
        <v>333.91128554211014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0.63896359943886671</v>
      </c>
      <c r="CL156" s="21">
        <f>EXP(-LN(2)/25)*CL155+(1-EXP(-LN(2)/25))/(LN(2)/25)*Calculateur!CG156*Calculateur!CI156*VLOOKUP('Données projet'!$B$12,Paramètres!$A$1:$I$89,3,0)*0.475*44/12</f>
        <v>0.91929894812972079</v>
      </c>
      <c r="CM156" s="21">
        <f>EXP(-LN(2)/2)*CM155+(1-EXP(-LN(2)/2))/(LN(2)/2)*CG156*CJ156*VLOOKUP('Données projet'!$B$12,Paramètres!$A$1:$I$89,3,0)*0.475*44/12</f>
        <v>6.6096871409814575E-18</v>
      </c>
      <c r="CN156" s="22">
        <f t="shared" si="172"/>
        <v>1.5582625475685874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108.5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-6.7984728957526396E-14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380.01315081072897</v>
      </c>
      <c r="CZ156" s="59">
        <f t="shared" si="150"/>
        <v>404.90871625409181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0.30617005806445741</v>
      </c>
      <c r="DG156" s="21">
        <f>EXP(-LN(2)/25)*DG155+(1-EXP(-LN(2)/25))/(LN(2)/25)*Calculateur!DB156*Calculateur!DD156*VLOOKUP('Données projet'!$B$13,Paramètres!$A$1:$I$89,3,0)*0.475*44/12</f>
        <v>0.70488959696146225</v>
      </c>
      <c r="DH156" s="21">
        <f>EXP(-LN(2)/2)*DH155+(1-EXP(-LN(2)/2))/(LN(2)/2)*DB156*DE156*VLOOKUP('Données projet'!$B$13,Paramètres!$A$1:$I$89,3,0)*0.475*44/12</f>
        <v>9.2927805407757285E-18</v>
      </c>
      <c r="DI156" s="22">
        <f t="shared" si="175"/>
        <v>1.0110596550259197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108.5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-5.6843418860808015E-14</v>
      </c>
      <c r="DP156" s="17">
        <f>DO156*VLOOKUP('Données projet'!$B$14,Paramètres!$A$1:$I$89,3,0)*VLOOKUP('Données projet'!$B$14,Paramètres!$A$1:$I$89,5,0)</f>
        <v>-5.1431925385259088E-14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320.81451813551064</v>
      </c>
      <c r="DU156" s="59">
        <f t="shared" si="152"/>
        <v>522.80818268773976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0.16064206267955772</v>
      </c>
      <c r="EB156" s="21">
        <f>EXP(-LN(2)/25)*EB155+(1-EXP(-LN(2)/25))/(LN(2)/25)*Calculateur!DW156*Calculateur!DY156*VLOOKUP('Données projet'!$B$14,Paramètres!$A$1:$I$89,3,0)*0.475*44/12</f>
        <v>0.34438834589431166</v>
      </c>
      <c r="EC156" s="21">
        <f>EXP(-LN(2)/2)*EC155+(1-EXP(-LN(2)/2))/(LN(2)/2)*DW156*DZ156*VLOOKUP('Données projet'!$B$14,Paramètres!$A$1:$I$89,3,0)*0.475*44/12</f>
        <v>1.8365431304951956E-18</v>
      </c>
      <c r="ED156" s="22">
        <f t="shared" si="178"/>
        <v>0.50503040857386938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108.5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228.3393311631487</v>
      </c>
      <c r="EP156" s="59">
        <f t="shared" si="154"/>
        <v>266.26050497804033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0.54368143645770739</v>
      </c>
      <c r="EW156" s="21">
        <f>EXP(-LN(2)/25)*EW155+(1-EXP(-LN(2)/25))/(LN(2)/25)*Calculateur!ER156*Calculateur!ET156*VLOOKUP('Données projet'!$B$15,Paramètres!$A$1:$I$89,3,0)*0.475*44/12</f>
        <v>0.4073114061361075</v>
      </c>
      <c r="EX156" s="21">
        <f>EXP(-LN(2)/2)*EX155+(1-EXP(-LN(2)/2))/(LN(2)/2)*ER156*EU156*VLOOKUP('Données projet'!$B$15,Paramètres!$A$1:$I$89,3,0)*0.475*44/12</f>
        <v>1.6699688532901561E-18</v>
      </c>
      <c r="EY156" s="22">
        <f t="shared" si="181"/>
        <v>0.95099284259381489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108.5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-1.7053025658242404E-13</v>
      </c>
      <c r="FF156" s="17">
        <f>FE156*VLOOKUP('Données projet'!$B$16,Paramètres!$A$1:$I$89,3,0)*VLOOKUP('Données projet'!$B$16,Paramètres!$A$1:$I$89,5,0)</f>
        <v>-9.7543306765146564E-14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242.10913976205194</v>
      </c>
      <c r="FK156" s="59">
        <f t="shared" si="156"/>
        <v>198.24795425321133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0.35797887963428893</v>
      </c>
      <c r="FS156" s="21">
        <f>EXP(-LN(2)/2)*FS155+(1-EXP(-LN(2)/2))/(LN(2)/2)*FM156*FP156*VLOOKUP('Données projet'!$B$16,Paramètres!$A$1:$I$89,3,0)*0.475*44/12</f>
        <v>4.0548504219910829E-18</v>
      </c>
      <c r="FT156" s="22">
        <f t="shared" si="184"/>
        <v>0.35797887963428893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108.5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108.5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75.315239999999974</v>
      </c>
      <c r="D157" s="11">
        <f t="shared" si="140"/>
        <v>20.987744270893938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408.8653016413391</v>
      </c>
      <c r="H157" s="67">
        <f t="shared" si="110"/>
        <v>565.56103093847355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108.5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4.6111381379887463E-14</v>
      </c>
      <c r="P157" s="13">
        <f t="shared" si="141"/>
        <v>7.5804141040779151E-13</v>
      </c>
      <c r="Q157" s="20">
        <f t="shared" si="162"/>
        <v>1.4005661123635408E-12</v>
      </c>
      <c r="R157" s="59">
        <f t="shared" si="109"/>
        <v>434.50000000000142</v>
      </c>
      <c r="S157" s="59">
        <f ca="1">AVERAGE(OFFSET($R$3,0,0,'Données projet'!$E$9+1,1))-AVERAGE(OFFSET($H$3,0,0,'Données projet'!$E$9+1,1))</f>
        <v>273.89826011924487</v>
      </c>
      <c r="T157" s="59">
        <f t="shared" si="142"/>
        <v>332.17519939974227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0.27329759945644355</v>
      </c>
      <c r="AB157" s="21">
        <f>EXP(-LN(2)/2)*AB156+(1-EXP(-LN(2)/2))/(LN(2)/2)*V157*Y157*VLOOKUP('Données projet'!$B$9,Paramètres!$A$1:$I$89,3,0)*0.475*44/12</f>
        <v>2.3792967036920327E-18</v>
      </c>
      <c r="AC157" s="22">
        <f t="shared" si="163"/>
        <v>0.27329759945644355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108.5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-5.3205440053716299E-14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293.42903587188346</v>
      </c>
      <c r="AO157" s="59">
        <f t="shared" si="144"/>
        <v>267.80827667062124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0.26895109070170897</v>
      </c>
      <c r="AV157" s="21">
        <f>EXP(-LN(2)/25)*AV156+(1-EXP(-LN(2)/25))/(LN(2)/25)*Calculateur!AQ157*Calculateur!AS157*VLOOKUP('Données projet'!$B$10,Paramètres!$A$1:$I$89,3,0)*0.475*44/12</f>
        <v>0.25238473491075947</v>
      </c>
      <c r="AW157" s="21">
        <f>EXP(-LN(2)/2)*AW156+(1-EXP(-LN(2)/2))/(LN(2)/2)*AQ157*AT157*VLOOKUP('Données projet'!$B$10,Paramètres!$A$1:$I$89,3,0)*0.475*44/12</f>
        <v>2.132013420039559E-18</v>
      </c>
      <c r="AX157" s="21">
        <f t="shared" si="166"/>
        <v>0.5213358256124685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108.5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-1.0286385077051818E-13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324.41828402031939</v>
      </c>
      <c r="BJ157" s="59">
        <f t="shared" si="146"/>
        <v>233.01060088065992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9.978931187111742E-2</v>
      </c>
      <c r="BR157" s="21">
        <f>EXP(-LN(2)/2)*BR156+(1-EXP(-LN(2)/2))/(LN(2)/2)*BL157*BO157*VLOOKUP('Données projet'!$B$11,Paramètres!$A$1:$I$89,3,0)*0.475*44/12</f>
        <v>1.3421008780079593E-18</v>
      </c>
      <c r="BS157" s="22">
        <f t="shared" si="169"/>
        <v>9.978931187111742E-2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108.5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279.00060755204919</v>
      </c>
      <c r="CE157" s="59">
        <f t="shared" si="148"/>
        <v>333.91128554211014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0.62643391298318363</v>
      </c>
      <c r="CL157" s="21">
        <f>EXP(-LN(2)/25)*CL156+(1-EXP(-LN(2)/25))/(LN(2)/25)*Calculateur!CG157*Calculateur!CI157*VLOOKUP('Données projet'!$B$12,Paramètres!$A$1:$I$89,3,0)*0.475*44/12</f>
        <v>0.89416067004928301</v>
      </c>
      <c r="CM157" s="21">
        <f>EXP(-LN(2)/2)*CM156+(1-EXP(-LN(2)/2))/(LN(2)/2)*CG157*CJ157*VLOOKUP('Données projet'!$B$12,Paramètres!$A$1:$I$89,3,0)*0.475*44/12</f>
        <v>4.6737545989095123E-18</v>
      </c>
      <c r="CN157" s="22">
        <f t="shared" si="172"/>
        <v>1.5205945830324668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108.5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-6.7984728957526396E-14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380.01315081072897</v>
      </c>
      <c r="CZ157" s="59">
        <f t="shared" si="150"/>
        <v>404.90871625409181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0.30016624997110924</v>
      </c>
      <c r="DG157" s="21">
        <f>EXP(-LN(2)/25)*DG156+(1-EXP(-LN(2)/25))/(LN(2)/25)*Calculateur!DB157*Calculateur!DD157*VLOOKUP('Données projet'!$B$13,Paramètres!$A$1:$I$89,3,0)*0.475*44/12</f>
        <v>0.68561435386401826</v>
      </c>
      <c r="DH157" s="21">
        <f>EXP(-LN(2)/2)*DH156+(1-EXP(-LN(2)/2))/(LN(2)/2)*DB157*DE157*VLOOKUP('Données projet'!$B$13,Paramètres!$A$1:$I$89,3,0)*0.475*44/12</f>
        <v>6.57098813646091E-18</v>
      </c>
      <c r="DI157" s="22">
        <f t="shared" si="175"/>
        <v>0.98578060383512756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108.5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-5.6843418860808015E-14</v>
      </c>
      <c r="DP157" s="17">
        <f>DO157*VLOOKUP('Données projet'!$B$14,Paramètres!$A$1:$I$89,3,0)*VLOOKUP('Données projet'!$B$14,Paramètres!$A$1:$I$89,5,0)</f>
        <v>-5.1431925385259088E-14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320.81451813551064</v>
      </c>
      <c r="DU157" s="59">
        <f t="shared" si="152"/>
        <v>522.80818268773976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0.15749196981239491</v>
      </c>
      <c r="EB157" s="21">
        <f>EXP(-LN(2)/25)*EB156+(1-EXP(-LN(2)/25))/(LN(2)/25)*Calculateur!DW157*Calculateur!DY157*VLOOKUP('Données projet'!$B$14,Paramètres!$A$1:$I$89,3,0)*0.475*44/12</f>
        <v>0.33497102846523569</v>
      </c>
      <c r="EC157" s="21">
        <f>EXP(-LN(2)/2)*EC156+(1-EXP(-LN(2)/2))/(LN(2)/2)*DW157*DZ157*VLOOKUP('Données projet'!$B$14,Paramètres!$A$1:$I$89,3,0)*0.475*44/12</f>
        <v>1.2986321015147233E-18</v>
      </c>
      <c r="ED157" s="22">
        <f t="shared" si="178"/>
        <v>0.49246299827763063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108.5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228.3393311631487</v>
      </c>
      <c r="EP157" s="59">
        <f t="shared" si="154"/>
        <v>266.26050497804033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0.53302017510170396</v>
      </c>
      <c r="EW157" s="21">
        <f>EXP(-LN(2)/25)*EW156+(1-EXP(-LN(2)/25))/(LN(2)/25)*Calculateur!ER157*Calculateur!ET157*VLOOKUP('Données projet'!$B$15,Paramètres!$A$1:$I$89,3,0)*0.475*44/12</f>
        <v>0.39617345431573969</v>
      </c>
      <c r="EX157" s="21">
        <f>EXP(-LN(2)/2)*EX156+(1-EXP(-LN(2)/2))/(LN(2)/2)*ER157*EU157*VLOOKUP('Données projet'!$B$15,Paramètres!$A$1:$I$89,3,0)*0.475*44/12</f>
        <v>1.1808463005317921E-18</v>
      </c>
      <c r="EY157" s="22">
        <f t="shared" si="181"/>
        <v>0.92919362941744366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108.5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-1.7053025658242404E-13</v>
      </c>
      <c r="FF157" s="17">
        <f>FE157*VLOOKUP('Données projet'!$B$16,Paramètres!$A$1:$I$89,3,0)*VLOOKUP('Données projet'!$B$16,Paramètres!$A$1:$I$89,5,0)</f>
        <v>-9.7543306765146564E-14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242.10913976205194</v>
      </c>
      <c r="FK157" s="59">
        <f t="shared" si="156"/>
        <v>198.24795425321133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0.34818992834539819</v>
      </c>
      <c r="FS157" s="21">
        <f>EXP(-LN(2)/2)*FS156+(1-EXP(-LN(2)/2))/(LN(2)/2)*FM157*FP157*VLOOKUP('Données projet'!$B$16,Paramètres!$A$1:$I$89,3,0)*0.475*44/12</f>
        <v>2.8672122300870286E-18</v>
      </c>
      <c r="FT157" s="22">
        <f t="shared" si="184"/>
        <v>0.34818992834539819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108.5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108.5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75.804299999999969</v>
      </c>
      <c r="D158" s="11">
        <f t="shared" si="140"/>
        <v>21.108119460745367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411.45272823684871</v>
      </c>
      <c r="H158" s="67">
        <f t="shared" si="110"/>
        <v>566.62246389413144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108.5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4.6111381379887463E-14</v>
      </c>
      <c r="P158" s="13">
        <f t="shared" si="141"/>
        <v>7.5804141040779151E-13</v>
      </c>
      <c r="Q158" s="20">
        <f t="shared" si="162"/>
        <v>1.4005661123635408E-12</v>
      </c>
      <c r="R158" s="59">
        <f t="shared" si="109"/>
        <v>434.50000000000142</v>
      </c>
      <c r="S158" s="59">
        <f ca="1">AVERAGE(OFFSET($R$3,0,0,'Données projet'!$E$9+1,1))-AVERAGE(OFFSET($H$3,0,0,'Données projet'!$E$9+1,1))</f>
        <v>273.89826011924487</v>
      </c>
      <c r="T158" s="59">
        <f t="shared" si="142"/>
        <v>332.17519939974227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0.26582426222721095</v>
      </c>
      <c r="AB158" s="21">
        <f>EXP(-LN(2)/2)*AB157+(1-EXP(-LN(2)/2))/(LN(2)/2)*V158*Y158*VLOOKUP('Données projet'!$B$9,Paramètres!$A$1:$I$89,3,0)*0.475*44/12</f>
        <v>1.682416833635436E-18</v>
      </c>
      <c r="AC158" s="22">
        <f t="shared" si="163"/>
        <v>0.26582426222721095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108.5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-5.3205440053716299E-14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293.42903587188346</v>
      </c>
      <c r="AO158" s="59">
        <f t="shared" si="144"/>
        <v>267.80827667062124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0.2636771238570158</v>
      </c>
      <c r="AV158" s="21">
        <f>EXP(-LN(2)/25)*AV157+(1-EXP(-LN(2)/25))/(LN(2)/25)*Calculateur!AQ158*Calculateur!AS158*VLOOKUP('Données projet'!$B$10,Paramètres!$A$1:$I$89,3,0)*0.475*44/12</f>
        <v>0.24548326106228838</v>
      </c>
      <c r="AW158" s="21">
        <f>EXP(-LN(2)/2)*AW157+(1-EXP(-LN(2)/2))/(LN(2)/2)*AQ158*AT158*VLOOKUP('Données projet'!$B$10,Paramètres!$A$1:$I$89,3,0)*0.475*44/12</f>
        <v>1.5075611468906953E-18</v>
      </c>
      <c r="AX158" s="21">
        <f t="shared" si="166"/>
        <v>0.50916038491930415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108.5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-1.0286385077051818E-13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324.41828402031939</v>
      </c>
      <c r="BJ158" s="59">
        <f t="shared" si="146"/>
        <v>233.01060088065992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9.7060567890309868E-2</v>
      </c>
      <c r="BR158" s="21">
        <f>EXP(-LN(2)/2)*BR157+(1-EXP(-LN(2)/2))/(LN(2)/2)*BL158*BO158*VLOOKUP('Données projet'!$B$11,Paramètres!$A$1:$I$89,3,0)*0.475*44/12</f>
        <v>9.4900863187584737E-19</v>
      </c>
      <c r="BS158" s="22">
        <f t="shared" si="169"/>
        <v>9.7060567890309868E-2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108.5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279.00060755204919</v>
      </c>
      <c r="CE158" s="59">
        <f t="shared" si="148"/>
        <v>333.91128554211014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0.61414992603654239</v>
      </c>
      <c r="CL158" s="21">
        <f>EXP(-LN(2)/25)*CL157+(1-EXP(-LN(2)/25))/(LN(2)/25)*Calculateur!CG158*Calculateur!CI158*VLOOKUP('Données projet'!$B$12,Paramètres!$A$1:$I$89,3,0)*0.475*44/12</f>
        <v>0.86970979950491933</v>
      </c>
      <c r="CM158" s="21">
        <f>EXP(-LN(2)/2)*CM157+(1-EXP(-LN(2)/2))/(LN(2)/2)*CG158*CJ158*VLOOKUP('Données projet'!$B$12,Paramètres!$A$1:$I$89,3,0)*0.475*44/12</f>
        <v>3.3048435704907287E-18</v>
      </c>
      <c r="CN158" s="22">
        <f t="shared" si="172"/>
        <v>1.4838597255414618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108.5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-6.7984728957526396E-14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380.01315081072897</v>
      </c>
      <c r="CZ158" s="59">
        <f t="shared" si="150"/>
        <v>404.90871625409181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0.29428017289251029</v>
      </c>
      <c r="DG158" s="21">
        <f>EXP(-LN(2)/25)*DG157+(1-EXP(-LN(2)/25))/(LN(2)/25)*Calculateur!DB158*Calculateur!DD158*VLOOKUP('Données projet'!$B$13,Paramètres!$A$1:$I$89,3,0)*0.475*44/12</f>
        <v>0.66686619330271479</v>
      </c>
      <c r="DH158" s="21">
        <f>EXP(-LN(2)/2)*DH157+(1-EXP(-LN(2)/2))/(LN(2)/2)*DB158*DE158*VLOOKUP('Données projet'!$B$13,Paramètres!$A$1:$I$89,3,0)*0.475*44/12</f>
        <v>4.6463902703878643E-18</v>
      </c>
      <c r="DI158" s="22">
        <f t="shared" si="175"/>
        <v>0.96114636619522509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108.5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-5.6843418860808015E-14</v>
      </c>
      <c r="DP158" s="17">
        <f>DO158*VLOOKUP('Données projet'!$B$14,Paramètres!$A$1:$I$89,3,0)*VLOOKUP('Données projet'!$B$14,Paramètres!$A$1:$I$89,5,0)</f>
        <v>-5.1431925385259088E-14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320.81451813551064</v>
      </c>
      <c r="DU158" s="59">
        <f t="shared" si="152"/>
        <v>522.80818268773976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0.15440364834499024</v>
      </c>
      <c r="EB158" s="21">
        <f>EXP(-LN(2)/25)*EB157+(1-EXP(-LN(2)/25))/(LN(2)/25)*Calculateur!DW158*Calculateur!DY158*VLOOKUP('Données projet'!$B$14,Paramètres!$A$1:$I$89,3,0)*0.475*44/12</f>
        <v>0.32581122807649304</v>
      </c>
      <c r="EC158" s="21">
        <f>EXP(-LN(2)/2)*EC157+(1-EXP(-LN(2)/2))/(LN(2)/2)*DW158*DZ158*VLOOKUP('Données projet'!$B$14,Paramètres!$A$1:$I$89,3,0)*0.475*44/12</f>
        <v>9.1827156524759779E-19</v>
      </c>
      <c r="ED158" s="22">
        <f t="shared" si="178"/>
        <v>0.48021487642148331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108.5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228.3393311631487</v>
      </c>
      <c r="EP158" s="59">
        <f t="shared" si="154"/>
        <v>266.26050497804033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0.5225679745781644</v>
      </c>
      <c r="EW158" s="21">
        <f>EXP(-LN(2)/25)*EW157+(1-EXP(-LN(2)/25))/(LN(2)/25)*Calculateur!ER158*Calculateur!ET158*VLOOKUP('Données projet'!$B$15,Paramètres!$A$1:$I$89,3,0)*0.475*44/12</f>
        <v>0.38534007037361928</v>
      </c>
      <c r="EX158" s="21">
        <f>EXP(-LN(2)/2)*EX157+(1-EXP(-LN(2)/2))/(LN(2)/2)*ER158*EU158*VLOOKUP('Données projet'!$B$15,Paramètres!$A$1:$I$89,3,0)*0.475*44/12</f>
        <v>8.3498442664507805E-19</v>
      </c>
      <c r="EY158" s="22">
        <f t="shared" si="181"/>
        <v>0.90790804495178368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108.5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-1.7053025658242404E-13</v>
      </c>
      <c r="FF158" s="17">
        <f>FE158*VLOOKUP('Données projet'!$B$16,Paramètres!$A$1:$I$89,3,0)*VLOOKUP('Données projet'!$B$16,Paramètres!$A$1:$I$89,5,0)</f>
        <v>-9.7543306765146564E-14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242.10913976205194</v>
      </c>
      <c r="FK158" s="59">
        <f t="shared" si="156"/>
        <v>198.24795425321133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0.33866865644428074</v>
      </c>
      <c r="FS158" s="21">
        <f>EXP(-LN(2)/2)*FS157+(1-EXP(-LN(2)/2))/(LN(2)/2)*FM158*FP158*VLOOKUP('Données projet'!$B$16,Paramètres!$A$1:$I$89,3,0)*0.475*44/12</f>
        <v>2.0274252109955415E-18</v>
      </c>
      <c r="FT158" s="22">
        <f t="shared" si="184"/>
        <v>0.33866865644428074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108.5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108.5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76.293359999999964</v>
      </c>
      <c r="D159" s="11">
        <f t="shared" si="140"/>
        <v>21.228404285983615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414.03977117908818</v>
      </c>
      <c r="H159" s="67">
        <f t="shared" si="110"/>
        <v>567.68373946475469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108.5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4.6111381379887463E-14</v>
      </c>
      <c r="P159" s="13">
        <f t="shared" si="141"/>
        <v>7.5804141040779151E-13</v>
      </c>
      <c r="Q159" s="20">
        <f t="shared" si="162"/>
        <v>1.4005661123635408E-12</v>
      </c>
      <c r="R159" s="59">
        <f t="shared" si="109"/>
        <v>434.50000000000142</v>
      </c>
      <c r="S159" s="59">
        <f ca="1">AVERAGE(OFFSET($R$3,0,0,'Données projet'!$E$9+1,1))-AVERAGE(OFFSET($H$3,0,0,'Données projet'!$E$9+1,1))</f>
        <v>273.89826011924487</v>
      </c>
      <c r="T159" s="59">
        <f t="shared" si="142"/>
        <v>332.17519939974227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0.25855528379751747</v>
      </c>
      <c r="AB159" s="21">
        <f>EXP(-LN(2)/2)*AB158+(1-EXP(-LN(2)/2))/(LN(2)/2)*V159*Y159*VLOOKUP('Données projet'!$B$9,Paramètres!$A$1:$I$89,3,0)*0.475*44/12</f>
        <v>1.1896483518460163E-18</v>
      </c>
      <c r="AC159" s="22">
        <f t="shared" si="163"/>
        <v>0.25855528379751747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108.5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-5.3205440053716299E-14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293.42903587188346</v>
      </c>
      <c r="AO159" s="59">
        <f t="shared" si="144"/>
        <v>267.80827667062124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0.2585065762853449</v>
      </c>
      <c r="AV159" s="21">
        <f>EXP(-LN(2)/25)*AV158+(1-EXP(-LN(2)/25))/(LN(2)/25)*Calculateur!AQ159*Calculateur!AS159*VLOOKUP('Données projet'!$B$10,Paramètres!$A$1:$I$89,3,0)*0.475*44/12</f>
        <v>0.23877050837913646</v>
      </c>
      <c r="AW159" s="21">
        <f>EXP(-LN(2)/2)*AW158+(1-EXP(-LN(2)/2))/(LN(2)/2)*AQ159*AT159*VLOOKUP('Données projet'!$B$10,Paramètres!$A$1:$I$89,3,0)*0.475*44/12</f>
        <v>1.0660067100197795E-18</v>
      </c>
      <c r="AX159" s="21">
        <f t="shared" si="166"/>
        <v>0.49727708466448139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108.5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-1.0286385077051818E-13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324.41828402031939</v>
      </c>
      <c r="BJ159" s="59">
        <f t="shared" si="146"/>
        <v>233.01060088065992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9.4406441557155912E-2</v>
      </c>
      <c r="BR159" s="21">
        <f>EXP(-LN(2)/2)*BR158+(1-EXP(-LN(2)/2))/(LN(2)/2)*BL159*BO159*VLOOKUP('Données projet'!$B$11,Paramètres!$A$1:$I$89,3,0)*0.475*44/12</f>
        <v>6.7105043900397965E-19</v>
      </c>
      <c r="BS159" s="22">
        <f t="shared" si="169"/>
        <v>9.4406441557155912E-2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108.5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279.00060755204919</v>
      </c>
      <c r="CE159" s="59">
        <f t="shared" si="148"/>
        <v>333.91128554211014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0.6021068205814325</v>
      </c>
      <c r="CL159" s="21">
        <f>EXP(-LN(2)/25)*CL158+(1-EXP(-LN(2)/25))/(LN(2)/25)*Calculateur!CG159*Calculateur!CI159*VLOOKUP('Données projet'!$B$12,Paramètres!$A$1:$I$89,3,0)*0.475*44/12</f>
        <v>0.84592753930140674</v>
      </c>
      <c r="CM159" s="21">
        <f>EXP(-LN(2)/2)*CM158+(1-EXP(-LN(2)/2))/(LN(2)/2)*CG159*CJ159*VLOOKUP('Données projet'!$B$12,Paramètres!$A$1:$I$89,3,0)*0.475*44/12</f>
        <v>2.3368772994547561E-18</v>
      </c>
      <c r="CN159" s="22">
        <f t="shared" si="172"/>
        <v>1.4480343598828394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108.5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-6.7984728957526396E-14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380.01315081072897</v>
      </c>
      <c r="CZ159" s="59">
        <f t="shared" si="150"/>
        <v>404.90871625409181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0.28850951819527015</v>
      </c>
      <c r="DG159" s="21">
        <f>EXP(-LN(2)/25)*DG158+(1-EXP(-LN(2)/25))/(LN(2)/25)*Calculateur!DB159*Calculateur!DD159*VLOOKUP('Données projet'!$B$13,Paramètres!$A$1:$I$89,3,0)*0.475*44/12</f>
        <v>0.6486307021778831</v>
      </c>
      <c r="DH159" s="21">
        <f>EXP(-LN(2)/2)*DH158+(1-EXP(-LN(2)/2))/(LN(2)/2)*DB159*DE159*VLOOKUP('Données projet'!$B$13,Paramètres!$A$1:$I$89,3,0)*0.475*44/12</f>
        <v>3.285494068230455E-18</v>
      </c>
      <c r="DI159" s="22">
        <f t="shared" si="175"/>
        <v>0.93714022037315325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108.5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-5.6843418860808015E-14</v>
      </c>
      <c r="DP159" s="17">
        <f>DO159*VLOOKUP('Données projet'!$B$14,Paramètres!$A$1:$I$89,3,0)*VLOOKUP('Données projet'!$B$14,Paramètres!$A$1:$I$89,5,0)</f>
        <v>-5.1431925385259088E-14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320.81451813551064</v>
      </c>
      <c r="DU159" s="59">
        <f t="shared" si="152"/>
        <v>522.80818268773976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0.15137588697787127</v>
      </c>
      <c r="EB159" s="21">
        <f>EXP(-LN(2)/25)*EB158+(1-EXP(-LN(2)/25))/(LN(2)/25)*Calculateur!DW159*Calculateur!DY159*VLOOKUP('Données projet'!$B$14,Paramètres!$A$1:$I$89,3,0)*0.475*44/12</f>
        <v>0.31690190291107351</v>
      </c>
      <c r="EC159" s="21">
        <f>EXP(-LN(2)/2)*EC158+(1-EXP(-LN(2)/2))/(LN(2)/2)*DW159*DZ159*VLOOKUP('Données projet'!$B$14,Paramètres!$A$1:$I$89,3,0)*0.475*44/12</f>
        <v>6.4931605075736163E-19</v>
      </c>
      <c r="ED159" s="22">
        <f t="shared" si="178"/>
        <v>0.46827778988894475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108.5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228.3393311631487</v>
      </c>
      <c r="EP159" s="59">
        <f t="shared" si="154"/>
        <v>266.26050497804033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0.51232073533167866</v>
      </c>
      <c r="EW159" s="21">
        <f>EXP(-LN(2)/25)*EW158+(1-EXP(-LN(2)/25))/(LN(2)/25)*Calculateur!ER159*Calculateur!ET159*VLOOKUP('Données projet'!$B$15,Paramètres!$A$1:$I$89,3,0)*0.475*44/12</f>
        <v>0.37480292588509906</v>
      </c>
      <c r="EX159" s="21">
        <f>EXP(-LN(2)/2)*EX158+(1-EXP(-LN(2)/2))/(LN(2)/2)*ER159*EU159*VLOOKUP('Données projet'!$B$15,Paramètres!$A$1:$I$89,3,0)*0.475*44/12</f>
        <v>5.9042315026589604E-19</v>
      </c>
      <c r="EY159" s="22">
        <f t="shared" si="181"/>
        <v>0.88712366121677766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108.5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-1.7053025658242404E-13</v>
      </c>
      <c r="FF159" s="17">
        <f>FE159*VLOOKUP('Données projet'!$B$16,Paramètres!$A$1:$I$89,3,0)*VLOOKUP('Données projet'!$B$16,Paramètres!$A$1:$I$89,5,0)</f>
        <v>-9.7543306765146564E-14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242.10913976205194</v>
      </c>
      <c r="FK159" s="59">
        <f t="shared" si="156"/>
        <v>198.24795425321133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0.32940774422400126</v>
      </c>
      <c r="FS159" s="21">
        <f>EXP(-LN(2)/2)*FS158+(1-EXP(-LN(2)/2))/(LN(2)/2)*FM159*FP159*VLOOKUP('Données projet'!$B$16,Paramètres!$A$1:$I$89,3,0)*0.475*44/12</f>
        <v>1.4336061150435143E-18</v>
      </c>
      <c r="FT159" s="22">
        <f t="shared" si="184"/>
        <v>0.32940774422400126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108.5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108.5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76.782419999999959</v>
      </c>
      <c r="D160" s="11">
        <f t="shared" si="140"/>
        <v>21.34859939306261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416.62643321265165</v>
      </c>
      <c r="H160" s="67">
        <f t="shared" si="110"/>
        <v>568.74485877625057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108.5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4.6111381379887463E-14</v>
      </c>
      <c r="P160" s="13">
        <f t="shared" si="141"/>
        <v>7.5804141040779151E-13</v>
      </c>
      <c r="Q160" s="20">
        <f t="shared" si="162"/>
        <v>1.4005661123635408E-12</v>
      </c>
      <c r="R160" s="59">
        <f t="shared" si="109"/>
        <v>434.50000000000142</v>
      </c>
      <c r="S160" s="59">
        <f ca="1">AVERAGE(OFFSET($R$3,0,0,'Données projet'!$E$9+1,1))-AVERAGE(OFFSET($H$3,0,0,'Données projet'!$E$9+1,1))</f>
        <v>273.89826011924487</v>
      </c>
      <c r="T160" s="59">
        <f t="shared" si="142"/>
        <v>332.17519939974227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0.25148507596524289</v>
      </c>
      <c r="AB160" s="21">
        <f>EXP(-LN(2)/2)*AB159+(1-EXP(-LN(2)/2))/(LN(2)/2)*V160*Y160*VLOOKUP('Données projet'!$B$9,Paramètres!$A$1:$I$89,3,0)*0.475*44/12</f>
        <v>8.4120841681771799E-19</v>
      </c>
      <c r="AC160" s="22">
        <f t="shared" si="163"/>
        <v>0.25148507596524289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108.5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-5.3205440053716299E-14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293.42903587188346</v>
      </c>
      <c r="AO160" s="59">
        <f t="shared" si="144"/>
        <v>267.80827667062124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0.25343741999783187</v>
      </c>
      <c r="AV160" s="21">
        <f>EXP(-LN(2)/25)*AV159+(1-EXP(-LN(2)/25))/(LN(2)/25)*Calculateur!AQ160*Calculateur!AS160*VLOOKUP('Données projet'!$B$10,Paramètres!$A$1:$I$89,3,0)*0.475*44/12</f>
        <v>0.23224131627111366</v>
      </c>
      <c r="AW160" s="21">
        <f>EXP(-LN(2)/2)*AW159+(1-EXP(-LN(2)/2))/(LN(2)/2)*AQ160*AT160*VLOOKUP('Données projet'!$B$10,Paramètres!$A$1:$I$89,3,0)*0.475*44/12</f>
        <v>7.5378057344534765E-19</v>
      </c>
      <c r="AX160" s="21">
        <f t="shared" si="166"/>
        <v>0.48567873626894553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108.5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-1.0286385077051818E-13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324.41828402031939</v>
      </c>
      <c r="BJ160" s="59">
        <f t="shared" si="146"/>
        <v>233.01060088065992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9.1824892448156489E-2</v>
      </c>
      <c r="BR160" s="21">
        <f>EXP(-LN(2)/2)*BR159+(1-EXP(-LN(2)/2))/(LN(2)/2)*BL160*BO160*VLOOKUP('Données projet'!$B$11,Paramètres!$A$1:$I$89,3,0)*0.475*44/12</f>
        <v>4.7450431593792369E-19</v>
      </c>
      <c r="BS160" s="22">
        <f t="shared" si="169"/>
        <v>9.1824892448156489E-2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108.5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279.00060755204919</v>
      </c>
      <c r="CE160" s="59">
        <f t="shared" si="148"/>
        <v>333.91128554211014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0.59029987307872833</v>
      </c>
      <c r="CL160" s="21">
        <f>EXP(-LN(2)/25)*CL159+(1-EXP(-LN(2)/25))/(LN(2)/25)*Calculateur!CG160*Calculateur!CI160*VLOOKUP('Données projet'!$B$12,Paramètres!$A$1:$I$89,3,0)*0.475*44/12</f>
        <v>0.82279560625381387</v>
      </c>
      <c r="CM160" s="21">
        <f>EXP(-LN(2)/2)*CM159+(1-EXP(-LN(2)/2))/(LN(2)/2)*CG160*CJ160*VLOOKUP('Données projet'!$B$12,Paramètres!$A$1:$I$89,3,0)*0.475*44/12</f>
        <v>1.6524217852453644E-18</v>
      </c>
      <c r="CN160" s="22">
        <f t="shared" si="172"/>
        <v>1.4130954793325423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108.5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-6.7984728957526396E-14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380.01315081072897</v>
      </c>
      <c r="CZ160" s="59">
        <f t="shared" si="150"/>
        <v>404.90871625409181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0.28285202251689107</v>
      </c>
      <c r="DG160" s="21">
        <f>EXP(-LN(2)/25)*DG159+(1-EXP(-LN(2)/25))/(LN(2)/25)*Calculateur!DB160*Calculateur!DD160*VLOOKUP('Données projet'!$B$13,Paramètres!$A$1:$I$89,3,0)*0.475*44/12</f>
        <v>0.6308938615168227</v>
      </c>
      <c r="DH160" s="21">
        <f>EXP(-LN(2)/2)*DH159+(1-EXP(-LN(2)/2))/(LN(2)/2)*DB160*DE160*VLOOKUP('Données projet'!$B$13,Paramètres!$A$1:$I$89,3,0)*0.475*44/12</f>
        <v>2.3231951351939321E-18</v>
      </c>
      <c r="DI160" s="22">
        <f t="shared" si="175"/>
        <v>0.91374588403371382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108.5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-5.6843418860808015E-14</v>
      </c>
      <c r="DP160" s="17">
        <f>DO160*VLOOKUP('Données projet'!$B$14,Paramètres!$A$1:$I$89,3,0)*VLOOKUP('Données projet'!$B$14,Paramètres!$A$1:$I$89,5,0)</f>
        <v>-5.1431925385259088E-14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320.81451813551064</v>
      </c>
      <c r="DU160" s="59">
        <f t="shared" si="152"/>
        <v>522.80818268773976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0.14840749816440943</v>
      </c>
      <c r="EB160" s="21">
        <f>EXP(-LN(2)/25)*EB159+(1-EXP(-LN(2)/25))/(LN(2)/25)*Calculateur!DW160*Calculateur!DY160*VLOOKUP('Données projet'!$B$14,Paramètres!$A$1:$I$89,3,0)*0.475*44/12</f>
        <v>0.30823620371082344</v>
      </c>
      <c r="EC160" s="21">
        <f>EXP(-LN(2)/2)*EC159+(1-EXP(-LN(2)/2))/(LN(2)/2)*DW160*DZ160*VLOOKUP('Données projet'!$B$14,Paramètres!$A$1:$I$89,3,0)*0.475*44/12</f>
        <v>4.5913578262379889E-19</v>
      </c>
      <c r="ED160" s="22">
        <f t="shared" si="178"/>
        <v>0.45664370187523284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108.5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228.3393311631487</v>
      </c>
      <c r="EP160" s="59">
        <f t="shared" si="154"/>
        <v>266.26050497804033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0.50227443819661766</v>
      </c>
      <c r="EW160" s="21">
        <f>EXP(-LN(2)/25)*EW159+(1-EXP(-LN(2)/25))/(LN(2)/25)*Calculateur!ER160*Calculateur!ET160*VLOOKUP('Données projet'!$B$15,Paramètres!$A$1:$I$89,3,0)*0.475*44/12</f>
        <v>0.36455392016674176</v>
      </c>
      <c r="EX160" s="21">
        <f>EXP(-LN(2)/2)*EX159+(1-EXP(-LN(2)/2))/(LN(2)/2)*ER160*EU160*VLOOKUP('Données projet'!$B$15,Paramètres!$A$1:$I$89,3,0)*0.475*44/12</f>
        <v>4.1749221332253903E-19</v>
      </c>
      <c r="EY160" s="22">
        <f t="shared" si="181"/>
        <v>0.86682835836335936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108.5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-1.7053025658242404E-13</v>
      </c>
      <c r="FF160" s="17">
        <f>FE160*VLOOKUP('Données projet'!$B$16,Paramètres!$A$1:$I$89,3,0)*VLOOKUP('Données projet'!$B$16,Paramètres!$A$1:$I$89,5,0)</f>
        <v>-9.7543306765146564E-14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242.10913976205194</v>
      </c>
      <c r="FK160" s="59">
        <f t="shared" si="156"/>
        <v>198.24795425321133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0.32040007213539556</v>
      </c>
      <c r="FS160" s="21">
        <f>EXP(-LN(2)/2)*FS159+(1-EXP(-LN(2)/2))/(LN(2)/2)*FM160*FP160*VLOOKUP('Données projet'!$B$16,Paramètres!$A$1:$I$89,3,0)*0.475*44/12</f>
        <v>1.0137126054977707E-18</v>
      </c>
      <c r="FT160" s="22">
        <f t="shared" si="184"/>
        <v>0.32040007213539556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108.5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108.5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77.271479999999954</v>
      </c>
      <c r="D161" s="11">
        <f t="shared" si="140"/>
        <v>21.468705419724962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419.21271704514794</v>
      </c>
      <c r="H161" s="67">
        <f t="shared" si="110"/>
        <v>569.80582293935424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108.5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4.6111381379887463E-14</v>
      </c>
      <c r="P161" s="13">
        <f t="shared" si="141"/>
        <v>7.5804141040779151E-13</v>
      </c>
      <c r="Q161" s="20">
        <f t="shared" si="162"/>
        <v>1.4005661123635408E-12</v>
      </c>
      <c r="R161" s="59">
        <f t="shared" si="109"/>
        <v>434.50000000000142</v>
      </c>
      <c r="S161" s="59">
        <f ca="1">AVERAGE(OFFSET($R$3,0,0,'Données projet'!$E$9+1,1))-AVERAGE(OFFSET($H$3,0,0,'Données projet'!$E$9+1,1))</f>
        <v>273.89826011924487</v>
      </c>
      <c r="T161" s="59">
        <f t="shared" si="142"/>
        <v>332.17519939974227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0.24460820333794794</v>
      </c>
      <c r="AB161" s="21">
        <f>EXP(-LN(2)/2)*AB160+(1-EXP(-LN(2)/2))/(LN(2)/2)*V161*Y161*VLOOKUP('Données projet'!$B$9,Paramètres!$A$1:$I$89,3,0)*0.475*44/12</f>
        <v>5.9482417592300817E-19</v>
      </c>
      <c r="AC161" s="22">
        <f t="shared" si="163"/>
        <v>0.24460820333794794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108.5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-5.3205440053716299E-14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293.42903587188346</v>
      </c>
      <c r="AO161" s="59">
        <f t="shared" si="144"/>
        <v>267.80827667062124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0.24846766677323692</v>
      </c>
      <c r="AV161" s="21">
        <f>EXP(-LN(2)/25)*AV160+(1-EXP(-LN(2)/25))/(LN(2)/25)*Calculateur!AQ161*Calculateur!AS161*VLOOKUP('Données projet'!$B$10,Paramètres!$A$1:$I$89,3,0)*0.475*44/12</f>
        <v>0.22589066526464002</v>
      </c>
      <c r="AW161" s="21">
        <f>EXP(-LN(2)/2)*AW160+(1-EXP(-LN(2)/2))/(LN(2)/2)*AQ161*AT161*VLOOKUP('Données projet'!$B$10,Paramètres!$A$1:$I$89,3,0)*0.475*44/12</f>
        <v>5.3300335500988974E-19</v>
      </c>
      <c r="AX161" s="21">
        <f t="shared" si="166"/>
        <v>0.47435833203787692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108.5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-1.0286385077051818E-13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324.41828402031939</v>
      </c>
      <c r="BJ161" s="59">
        <f t="shared" si="146"/>
        <v>233.01060088065992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8.9313935935300431E-2</v>
      </c>
      <c r="BR161" s="21">
        <f>EXP(-LN(2)/2)*BR160+(1-EXP(-LN(2)/2))/(LN(2)/2)*BL161*BO161*VLOOKUP('Données projet'!$B$11,Paramètres!$A$1:$I$89,3,0)*0.475*44/12</f>
        <v>3.3552521950198982E-19</v>
      </c>
      <c r="BS161" s="22">
        <f t="shared" si="169"/>
        <v>8.9313935935300431E-2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108.5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279.00060755204919</v>
      </c>
      <c r="CE161" s="59">
        <f t="shared" si="148"/>
        <v>333.91128554211014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0.57872445261502536</v>
      </c>
      <c r="CL161" s="21">
        <f>EXP(-LN(2)/25)*CL160+(1-EXP(-LN(2)/25))/(LN(2)/25)*Calculateur!CG161*Calculateur!CI161*VLOOKUP('Données projet'!$B$12,Paramètres!$A$1:$I$89,3,0)*0.475*44/12</f>
        <v>0.80029621713186294</v>
      </c>
      <c r="CM161" s="21">
        <f>EXP(-LN(2)/2)*CM160+(1-EXP(-LN(2)/2))/(LN(2)/2)*CG161*CJ161*VLOOKUP('Données projet'!$B$12,Paramètres!$A$1:$I$89,3,0)*0.475*44/12</f>
        <v>1.1684386497273781E-18</v>
      </c>
      <c r="CN161" s="22">
        <f t="shared" si="172"/>
        <v>1.3790206697468883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108.5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-6.7984728957526396E-14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380.01315081072897</v>
      </c>
      <c r="CZ161" s="59">
        <f t="shared" si="150"/>
        <v>404.90871625409181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0.27730546687803337</v>
      </c>
      <c r="DG161" s="21">
        <f>EXP(-LN(2)/25)*DG160+(1-EXP(-LN(2)/25))/(LN(2)/25)*Calculateur!DB161*Calculateur!DD161*VLOOKUP('Données projet'!$B$13,Paramètres!$A$1:$I$89,3,0)*0.475*44/12</f>
        <v>0.61364203569637898</v>
      </c>
      <c r="DH161" s="21">
        <f>EXP(-LN(2)/2)*DH160+(1-EXP(-LN(2)/2))/(LN(2)/2)*DB161*DE161*VLOOKUP('Données projet'!$B$13,Paramètres!$A$1:$I$89,3,0)*0.475*44/12</f>
        <v>1.6427470341152275E-18</v>
      </c>
      <c r="DI161" s="22">
        <f t="shared" si="175"/>
        <v>0.89094750257441235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108.5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-5.6843418860808015E-14</v>
      </c>
      <c r="DP161" s="17">
        <f>DO161*VLOOKUP('Données projet'!$B$14,Paramètres!$A$1:$I$89,3,0)*VLOOKUP('Données projet'!$B$14,Paramètres!$A$1:$I$89,5,0)</f>
        <v>-5.1431925385259088E-14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320.81451813551064</v>
      </c>
      <c r="DU161" s="59">
        <f t="shared" si="152"/>
        <v>522.80818268773976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0.14549731764504117</v>
      </c>
      <c r="EB161" s="21">
        <f>EXP(-LN(2)/25)*EB160+(1-EXP(-LN(2)/25))/(LN(2)/25)*Calculateur!DW161*Calculateur!DY161*VLOOKUP('Données projet'!$B$14,Paramètres!$A$1:$I$89,3,0)*0.475*44/12</f>
        <v>0.2998074685109135</v>
      </c>
      <c r="EC161" s="21">
        <f>EXP(-LN(2)/2)*EC160+(1-EXP(-LN(2)/2))/(LN(2)/2)*DW161*DZ161*VLOOKUP('Données projet'!$B$14,Paramètres!$A$1:$I$89,3,0)*0.475*44/12</f>
        <v>3.2465802537868082E-19</v>
      </c>
      <c r="ED161" s="22">
        <f t="shared" si="178"/>
        <v>0.4453047861559547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108.5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228.3393311631487</v>
      </c>
      <c r="EP161" s="59">
        <f t="shared" si="154"/>
        <v>266.26050497804033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0.49242514282073901</v>
      </c>
      <c r="EW161" s="21">
        <f>EXP(-LN(2)/25)*EW160+(1-EXP(-LN(2)/25))/(LN(2)/25)*Calculateur!ER161*Calculateur!ET161*VLOOKUP('Données projet'!$B$15,Paramètres!$A$1:$I$89,3,0)*0.475*44/12</f>
        <v>0.35458517404872475</v>
      </c>
      <c r="EX161" s="21">
        <f>EXP(-LN(2)/2)*EX160+(1-EXP(-LN(2)/2))/(LN(2)/2)*ER161*EU161*VLOOKUP('Données projet'!$B$15,Paramètres!$A$1:$I$89,3,0)*0.475*44/12</f>
        <v>2.9521157513294802E-19</v>
      </c>
      <c r="EY161" s="22">
        <f t="shared" si="181"/>
        <v>0.84701031686946382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108.5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-1.7053025658242404E-13</v>
      </c>
      <c r="FF161" s="17">
        <f>FE161*VLOOKUP('Données projet'!$B$16,Paramètres!$A$1:$I$89,3,0)*VLOOKUP('Données projet'!$B$16,Paramètres!$A$1:$I$89,5,0)</f>
        <v>-9.7543306765146564E-14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242.10913976205194</v>
      </c>
      <c r="FK161" s="59">
        <f t="shared" si="156"/>
        <v>198.24795425321133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0.31163871531374565</v>
      </c>
      <c r="FS161" s="21">
        <f>EXP(-LN(2)/2)*FS160+(1-EXP(-LN(2)/2))/(LN(2)/2)*FM161*FP161*VLOOKUP('Données projet'!$B$16,Paramètres!$A$1:$I$89,3,0)*0.475*44/12</f>
        <v>7.1680305752175715E-19</v>
      </c>
      <c r="FT161" s="22">
        <f t="shared" si="184"/>
        <v>0.31163871531374565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108.5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108.5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77.760539999999949</v>
      </c>
      <c r="D162" s="11">
        <f t="shared" si="140"/>
        <v>21.588722995173729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421.79862534793034</v>
      </c>
      <c r="H162" s="67">
        <f t="shared" si="110"/>
        <v>570.86663304992749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108.5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4.6111381379887463E-14</v>
      </c>
      <c r="P162" s="13">
        <f t="shared" si="141"/>
        <v>7.5804141040779151E-13</v>
      </c>
      <c r="Q162" s="20">
        <f t="shared" si="162"/>
        <v>1.4005661123635408E-12</v>
      </c>
      <c r="R162" s="59">
        <f t="shared" si="109"/>
        <v>434.50000000000142</v>
      </c>
      <c r="S162" s="59">
        <f ca="1">AVERAGE(OFFSET($R$3,0,0,'Données projet'!$E$9+1,1))-AVERAGE(OFFSET($H$3,0,0,'Données projet'!$E$9+1,1))</f>
        <v>273.89826011924487</v>
      </c>
      <c r="T162" s="59">
        <f t="shared" si="142"/>
        <v>332.17519939974227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0.2379193791542854</v>
      </c>
      <c r="AB162" s="21">
        <f>EXP(-LN(2)/2)*AB161+(1-EXP(-LN(2)/2))/(LN(2)/2)*V162*Y162*VLOOKUP('Données projet'!$B$9,Paramètres!$A$1:$I$89,3,0)*0.475*44/12</f>
        <v>4.20604208408859E-19</v>
      </c>
      <c r="AC162" s="22">
        <f t="shared" si="163"/>
        <v>0.2379193791542854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108.5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-5.3205440053716299E-14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293.42903587188346</v>
      </c>
      <c r="AO162" s="59">
        <f t="shared" si="144"/>
        <v>267.80827667062124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0.24359536737812612</v>
      </c>
      <c r="AV162" s="21">
        <f>EXP(-LN(2)/25)*AV161+(1-EXP(-LN(2)/25))/(LN(2)/25)*Calculateur!AQ162*Calculateur!AS162*VLOOKUP('Données projet'!$B$10,Paramètres!$A$1:$I$89,3,0)*0.475*44/12</f>
        <v>0.21971367314390464</v>
      </c>
      <c r="AW162" s="21">
        <f>EXP(-LN(2)/2)*AW161+(1-EXP(-LN(2)/2))/(LN(2)/2)*AQ162*AT162*VLOOKUP('Données projet'!$B$10,Paramètres!$A$1:$I$89,3,0)*0.475*44/12</f>
        <v>3.7689028672267382E-19</v>
      </c>
      <c r="AX162" s="21">
        <f t="shared" si="166"/>
        <v>0.46330904052203076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108.5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-1.0286385077051818E-13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324.41828402031939</v>
      </c>
      <c r="BJ162" s="59">
        <f t="shared" si="146"/>
        <v>233.01060088065992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8.6871641660333884E-2</v>
      </c>
      <c r="BR162" s="21">
        <f>EXP(-LN(2)/2)*BR161+(1-EXP(-LN(2)/2))/(LN(2)/2)*BL162*BO162*VLOOKUP('Données projet'!$B$11,Paramètres!$A$1:$I$89,3,0)*0.475*44/12</f>
        <v>2.3725215796896184E-19</v>
      </c>
      <c r="BS162" s="22">
        <f t="shared" si="169"/>
        <v>8.6871641660333884E-2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108.5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279.00060755204919</v>
      </c>
      <c r="CE162" s="59">
        <f t="shared" si="148"/>
        <v>333.91128554211014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0.56737601908630619</v>
      </c>
      <c r="CL162" s="21">
        <f>EXP(-LN(2)/25)*CL161+(1-EXP(-LN(2)/25))/(LN(2)/25)*Calculateur!CG162*Calculateur!CI162*VLOOKUP('Données projet'!$B$12,Paramètres!$A$1:$I$89,3,0)*0.475*44/12</f>
        <v>0.77841207498864318</v>
      </c>
      <c r="CM162" s="21">
        <f>EXP(-LN(2)/2)*CM161+(1-EXP(-LN(2)/2))/(LN(2)/2)*CG162*CJ162*VLOOKUP('Données projet'!$B$12,Paramètres!$A$1:$I$89,3,0)*0.475*44/12</f>
        <v>8.2621089262268218E-19</v>
      </c>
      <c r="CN162" s="22">
        <f t="shared" si="172"/>
        <v>1.3457880940749494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108.5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-6.7984728957526396E-14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380.01315081072897</v>
      </c>
      <c r="CZ162" s="59">
        <f t="shared" si="150"/>
        <v>404.90871625409181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0.27186767581218879</v>
      </c>
      <c r="DG162" s="21">
        <f>EXP(-LN(2)/25)*DG161+(1-EXP(-LN(2)/25))/(LN(2)/25)*Calculateur!DB162*Calculateur!DD162*VLOOKUP('Données projet'!$B$13,Paramètres!$A$1:$I$89,3,0)*0.475*44/12</f>
        <v>0.59686196196022934</v>
      </c>
      <c r="DH162" s="21">
        <f>EXP(-LN(2)/2)*DH161+(1-EXP(-LN(2)/2))/(LN(2)/2)*DB162*DE162*VLOOKUP('Données projet'!$B$13,Paramètres!$A$1:$I$89,3,0)*0.475*44/12</f>
        <v>1.1615975675969661E-18</v>
      </c>
      <c r="DI162" s="22">
        <f t="shared" si="175"/>
        <v>0.86872963777241807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108.5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-5.6843418860808015E-14</v>
      </c>
      <c r="DP162" s="17">
        <f>DO162*VLOOKUP('Données projet'!$B$14,Paramètres!$A$1:$I$89,3,0)*VLOOKUP('Données projet'!$B$14,Paramètres!$A$1:$I$89,5,0)</f>
        <v>-5.1431925385259088E-14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320.81451813551064</v>
      </c>
      <c r="DU162" s="59">
        <f t="shared" si="152"/>
        <v>522.80818268773976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0.14264420399062289</v>
      </c>
      <c r="EB162" s="21">
        <f>EXP(-LN(2)/25)*EB161+(1-EXP(-LN(2)/25))/(LN(2)/25)*Calculateur!DW162*Calculateur!DY162*VLOOKUP('Données projet'!$B$14,Paramètres!$A$1:$I$89,3,0)*0.475*44/12</f>
        <v>0.291609217518293</v>
      </c>
      <c r="EC162" s="21">
        <f>EXP(-LN(2)/2)*EC161+(1-EXP(-LN(2)/2))/(LN(2)/2)*DW162*DZ162*VLOOKUP('Données projet'!$B$14,Paramètres!$A$1:$I$89,3,0)*0.475*44/12</f>
        <v>2.2956789131189945E-19</v>
      </c>
      <c r="ED162" s="22">
        <f t="shared" si="178"/>
        <v>0.43425342150891588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108.5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228.3393311631487</v>
      </c>
      <c r="EP162" s="59">
        <f t="shared" si="154"/>
        <v>266.26050497804033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0.48276898611970437</v>
      </c>
      <c r="EW162" s="21">
        <f>EXP(-LN(2)/25)*EW161+(1-EXP(-LN(2)/25))/(LN(2)/25)*Calculateur!ER162*Calculateur!ET162*VLOOKUP('Données projet'!$B$15,Paramètres!$A$1:$I$89,3,0)*0.475*44/12</f>
        <v>0.3448890238175385</v>
      </c>
      <c r="EX162" s="21">
        <f>EXP(-LN(2)/2)*EX161+(1-EXP(-LN(2)/2))/(LN(2)/2)*ER162*EU162*VLOOKUP('Données projet'!$B$15,Paramètres!$A$1:$I$89,3,0)*0.475*44/12</f>
        <v>2.0874610666126951E-19</v>
      </c>
      <c r="EY162" s="22">
        <f t="shared" si="181"/>
        <v>0.82765800993724281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108.5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-1.7053025658242404E-13</v>
      </c>
      <c r="FF162" s="17">
        <f>FE162*VLOOKUP('Données projet'!$B$16,Paramètres!$A$1:$I$89,3,0)*VLOOKUP('Données projet'!$B$16,Paramètres!$A$1:$I$89,5,0)</f>
        <v>-9.7543306765146564E-14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242.10913976205194</v>
      </c>
      <c r="FK162" s="59">
        <f t="shared" si="156"/>
        <v>198.24795425321133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0.30311693825512348</v>
      </c>
      <c r="FS162" s="21">
        <f>EXP(-LN(2)/2)*FS161+(1-EXP(-LN(2)/2))/(LN(2)/2)*FM162*FP162*VLOOKUP('Données projet'!$B$16,Paramètres!$A$1:$I$89,3,0)*0.475*44/12</f>
        <v>5.0685630274888537E-19</v>
      </c>
      <c r="FT162" s="22">
        <f t="shared" si="184"/>
        <v>0.30311693825512348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108.5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108.5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78.249599999999944</v>
      </c>
      <c r="D163" s="11">
        <f t="shared" si="140"/>
        <v>21.708652740239781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424.38416075680738</v>
      </c>
      <c r="H163" s="67">
        <f t="shared" si="110"/>
        <v>571.92729018925081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108.5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4.6111381379887463E-14</v>
      </c>
      <c r="P163" s="13">
        <f t="shared" si="141"/>
        <v>7.5804141040779151E-13</v>
      </c>
      <c r="Q163" s="20">
        <f t="shared" si="162"/>
        <v>1.4005661123635408E-12</v>
      </c>
      <c r="R163" s="59">
        <f t="shared" si="109"/>
        <v>434.50000000000142</v>
      </c>
      <c r="S163" s="59">
        <f ca="1">AVERAGE(OFFSET($R$3,0,0,'Données projet'!$E$9+1,1))-AVERAGE(OFFSET($H$3,0,0,'Données projet'!$E$9+1,1))</f>
        <v>273.89826011924487</v>
      </c>
      <c r="T163" s="59">
        <f t="shared" si="142"/>
        <v>332.17519939974227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0.2314134612196751</v>
      </c>
      <c r="AB163" s="21">
        <f>EXP(-LN(2)/2)*AB162+(1-EXP(-LN(2)/2))/(LN(2)/2)*V163*Y163*VLOOKUP('Données projet'!$B$9,Paramètres!$A$1:$I$89,3,0)*0.475*44/12</f>
        <v>2.9741208796150409E-19</v>
      </c>
      <c r="AC163" s="22">
        <f t="shared" si="163"/>
        <v>0.2314134612196751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108.5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-5.3205440053716299E-14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293.42903587188346</v>
      </c>
      <c r="AO163" s="59">
        <f t="shared" si="144"/>
        <v>267.80827667062124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0.23881861080234426</v>
      </c>
      <c r="AV163" s="21">
        <f>EXP(-LN(2)/25)*AV162+(1-EXP(-LN(2)/25))/(LN(2)/25)*Calculateur!AQ163*Calculateur!AS163*VLOOKUP('Données projet'!$B$10,Paramètres!$A$1:$I$89,3,0)*0.475*44/12</f>
        <v>0.21370559119754465</v>
      </c>
      <c r="AW163" s="21">
        <f>EXP(-LN(2)/2)*AW162+(1-EXP(-LN(2)/2))/(LN(2)/2)*AQ163*AT163*VLOOKUP('Données projet'!$B$10,Paramètres!$A$1:$I$89,3,0)*0.475*44/12</f>
        <v>2.6650167750494487E-19</v>
      </c>
      <c r="AX163" s="21">
        <f t="shared" si="166"/>
        <v>0.45252420199988891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108.5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-1.0286385077051818E-13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324.41828402031939</v>
      </c>
      <c r="BJ163" s="59">
        <f t="shared" si="146"/>
        <v>233.01060088065992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8.4496132050750961E-2</v>
      </c>
      <c r="BR163" s="21">
        <f>EXP(-LN(2)/2)*BR162+(1-EXP(-LN(2)/2))/(LN(2)/2)*BL163*BO163*VLOOKUP('Données projet'!$B$11,Paramètres!$A$1:$I$89,3,0)*0.475*44/12</f>
        <v>1.6776260975099491E-19</v>
      </c>
      <c r="BS163" s="22">
        <f t="shared" si="169"/>
        <v>8.4496132050750961E-2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108.5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279.00060755204919</v>
      </c>
      <c r="CE163" s="59">
        <f t="shared" si="148"/>
        <v>333.91128554211014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0.5562501214172243</v>
      </c>
      <c r="CL163" s="21">
        <f>EXP(-LN(2)/25)*CL162+(1-EXP(-LN(2)/25))/(LN(2)/25)*Calculateur!CG163*Calculateur!CI163*VLOOKUP('Données projet'!$B$12,Paramètres!$A$1:$I$89,3,0)*0.475*44/12</f>
        <v>0.75712635586316679</v>
      </c>
      <c r="CM163" s="21">
        <f>EXP(-LN(2)/2)*CM162+(1-EXP(-LN(2)/2))/(LN(2)/2)*CG163*CJ163*VLOOKUP('Données projet'!$B$12,Paramètres!$A$1:$I$89,3,0)*0.475*44/12</f>
        <v>5.8421932486368904E-19</v>
      </c>
      <c r="CN163" s="22">
        <f t="shared" si="172"/>
        <v>1.3133764772803911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108.5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-6.7984728957526396E-14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380.01315081072897</v>
      </c>
      <c r="CZ163" s="59">
        <f t="shared" si="150"/>
        <v>404.90871625409181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0.26653651651242039</v>
      </c>
      <c r="DG163" s="21">
        <f>EXP(-LN(2)/25)*DG162+(1-EXP(-LN(2)/25))/(LN(2)/25)*Calculateur!DB163*Calculateur!DD163*VLOOKUP('Données projet'!$B$13,Paramètres!$A$1:$I$89,3,0)*0.475*44/12</f>
        <v>0.58054074022282043</v>
      </c>
      <c r="DH163" s="21">
        <f>EXP(-LN(2)/2)*DH162+(1-EXP(-LN(2)/2))/(LN(2)/2)*DB163*DE163*VLOOKUP('Données projet'!$B$13,Paramètres!$A$1:$I$89,3,0)*0.475*44/12</f>
        <v>8.2137351705761374E-19</v>
      </c>
      <c r="DI163" s="22">
        <f t="shared" si="175"/>
        <v>0.84707725673524081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108.5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-5.6843418860808015E-14</v>
      </c>
      <c r="DP163" s="17">
        <f>DO163*VLOOKUP('Données projet'!$B$14,Paramètres!$A$1:$I$89,3,0)*VLOOKUP('Données projet'!$B$14,Paramètres!$A$1:$I$89,5,0)</f>
        <v>-5.1431925385259088E-14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320.81451813551064</v>
      </c>
      <c r="DU163" s="59">
        <f t="shared" si="152"/>
        <v>522.80818268773976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0.13984703815474023</v>
      </c>
      <c r="EB163" s="21">
        <f>EXP(-LN(2)/25)*EB162+(1-EXP(-LN(2)/25))/(LN(2)/25)*Calculateur!DW163*Calculateur!DY163*VLOOKUP('Données projet'!$B$14,Paramètres!$A$1:$I$89,3,0)*0.475*44/12</f>
        <v>0.28363514813019303</v>
      </c>
      <c r="EC163" s="21">
        <f>EXP(-LN(2)/2)*EC162+(1-EXP(-LN(2)/2))/(LN(2)/2)*DW163*DZ163*VLOOKUP('Données projet'!$B$14,Paramètres!$A$1:$I$89,3,0)*0.475*44/12</f>
        <v>1.6232901268934041E-19</v>
      </c>
      <c r="ED163" s="22">
        <f t="shared" si="178"/>
        <v>0.42348218628493328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108.5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228.3393311631487</v>
      </c>
      <c r="EP163" s="59">
        <f t="shared" si="154"/>
        <v>266.26050497804033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0.473302180761903</v>
      </c>
      <c r="EW163" s="21">
        <f>EXP(-LN(2)/25)*EW162+(1-EXP(-LN(2)/25))/(LN(2)/25)*Calculateur!ER163*Calculateur!ET163*VLOOKUP('Données projet'!$B$15,Paramètres!$A$1:$I$89,3,0)*0.475*44/12</f>
        <v>0.3354580153243224</v>
      </c>
      <c r="EX163" s="21">
        <f>EXP(-LN(2)/2)*EX162+(1-EXP(-LN(2)/2))/(LN(2)/2)*ER163*EU163*VLOOKUP('Données projet'!$B$15,Paramètres!$A$1:$I$89,3,0)*0.475*44/12</f>
        <v>1.4760578756647401E-19</v>
      </c>
      <c r="EY163" s="22">
        <f t="shared" si="181"/>
        <v>0.8087601960862254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108.5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-1.7053025658242404E-13</v>
      </c>
      <c r="FF163" s="17">
        <f>FE163*VLOOKUP('Données projet'!$B$16,Paramètres!$A$1:$I$89,3,0)*VLOOKUP('Données projet'!$B$16,Paramètres!$A$1:$I$89,5,0)</f>
        <v>-9.7543306765146564E-14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242.10913976205194</v>
      </c>
      <c r="FK163" s="59">
        <f t="shared" si="156"/>
        <v>198.24795425321133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0.29482818963831015</v>
      </c>
      <c r="FS163" s="21">
        <f>EXP(-LN(2)/2)*FS162+(1-EXP(-LN(2)/2))/(LN(2)/2)*FM163*FP163*VLOOKUP('Données projet'!$B$16,Paramètres!$A$1:$I$89,3,0)*0.475*44/12</f>
        <v>3.5840152876087858E-19</v>
      </c>
      <c r="FT163" s="22">
        <f t="shared" si="184"/>
        <v>0.29482818963831015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108.5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108.5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78.738659999999939</v>
      </c>
      <c r="D164" s="11">
        <f t="shared" si="140"/>
        <v>21.82849526754471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426.96932587273346</v>
      </c>
      <c r="H164" s="67">
        <f t="shared" si="110"/>
        <v>572.98779542430691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108.5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4.6111381379887463E-14</v>
      </c>
      <c r="P164" s="13">
        <f t="shared" si="141"/>
        <v>7.5804141040779151E-13</v>
      </c>
      <c r="Q164" s="20">
        <f t="shared" si="162"/>
        <v>1.4005661123635408E-12</v>
      </c>
      <c r="R164" s="59">
        <f t="shared" si="109"/>
        <v>434.50000000000142</v>
      </c>
      <c r="S164" s="59">
        <f ca="1">AVERAGE(OFFSET($R$3,0,0,'Données projet'!$E$9+1,1))-AVERAGE(OFFSET($H$3,0,0,'Données projet'!$E$9+1,1))</f>
        <v>273.89826011924487</v>
      </c>
      <c r="T164" s="59">
        <f t="shared" si="142"/>
        <v>332.17519939974227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0.22508544795311805</v>
      </c>
      <c r="AB164" s="21">
        <f>EXP(-LN(2)/2)*AB163+(1-EXP(-LN(2)/2))/(LN(2)/2)*V164*Y164*VLOOKUP('Données projet'!$B$9,Paramètres!$A$1:$I$89,3,0)*0.475*44/12</f>
        <v>2.103021042044295E-19</v>
      </c>
      <c r="AC164" s="22">
        <f t="shared" si="163"/>
        <v>0.22508544795311805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108.5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-5.3205440053716299E-14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293.42903587188346</v>
      </c>
      <c r="AO164" s="59">
        <f t="shared" si="144"/>
        <v>267.80827667062124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0.23413552350947966</v>
      </c>
      <c r="AV164" s="21">
        <f>EXP(-LN(2)/25)*AV163+(1-EXP(-LN(2)/25))/(LN(2)/25)*Calculateur!AQ164*Calculateur!AS164*VLOOKUP('Données projet'!$B$10,Paramètres!$A$1:$I$89,3,0)*0.475*44/12</f>
        <v>0.20786180056795917</v>
      </c>
      <c r="AW164" s="21">
        <f>EXP(-LN(2)/2)*AW163+(1-EXP(-LN(2)/2))/(LN(2)/2)*AQ164*AT164*VLOOKUP('Données projet'!$B$10,Paramètres!$A$1:$I$89,3,0)*0.475*44/12</f>
        <v>1.8844514336133691E-19</v>
      </c>
      <c r="AX164" s="21">
        <f t="shared" si="166"/>
        <v>0.44199732407743886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108.5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-1.0286385077051818E-13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324.41828402031939</v>
      </c>
      <c r="BJ164" s="59">
        <f t="shared" si="146"/>
        <v>233.01060088065992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8.2185580876364711E-2</v>
      </c>
      <c r="BR164" s="21">
        <f>EXP(-LN(2)/2)*BR163+(1-EXP(-LN(2)/2))/(LN(2)/2)*BL164*BO164*VLOOKUP('Données projet'!$B$11,Paramètres!$A$1:$I$89,3,0)*0.475*44/12</f>
        <v>1.1862607898448092E-19</v>
      </c>
      <c r="BS164" s="22">
        <f t="shared" si="169"/>
        <v>8.2185580876364711E-2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108.5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279.00060755204919</v>
      </c>
      <c r="CE164" s="59">
        <f t="shared" si="148"/>
        <v>333.91128554211014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0.54534239581530553</v>
      </c>
      <c r="CL164" s="21">
        <f>EXP(-LN(2)/25)*CL163+(1-EXP(-LN(2)/25))/(LN(2)/25)*Calculateur!CG164*Calculateur!CI164*VLOOKUP('Données projet'!$B$12,Paramètres!$A$1:$I$89,3,0)*0.475*44/12</f>
        <v>0.73642269584654385</v>
      </c>
      <c r="CM164" s="21">
        <f>EXP(-LN(2)/2)*CM163+(1-EXP(-LN(2)/2))/(LN(2)/2)*CG164*CJ164*VLOOKUP('Données projet'!$B$12,Paramètres!$A$1:$I$89,3,0)*0.475*44/12</f>
        <v>4.1310544631134109E-19</v>
      </c>
      <c r="CN164" s="22">
        <f t="shared" si="172"/>
        <v>1.2817650916618493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108.5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-6.7984728957526396E-14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380.01315081072897</v>
      </c>
      <c r="CZ164" s="59">
        <f t="shared" si="150"/>
        <v>404.90871625409181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0.26130989799483434</v>
      </c>
      <c r="DG164" s="21">
        <f>EXP(-LN(2)/25)*DG163+(1-EXP(-LN(2)/25))/(LN(2)/25)*Calculateur!DB164*Calculateur!DD164*VLOOKUP('Données projet'!$B$13,Paramètres!$A$1:$I$89,3,0)*0.475*44/12</f>
        <v>0.56466582315211666</v>
      </c>
      <c r="DH164" s="21">
        <f>EXP(-LN(2)/2)*DH163+(1-EXP(-LN(2)/2))/(LN(2)/2)*DB164*DE164*VLOOKUP('Données projet'!$B$13,Paramètres!$A$1:$I$89,3,0)*0.475*44/12</f>
        <v>5.8079878379848303E-19</v>
      </c>
      <c r="DI164" s="22">
        <f t="shared" si="175"/>
        <v>0.82597572114695095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108.5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-5.6843418860808015E-14</v>
      </c>
      <c r="DP164" s="17">
        <f>DO164*VLOOKUP('Données projet'!$B$14,Paramètres!$A$1:$I$89,3,0)*VLOOKUP('Données projet'!$B$14,Paramètres!$A$1:$I$89,5,0)</f>
        <v>-5.1431925385259088E-14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320.81451813551064</v>
      </c>
      <c r="DU164" s="59">
        <f t="shared" si="152"/>
        <v>522.80818268773976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0.13710472303479654</v>
      </c>
      <c r="EB164" s="21">
        <f>EXP(-LN(2)/25)*EB163+(1-EXP(-LN(2)/25))/(LN(2)/25)*Calculateur!DW164*Calculateur!DY164*VLOOKUP('Données projet'!$B$14,Paramètres!$A$1:$I$89,3,0)*0.475*44/12</f>
        <v>0.27587913008884873</v>
      </c>
      <c r="EC164" s="21">
        <f>EXP(-LN(2)/2)*EC163+(1-EXP(-LN(2)/2))/(LN(2)/2)*DW164*DZ164*VLOOKUP('Données projet'!$B$14,Paramètres!$A$1:$I$89,3,0)*0.475*44/12</f>
        <v>1.1478394565594972E-19</v>
      </c>
      <c r="ED164" s="22">
        <f t="shared" si="178"/>
        <v>0.41298385312364527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108.5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228.3393311631487</v>
      </c>
      <c r="EP164" s="59">
        <f t="shared" si="154"/>
        <v>266.26050497804033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0.46402101368298698</v>
      </c>
      <c r="EW164" s="21">
        <f>EXP(-LN(2)/25)*EW163+(1-EXP(-LN(2)/25))/(LN(2)/25)*Calculateur!ER164*Calculateur!ET164*VLOOKUP('Données projet'!$B$15,Paramètres!$A$1:$I$89,3,0)*0.475*44/12</f>
        <v>0.32628489825430845</v>
      </c>
      <c r="EX164" s="21">
        <f>EXP(-LN(2)/2)*EX163+(1-EXP(-LN(2)/2))/(LN(2)/2)*ER164*EU164*VLOOKUP('Données projet'!$B$15,Paramètres!$A$1:$I$89,3,0)*0.475*44/12</f>
        <v>1.0437305333063476E-19</v>
      </c>
      <c r="EY164" s="22">
        <f t="shared" si="181"/>
        <v>0.79030591193729549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108.5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-1.7053025658242404E-13</v>
      </c>
      <c r="FF164" s="17">
        <f>FE164*VLOOKUP('Données projet'!$B$16,Paramètres!$A$1:$I$89,3,0)*VLOOKUP('Données projet'!$B$16,Paramètres!$A$1:$I$89,5,0)</f>
        <v>-9.7543306765146564E-14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242.10913976205194</v>
      </c>
      <c r="FK164" s="59">
        <f t="shared" si="156"/>
        <v>198.24795425321133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0.28676609728830987</v>
      </c>
      <c r="FS164" s="21">
        <f>EXP(-LN(2)/2)*FS163+(1-EXP(-LN(2)/2))/(LN(2)/2)*FM164*FP164*VLOOKUP('Données projet'!$B$16,Paramètres!$A$1:$I$89,3,0)*0.475*44/12</f>
        <v>2.5342815137444268E-19</v>
      </c>
      <c r="FT164" s="22">
        <f t="shared" si="184"/>
        <v>0.28676609728830987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108.5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108.5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79.227719999999934</v>
      </c>
      <c r="D165" s="11">
        <f t="shared" si="140"/>
        <v>21.948251181659817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429.55412326248535</v>
      </c>
      <c r="H165" s="67">
        <f t="shared" si="110"/>
        <v>574.04814980805736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108.5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4.6111381379887463E-14</v>
      </c>
      <c r="P165" s="13">
        <f t="shared" si="141"/>
        <v>7.5804141040779151E-13</v>
      </c>
      <c r="Q165" s="20">
        <f t="shared" si="162"/>
        <v>1.4005661123635408E-12</v>
      </c>
      <c r="R165" s="59">
        <f t="shared" si="109"/>
        <v>434.50000000000142</v>
      </c>
      <c r="S165" s="59">
        <f ca="1">AVERAGE(OFFSET($R$3,0,0,'Données projet'!$E$9+1,1))-AVERAGE(OFFSET($H$3,0,0,'Données projet'!$E$9+1,1))</f>
        <v>273.89826011924487</v>
      </c>
      <c r="T165" s="59">
        <f t="shared" si="142"/>
        <v>332.17519939974227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0.21893047454211076</v>
      </c>
      <c r="AB165" s="21">
        <f>EXP(-LN(2)/2)*AB164+(1-EXP(-LN(2)/2))/(LN(2)/2)*V165*Y165*VLOOKUP('Données projet'!$B$9,Paramètres!$A$1:$I$89,3,0)*0.475*44/12</f>
        <v>1.4870604398075204E-19</v>
      </c>
      <c r="AC165" s="22">
        <f t="shared" si="163"/>
        <v>0.21893047454211076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108.5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-5.3205440053716299E-14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293.42903587188346</v>
      </c>
      <c r="AO165" s="59">
        <f t="shared" si="144"/>
        <v>267.80827667062124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0.22954426870202693</v>
      </c>
      <c r="AV165" s="21">
        <f>EXP(-LN(2)/25)*AV164+(1-EXP(-LN(2)/25))/(LN(2)/25)*Calculateur!AQ165*Calculateur!AS165*VLOOKUP('Données projet'!$B$10,Paramètres!$A$1:$I$89,3,0)*0.475*44/12</f>
        <v>0.20217780870045129</v>
      </c>
      <c r="AW165" s="21">
        <f>EXP(-LN(2)/2)*AW164+(1-EXP(-LN(2)/2))/(LN(2)/2)*AQ165*AT165*VLOOKUP('Données projet'!$B$10,Paramètres!$A$1:$I$89,3,0)*0.475*44/12</f>
        <v>1.3325083875247244E-19</v>
      </c>
      <c r="AX165" s="21">
        <f t="shared" si="166"/>
        <v>0.43172207740247825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108.5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-1.0286385077051818E-13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324.41828402031939</v>
      </c>
      <c r="BJ165" s="59">
        <f t="shared" si="146"/>
        <v>233.01060088065992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7.9938211845348661E-2</v>
      </c>
      <c r="BR165" s="21">
        <f>EXP(-LN(2)/2)*BR164+(1-EXP(-LN(2)/2))/(LN(2)/2)*BL165*BO165*VLOOKUP('Données projet'!$B$11,Paramètres!$A$1:$I$89,3,0)*0.475*44/12</f>
        <v>8.3881304875497456E-20</v>
      </c>
      <c r="BS165" s="22">
        <f t="shared" si="169"/>
        <v>7.9938211845348661E-2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108.5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279.00060755204919</v>
      </c>
      <c r="CE165" s="59">
        <f t="shared" si="148"/>
        <v>333.91128554211014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0.53464856405938477</v>
      </c>
      <c r="CL165" s="21">
        <f>EXP(-LN(2)/25)*CL164+(1-EXP(-LN(2)/25))/(LN(2)/25)*Calculateur!CG165*Calculateur!CI165*VLOOKUP('Données projet'!$B$12,Paramètres!$A$1:$I$89,3,0)*0.475*44/12</f>
        <v>0.7162851785018336</v>
      </c>
      <c r="CM165" s="21">
        <f>EXP(-LN(2)/2)*CM164+(1-EXP(-LN(2)/2))/(LN(2)/2)*CG165*CJ165*VLOOKUP('Données projet'!$B$12,Paramètres!$A$1:$I$89,3,0)*0.475*44/12</f>
        <v>2.9210966243184452E-19</v>
      </c>
      <c r="CN165" s="22">
        <f t="shared" si="172"/>
        <v>1.2509337425612184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108.5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-6.7984728957526396E-14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380.01315081072897</v>
      </c>
      <c r="CZ165" s="59">
        <f t="shared" si="150"/>
        <v>404.90871625409181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0.25618577027845563</v>
      </c>
      <c r="DG165" s="21">
        <f>EXP(-LN(2)/25)*DG164+(1-EXP(-LN(2)/25))/(LN(2)/25)*Calculateur!DB165*Calculateur!DD165*VLOOKUP('Données projet'!$B$13,Paramètres!$A$1:$I$89,3,0)*0.475*44/12</f>
        <v>0.54922500652353701</v>
      </c>
      <c r="DH165" s="21">
        <f>EXP(-LN(2)/2)*DH164+(1-EXP(-LN(2)/2))/(LN(2)/2)*DB165*DE165*VLOOKUP('Données projet'!$B$13,Paramètres!$A$1:$I$89,3,0)*0.475*44/12</f>
        <v>4.1068675852880687E-19</v>
      </c>
      <c r="DI165" s="22">
        <f t="shared" si="175"/>
        <v>0.80541077680199269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108.5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-5.6843418860808015E-14</v>
      </c>
      <c r="DP165" s="17">
        <f>DO165*VLOOKUP('Données projet'!$B$14,Paramètres!$A$1:$I$89,3,0)*VLOOKUP('Données projet'!$B$14,Paramètres!$A$1:$I$89,5,0)</f>
        <v>-5.1431925385259088E-14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320.81451813551064</v>
      </c>
      <c r="DU165" s="59">
        <f t="shared" si="152"/>
        <v>522.80818268773976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0.13441618304170788</v>
      </c>
      <c r="EB165" s="21">
        <f>EXP(-LN(2)/25)*EB164+(1-EXP(-LN(2)/25))/(LN(2)/25)*Calculateur!DW165*Calculateur!DY165*VLOOKUP('Données projet'!$B$14,Paramètres!$A$1:$I$89,3,0)*0.475*44/12</f>
        <v>0.26833520076871625</v>
      </c>
      <c r="EC165" s="21">
        <f>EXP(-LN(2)/2)*EC164+(1-EXP(-LN(2)/2))/(LN(2)/2)*DW165*DZ165*VLOOKUP('Données projet'!$B$14,Paramètres!$A$1:$I$89,3,0)*0.475*44/12</f>
        <v>8.1164506344670204E-20</v>
      </c>
      <c r="ED165" s="22">
        <f t="shared" si="178"/>
        <v>0.40275138381042414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108.5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228.3393311631487</v>
      </c>
      <c r="EP165" s="59">
        <f t="shared" si="154"/>
        <v>266.26050497804033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0.45492184462953555</v>
      </c>
      <c r="EW165" s="21">
        <f>EXP(-LN(2)/25)*EW164+(1-EXP(-LN(2)/25))/(LN(2)/25)*Calculateur!ER165*Calculateur!ET165*VLOOKUP('Données projet'!$B$15,Paramètres!$A$1:$I$89,3,0)*0.475*44/12</f>
        <v>0.31736262055296732</v>
      </c>
      <c r="EX165" s="21">
        <f>EXP(-LN(2)/2)*EX164+(1-EXP(-LN(2)/2))/(LN(2)/2)*ER165*EU165*VLOOKUP('Données projet'!$B$15,Paramètres!$A$1:$I$89,3,0)*0.475*44/12</f>
        <v>7.3802893783237005E-20</v>
      </c>
      <c r="EY165" s="22">
        <f t="shared" si="181"/>
        <v>0.77228446518250293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108.5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-1.7053025658242404E-13</v>
      </c>
      <c r="FF165" s="17">
        <f>FE165*VLOOKUP('Données projet'!$B$16,Paramètres!$A$1:$I$89,3,0)*VLOOKUP('Données projet'!$B$16,Paramètres!$A$1:$I$89,5,0)</f>
        <v>-9.7543306765146564E-14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242.10913976205194</v>
      </c>
      <c r="FK165" s="59">
        <f t="shared" si="156"/>
        <v>198.24795425321133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0.27892446327758741</v>
      </c>
      <c r="FS165" s="21">
        <f>EXP(-LN(2)/2)*FS164+(1-EXP(-LN(2)/2))/(LN(2)/2)*FM165*FP165*VLOOKUP('Données projet'!$B$16,Paramètres!$A$1:$I$89,3,0)*0.475*44/12</f>
        <v>1.7920076438043929E-19</v>
      </c>
      <c r="FT165" s="22">
        <f t="shared" si="184"/>
        <v>0.27892446327758741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108.5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108.5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79.716779999999929</v>
      </c>
      <c r="D166" s="11">
        <f t="shared" si="140"/>
        <v>22.067921079260778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432.1385554593175</v>
      </c>
      <c r="H166" s="67">
        <f t="shared" si="110"/>
        <v>575.10835437971241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108.5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4.6111381379887463E-14</v>
      </c>
      <c r="P166" s="13">
        <f t="shared" si="141"/>
        <v>7.5804141040779151E-13</v>
      </c>
      <c r="Q166" s="20">
        <f t="shared" si="162"/>
        <v>1.4005661123635408E-12</v>
      </c>
      <c r="R166" s="59">
        <f t="shared" si="109"/>
        <v>434.50000000000142</v>
      </c>
      <c r="S166" s="59">
        <f ca="1">AVERAGE(OFFSET($R$3,0,0,'Données projet'!$E$9+1,1))-AVERAGE(OFFSET($H$3,0,0,'Données projet'!$E$9+1,1))</f>
        <v>273.89826011924487</v>
      </c>
      <c r="T166" s="59">
        <f t="shared" si="142"/>
        <v>332.17519939974227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0.21294380920270345</v>
      </c>
      <c r="AB166" s="21">
        <f>EXP(-LN(2)/2)*AB165+(1-EXP(-LN(2)/2))/(LN(2)/2)*V166*Y166*VLOOKUP('Données projet'!$B$9,Paramètres!$A$1:$I$89,3,0)*0.475*44/12</f>
        <v>1.0515105210221475E-19</v>
      </c>
      <c r="AC166" s="22">
        <f t="shared" si="163"/>
        <v>0.21294380920270345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108.5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-5.3205440053716299E-14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293.42903587188346</v>
      </c>
      <c r="AO166" s="59">
        <f t="shared" si="144"/>
        <v>267.80827667062124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0.22504304560095945</v>
      </c>
      <c r="AV166" s="21">
        <f>EXP(-LN(2)/25)*AV165+(1-EXP(-LN(2)/25))/(LN(2)/25)*Calculateur!AQ166*Calculateur!AS166*VLOOKUP('Données projet'!$B$10,Paramètres!$A$1:$I$89,3,0)*0.475*44/12</f>
        <v>0.19664924588946858</v>
      </c>
      <c r="AW166" s="21">
        <f>EXP(-LN(2)/2)*AW165+(1-EXP(-LN(2)/2))/(LN(2)/2)*AQ166*AT166*VLOOKUP('Données projet'!$B$10,Paramètres!$A$1:$I$89,3,0)*0.475*44/12</f>
        <v>9.4222571680668456E-20</v>
      </c>
      <c r="AX166" s="21">
        <f t="shared" si="166"/>
        <v>0.42169229149042803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108.5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-1.0286385077051818E-13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324.41828402031939</v>
      </c>
      <c r="BJ166" s="59">
        <f t="shared" si="146"/>
        <v>233.01060088065992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7.7752297238669749E-2</v>
      </c>
      <c r="BR166" s="21">
        <f>EXP(-LN(2)/2)*BR165+(1-EXP(-LN(2)/2))/(LN(2)/2)*BL166*BO166*VLOOKUP('Données projet'!$B$11,Paramètres!$A$1:$I$89,3,0)*0.475*44/12</f>
        <v>5.9313039492240461E-20</v>
      </c>
      <c r="BS166" s="22">
        <f t="shared" si="169"/>
        <v>7.7752297238669749E-2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108.5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279.00060755204919</v>
      </c>
      <c r="CE166" s="59">
        <f t="shared" si="148"/>
        <v>333.91128554211014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0.52416443182160422</v>
      </c>
      <c r="CL166" s="21">
        <f>EXP(-LN(2)/25)*CL165+(1-EXP(-LN(2)/25))/(LN(2)/25)*Calculateur!CG166*Calculateur!CI166*VLOOKUP('Données projet'!$B$12,Paramètres!$A$1:$I$89,3,0)*0.475*44/12</f>
        <v>0.69669832262790055</v>
      </c>
      <c r="CM166" s="21">
        <f>EXP(-LN(2)/2)*CM165+(1-EXP(-LN(2)/2))/(LN(2)/2)*CG166*CJ166*VLOOKUP('Données projet'!$B$12,Paramètres!$A$1:$I$89,3,0)*0.475*44/12</f>
        <v>2.0655272315567055E-19</v>
      </c>
      <c r="CN166" s="22">
        <f t="shared" si="172"/>
        <v>1.2208627544495048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108.5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-6.7984728957526396E-14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380.01315081072897</v>
      </c>
      <c r="CZ166" s="59">
        <f t="shared" si="150"/>
        <v>404.90871625409181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0.25116212358118578</v>
      </c>
      <c r="DG166" s="21">
        <f>EXP(-LN(2)/25)*DG165+(1-EXP(-LN(2)/25))/(LN(2)/25)*Calculateur!DB166*Calculateur!DD166*VLOOKUP('Données projet'!$B$13,Paramètres!$A$1:$I$89,3,0)*0.475*44/12</f>
        <v>0.53420641983766304</v>
      </c>
      <c r="DH166" s="21">
        <f>EXP(-LN(2)/2)*DH165+(1-EXP(-LN(2)/2))/(LN(2)/2)*DB166*DE166*VLOOKUP('Données projet'!$B$13,Paramètres!$A$1:$I$89,3,0)*0.475*44/12</f>
        <v>2.9039939189924152E-19</v>
      </c>
      <c r="DI166" s="22">
        <f t="shared" si="175"/>
        <v>0.78536854341884887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108.5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-5.6843418860808015E-14</v>
      </c>
      <c r="DP166" s="17">
        <f>DO166*VLOOKUP('Données projet'!$B$14,Paramètres!$A$1:$I$89,3,0)*VLOOKUP('Données projet'!$B$14,Paramètres!$A$1:$I$89,5,0)</f>
        <v>-5.1431925385259088E-14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320.81451813551064</v>
      </c>
      <c r="DU166" s="59">
        <f t="shared" si="152"/>
        <v>522.80818268773976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0.13178036367803622</v>
      </c>
      <c r="EB166" s="21">
        <f>EXP(-LN(2)/25)*EB165+(1-EXP(-LN(2)/25))/(LN(2)/25)*Calculateur!DW166*Calculateur!DY166*VLOOKUP('Données projet'!$B$14,Paramètres!$A$1:$I$89,3,0)*0.475*44/12</f>
        <v>0.2609975605925608</v>
      </c>
      <c r="EC166" s="21">
        <f>EXP(-LN(2)/2)*EC165+(1-EXP(-LN(2)/2))/(LN(2)/2)*DW166*DZ166*VLOOKUP('Données projet'!$B$14,Paramètres!$A$1:$I$89,3,0)*0.475*44/12</f>
        <v>5.7391972827974862E-20</v>
      </c>
      <c r="ED166" s="22">
        <f t="shared" si="178"/>
        <v>0.39277792427059699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108.5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228.3393311631487</v>
      </c>
      <c r="EP166" s="59">
        <f t="shared" si="154"/>
        <v>266.26050497804033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0.44600110473127719</v>
      </c>
      <c r="EW166" s="21">
        <f>EXP(-LN(2)/25)*EW165+(1-EXP(-LN(2)/25))/(LN(2)/25)*Calculateur!ER166*Calculateur!ET166*VLOOKUP('Données projet'!$B$15,Paramètres!$A$1:$I$89,3,0)*0.475*44/12</f>
        <v>0.30868432300457155</v>
      </c>
      <c r="EX166" s="21">
        <f>EXP(-LN(2)/2)*EX165+(1-EXP(-LN(2)/2))/(LN(2)/2)*ER166*EU166*VLOOKUP('Données projet'!$B$15,Paramètres!$A$1:$I$89,3,0)*0.475*44/12</f>
        <v>5.2186526665317378E-20</v>
      </c>
      <c r="EY166" s="22">
        <f t="shared" si="181"/>
        <v>0.75468542773584879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108.5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-1.7053025658242404E-13</v>
      </c>
      <c r="FF166" s="17">
        <f>FE166*VLOOKUP('Données projet'!$B$16,Paramètres!$A$1:$I$89,3,0)*VLOOKUP('Données projet'!$B$16,Paramètres!$A$1:$I$89,5,0)</f>
        <v>-9.7543306765146564E-14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242.10913976205194</v>
      </c>
      <c r="FK166" s="59">
        <f t="shared" si="156"/>
        <v>198.24795425321133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0.27129725916126174</v>
      </c>
      <c r="FS166" s="21">
        <f>EXP(-LN(2)/2)*FS165+(1-EXP(-LN(2)/2))/(LN(2)/2)*FM166*FP166*VLOOKUP('Données projet'!$B$16,Paramètres!$A$1:$I$89,3,0)*0.475*44/12</f>
        <v>1.2671407568722134E-19</v>
      </c>
      <c r="FT166" s="22">
        <f t="shared" si="184"/>
        <v>0.27129725916126174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108.5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108.5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80.205839999999924</v>
      </c>
      <c r="D167" s="11">
        <f t="shared" si="140"/>
        <v>22.187505549278711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434.72262496360412</v>
      </c>
      <c r="H167" s="67">
        <f t="shared" si="110"/>
        <v>576.16841016499359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108.5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4.6111381379887463E-14</v>
      </c>
      <c r="P167" s="13">
        <f t="shared" si="141"/>
        <v>7.5804141040779151E-13</v>
      </c>
      <c r="Q167" s="20">
        <f t="shared" si="162"/>
        <v>1.4005661123635408E-12</v>
      </c>
      <c r="R167" s="59">
        <f t="shared" si="109"/>
        <v>434.50000000000142</v>
      </c>
      <c r="S167" s="59">
        <f ca="1">AVERAGE(OFFSET($R$3,0,0,'Données projet'!$E$9+1,1))-AVERAGE(OFFSET($H$3,0,0,'Données projet'!$E$9+1,1))</f>
        <v>273.89826011924487</v>
      </c>
      <c r="T167" s="59">
        <f t="shared" si="142"/>
        <v>332.17519939974227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0.20712084954182727</v>
      </c>
      <c r="AB167" s="21">
        <f>EXP(-LN(2)/2)*AB166+(1-EXP(-LN(2)/2))/(LN(2)/2)*V167*Y167*VLOOKUP('Données projet'!$B$9,Paramètres!$A$1:$I$89,3,0)*0.475*44/12</f>
        <v>7.4353021990376022E-20</v>
      </c>
      <c r="AC167" s="22">
        <f t="shared" si="163"/>
        <v>0.20712084954182727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108.5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-5.3205440053716299E-14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293.42903587188346</v>
      </c>
      <c r="AO167" s="59">
        <f t="shared" si="144"/>
        <v>267.80827667062124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0.22063008873942888</v>
      </c>
      <c r="AV167" s="21">
        <f>EXP(-LN(2)/25)*AV166+(1-EXP(-LN(2)/25))/(LN(2)/25)*Calculateur!AQ167*Calculateur!AS167*VLOOKUP('Données projet'!$B$10,Paramètres!$A$1:$I$89,3,0)*0.475*44/12</f>
        <v>0.19127186191928666</v>
      </c>
      <c r="AW167" s="21">
        <f>EXP(-LN(2)/2)*AW166+(1-EXP(-LN(2)/2))/(LN(2)/2)*AQ167*AT167*VLOOKUP('Données projet'!$B$10,Paramètres!$A$1:$I$89,3,0)*0.475*44/12</f>
        <v>6.6625419376236218E-20</v>
      </c>
      <c r="AX167" s="21">
        <f t="shared" si="166"/>
        <v>0.41190195065871554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108.5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-1.0286385077051818E-13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324.41828402031939</v>
      </c>
      <c r="BJ167" s="59">
        <f t="shared" si="146"/>
        <v>233.01060088065992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7.5626156581862725E-2</v>
      </c>
      <c r="BR167" s="21">
        <f>EXP(-LN(2)/2)*BR166+(1-EXP(-LN(2)/2))/(LN(2)/2)*BL167*BO167*VLOOKUP('Données projet'!$B$11,Paramètres!$A$1:$I$89,3,0)*0.475*44/12</f>
        <v>4.1940652437748728E-20</v>
      </c>
      <c r="BS167" s="22">
        <f t="shared" si="169"/>
        <v>7.5626156581862725E-2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108.5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279.00060755204919</v>
      </c>
      <c r="CE167" s="59">
        <f t="shared" si="148"/>
        <v>333.91128554211014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0.5138858870223173</v>
      </c>
      <c r="CL167" s="21">
        <f>EXP(-LN(2)/25)*CL166+(1-EXP(-LN(2)/25))/(LN(2)/25)*Calculateur!CG167*Calculateur!CI167*VLOOKUP('Données projet'!$B$12,Paramètres!$A$1:$I$89,3,0)*0.475*44/12</f>
        <v>0.6776470703578682</v>
      </c>
      <c r="CM167" s="21">
        <f>EXP(-LN(2)/2)*CM166+(1-EXP(-LN(2)/2))/(LN(2)/2)*CG167*CJ167*VLOOKUP('Données projet'!$B$12,Paramètres!$A$1:$I$89,3,0)*0.475*44/12</f>
        <v>1.4605483121592226E-19</v>
      </c>
      <c r="CN167" s="22">
        <f t="shared" si="172"/>
        <v>1.1915329573801854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108.5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-6.7984728957526396E-14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380.01315081072897</v>
      </c>
      <c r="CZ167" s="59">
        <f t="shared" si="150"/>
        <v>404.90871625409181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0.24623698753152748</v>
      </c>
      <c r="DG167" s="21">
        <f>EXP(-LN(2)/25)*DG166+(1-EXP(-LN(2)/25))/(LN(2)/25)*Calculateur!DB167*Calculateur!DD167*VLOOKUP('Données projet'!$B$13,Paramètres!$A$1:$I$89,3,0)*0.475*44/12</f>
        <v>0.51959851719450745</v>
      </c>
      <c r="DH167" s="21">
        <f>EXP(-LN(2)/2)*DH166+(1-EXP(-LN(2)/2))/(LN(2)/2)*DB167*DE167*VLOOKUP('Données projet'!$B$13,Paramètres!$A$1:$I$89,3,0)*0.475*44/12</f>
        <v>2.0534337926440344E-19</v>
      </c>
      <c r="DI167" s="22">
        <f t="shared" si="175"/>
        <v>0.7658355047260349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108.5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-5.6843418860808015E-14</v>
      </c>
      <c r="DP167" s="17">
        <f>DO167*VLOOKUP('Données projet'!$B$14,Paramètres!$A$1:$I$89,3,0)*VLOOKUP('Données projet'!$B$14,Paramètres!$A$1:$I$89,5,0)</f>
        <v>-5.1431925385259088E-14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320.81451813551064</v>
      </c>
      <c r="DU167" s="59">
        <f t="shared" si="152"/>
        <v>522.80818268773976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0.1291962311243951</v>
      </c>
      <c r="EB167" s="21">
        <f>EXP(-LN(2)/25)*EB166+(1-EXP(-LN(2)/25))/(LN(2)/25)*Calculateur!DW167*Calculateur!DY167*VLOOKUP('Données projet'!$B$14,Paramètres!$A$1:$I$89,3,0)*0.475*44/12</f>
        <v>0.25386056857289202</v>
      </c>
      <c r="EC167" s="21">
        <f>EXP(-LN(2)/2)*EC166+(1-EXP(-LN(2)/2))/(LN(2)/2)*DW167*DZ167*VLOOKUP('Données projet'!$B$14,Paramètres!$A$1:$I$89,3,0)*0.475*44/12</f>
        <v>4.0582253172335102E-20</v>
      </c>
      <c r="ED167" s="22">
        <f t="shared" si="178"/>
        <v>0.38305679969728712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108.5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228.3393311631487</v>
      </c>
      <c r="EP167" s="59">
        <f t="shared" si="154"/>
        <v>266.26050497804033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0.43725529510130962</v>
      </c>
      <c r="EW167" s="21">
        <f>EXP(-LN(2)/25)*EW166+(1-EXP(-LN(2)/25))/(LN(2)/25)*Calculateur!ER167*Calculateur!ET167*VLOOKUP('Données projet'!$B$15,Paramètres!$A$1:$I$89,3,0)*0.475*44/12</f>
        <v>0.30024333395900848</v>
      </c>
      <c r="EX167" s="21">
        <f>EXP(-LN(2)/2)*EX166+(1-EXP(-LN(2)/2))/(LN(2)/2)*ER167*EU167*VLOOKUP('Données projet'!$B$15,Paramètres!$A$1:$I$89,3,0)*0.475*44/12</f>
        <v>3.6901446891618503E-20</v>
      </c>
      <c r="EY167" s="22">
        <f t="shared" si="181"/>
        <v>0.73749862906031804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108.5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-1.7053025658242404E-13</v>
      </c>
      <c r="FF167" s="17">
        <f>FE167*VLOOKUP('Données projet'!$B$16,Paramètres!$A$1:$I$89,3,0)*VLOOKUP('Données projet'!$B$16,Paramètres!$A$1:$I$89,5,0)</f>
        <v>-9.7543306765146564E-14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242.10913976205194</v>
      </c>
      <c r="FK167" s="59">
        <f t="shared" si="156"/>
        <v>198.24795425321133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0.26387862134259421</v>
      </c>
      <c r="FS167" s="21">
        <f>EXP(-LN(2)/2)*FS166+(1-EXP(-LN(2)/2))/(LN(2)/2)*FM167*FP167*VLOOKUP('Données projet'!$B$16,Paramètres!$A$1:$I$89,3,0)*0.475*44/12</f>
        <v>8.9600382190219644E-20</v>
      </c>
      <c r="FT167" s="22">
        <f t="shared" si="184"/>
        <v>0.26387862134259421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108.5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108.5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80.694899999999919</v>
      </c>
      <c r="D168" s="11">
        <f t="shared" si="140"/>
        <v>22.307005173047109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437.3063342434628</v>
      </c>
      <c r="H168" s="67">
        <f t="shared" si="110"/>
        <v>577.22831817639019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108.5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4.6111381379887463E-14</v>
      </c>
      <c r="P168" s="13">
        <f t="shared" si="141"/>
        <v>7.5804141040779151E-13</v>
      </c>
      <c r="Q168" s="20">
        <f t="shared" si="162"/>
        <v>1.4005661123635408E-12</v>
      </c>
      <c r="R168" s="59">
        <f t="shared" si="109"/>
        <v>434.50000000000142</v>
      </c>
      <c r="S168" s="59">
        <f ca="1">AVERAGE(OFFSET($R$3,0,0,'Données projet'!$E$9+1,1))-AVERAGE(OFFSET($H$3,0,0,'Données projet'!$E$9+1,1))</f>
        <v>273.89826011924487</v>
      </c>
      <c r="T168" s="59">
        <f t="shared" si="142"/>
        <v>332.17519939974227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0.20145711901909391</v>
      </c>
      <c r="AB168" s="21">
        <f>EXP(-LN(2)/2)*AB167+(1-EXP(-LN(2)/2))/(LN(2)/2)*V168*Y168*VLOOKUP('Données projet'!$B$9,Paramètres!$A$1:$I$89,3,0)*0.475*44/12</f>
        <v>5.2575526051107375E-20</v>
      </c>
      <c r="AC168" s="22">
        <f t="shared" si="163"/>
        <v>0.20145711901909391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108.5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-5.3205440053716299E-14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293.42903587188346</v>
      </c>
      <c r="AO168" s="59">
        <f t="shared" si="144"/>
        <v>267.80827667062124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0.21630366727031503</v>
      </c>
      <c r="AV168" s="21">
        <f>EXP(-LN(2)/25)*AV167+(1-EXP(-LN(2)/25))/(LN(2)/25)*Calculateur!AQ168*Calculateur!AS168*VLOOKUP('Données projet'!$B$10,Paramètres!$A$1:$I$89,3,0)*0.475*44/12</f>
        <v>0.1860415227965537</v>
      </c>
      <c r="AW168" s="21">
        <f>EXP(-LN(2)/2)*AW167+(1-EXP(-LN(2)/2))/(LN(2)/2)*AQ168*AT168*VLOOKUP('Données projet'!$B$10,Paramètres!$A$1:$I$89,3,0)*0.475*44/12</f>
        <v>4.7111285840334228E-20</v>
      </c>
      <c r="AX168" s="21">
        <f t="shared" si="166"/>
        <v>0.40234519006686875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108.5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-1.0286385077051818E-13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324.41828402031939</v>
      </c>
      <c r="BJ168" s="59">
        <f t="shared" si="146"/>
        <v>233.01060088065992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7.355815535312496E-2</v>
      </c>
      <c r="BR168" s="21">
        <f>EXP(-LN(2)/2)*BR167+(1-EXP(-LN(2)/2))/(LN(2)/2)*BL168*BO168*VLOOKUP('Données projet'!$B$11,Paramètres!$A$1:$I$89,3,0)*0.475*44/12</f>
        <v>2.965651974612023E-20</v>
      </c>
      <c r="BS168" s="22">
        <f t="shared" si="169"/>
        <v>7.355815535312496E-2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108.5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279.00060755204919</v>
      </c>
      <c r="CE168" s="59">
        <f t="shared" si="148"/>
        <v>333.91128554211014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0.50380889821725117</v>
      </c>
      <c r="CL168" s="21">
        <f>EXP(-LN(2)/25)*CL167+(1-EXP(-LN(2)/25))/(LN(2)/25)*Calculateur!CG168*Calculateur!CI168*VLOOKUP('Données projet'!$B$12,Paramètres!$A$1:$I$89,3,0)*0.475*44/12</f>
        <v>0.65911677558302162</v>
      </c>
      <c r="CM168" s="21">
        <f>EXP(-LN(2)/2)*CM167+(1-EXP(-LN(2)/2))/(LN(2)/2)*CG168*CJ168*VLOOKUP('Données projet'!$B$12,Paramètres!$A$1:$I$89,3,0)*0.475*44/12</f>
        <v>1.0327636157783527E-19</v>
      </c>
      <c r="CN168" s="22">
        <f t="shared" si="172"/>
        <v>1.1629256738002729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108.5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-6.7984728957526396E-14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380.01315081072897</v>
      </c>
      <c r="CZ168" s="59">
        <f t="shared" si="150"/>
        <v>404.90871625409181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0.24140843039576662</v>
      </c>
      <c r="DG168" s="21">
        <f>EXP(-LN(2)/25)*DG167+(1-EXP(-LN(2)/25))/(LN(2)/25)*Calculateur!DB168*Calculateur!DD168*VLOOKUP('Données projet'!$B$13,Paramètres!$A$1:$I$89,3,0)*0.475*44/12</f>
        <v>0.50539006841732514</v>
      </c>
      <c r="DH168" s="21">
        <f>EXP(-LN(2)/2)*DH167+(1-EXP(-LN(2)/2))/(LN(2)/2)*DB168*DE168*VLOOKUP('Données projet'!$B$13,Paramètres!$A$1:$I$89,3,0)*0.475*44/12</f>
        <v>1.4519969594962076E-19</v>
      </c>
      <c r="DI168" s="22">
        <f t="shared" si="175"/>
        <v>0.74679849881309179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108.5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-5.6843418860808015E-14</v>
      </c>
      <c r="DP168" s="17">
        <f>DO168*VLOOKUP('Données projet'!$B$14,Paramètres!$A$1:$I$89,3,0)*VLOOKUP('Données projet'!$B$14,Paramètres!$A$1:$I$89,5,0)</f>
        <v>-5.1431925385259088E-14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320.81451813551064</v>
      </c>
      <c r="DU168" s="59">
        <f t="shared" si="152"/>
        <v>522.80818268773976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0.12666277183396565</v>
      </c>
      <c r="EB168" s="21">
        <f>EXP(-LN(2)/25)*EB167+(1-EXP(-LN(2)/25))/(LN(2)/25)*Calculateur!DW168*Calculateur!DY168*VLOOKUP('Données projet'!$B$14,Paramètres!$A$1:$I$89,3,0)*0.475*44/12</f>
        <v>0.24691873797531919</v>
      </c>
      <c r="EC168" s="21">
        <f>EXP(-LN(2)/2)*EC167+(1-EXP(-LN(2)/2))/(LN(2)/2)*DW168*DZ168*VLOOKUP('Données projet'!$B$14,Paramètres!$A$1:$I$89,3,0)*0.475*44/12</f>
        <v>2.8695986413987431E-20</v>
      </c>
      <c r="ED168" s="22">
        <f t="shared" si="178"/>
        <v>0.37358150980928484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108.5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228.3393311631487</v>
      </c>
      <c r="EP168" s="59">
        <f t="shared" si="154"/>
        <v>266.26050497804033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0.42868098546376859</v>
      </c>
      <c r="EW168" s="21">
        <f>EXP(-LN(2)/25)*EW167+(1-EXP(-LN(2)/25))/(LN(2)/25)*Calculateur!ER168*Calculateur!ET168*VLOOKUP('Données projet'!$B$15,Paramètres!$A$1:$I$89,3,0)*0.475*44/12</f>
        <v>0.29203316420278869</v>
      </c>
      <c r="EX168" s="21">
        <f>EXP(-LN(2)/2)*EX167+(1-EXP(-LN(2)/2))/(LN(2)/2)*ER168*EU168*VLOOKUP('Données projet'!$B$15,Paramètres!$A$1:$I$89,3,0)*0.475*44/12</f>
        <v>2.6093263332658689E-20</v>
      </c>
      <c r="EY168" s="22">
        <f t="shared" si="181"/>
        <v>0.72071414966655722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108.5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-1.7053025658242404E-13</v>
      </c>
      <c r="FF168" s="17">
        <f>FE168*VLOOKUP('Données projet'!$B$16,Paramètres!$A$1:$I$89,3,0)*VLOOKUP('Données projet'!$B$16,Paramètres!$A$1:$I$89,5,0)</f>
        <v>-9.7543306765146564E-14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242.10913976205194</v>
      </c>
      <c r="FK168" s="59">
        <f t="shared" si="156"/>
        <v>198.24795425321133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0.25666284656520738</v>
      </c>
      <c r="FS168" s="21">
        <f>EXP(-LN(2)/2)*FS167+(1-EXP(-LN(2)/2))/(LN(2)/2)*FM168*FP168*VLOOKUP('Données projet'!$B$16,Paramètres!$A$1:$I$89,3,0)*0.475*44/12</f>
        <v>6.3357037843610671E-20</v>
      </c>
      <c r="FT168" s="22">
        <f t="shared" si="184"/>
        <v>0.25666284656520738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108.5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108.5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81.183959999999914</v>
      </c>
      <c r="D169" s="11">
        <f t="shared" si="140"/>
        <v>22.426420524445486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439.88968573536476</v>
      </c>
      <c r="H169" s="67">
        <f t="shared" si="110"/>
        <v>578.28807941340904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108.5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4.6111381379887463E-14</v>
      </c>
      <c r="P169" s="13">
        <f t="shared" si="141"/>
        <v>7.5804141040779151E-13</v>
      </c>
      <c r="Q169" s="20">
        <f t="shared" si="162"/>
        <v>1.4005661123635408E-12</v>
      </c>
      <c r="R169" s="59">
        <f t="shared" si="109"/>
        <v>434.50000000000142</v>
      </c>
      <c r="S169" s="59">
        <f ca="1">AVERAGE(OFFSET($R$3,0,0,'Données projet'!$E$9+1,1))-AVERAGE(OFFSET($H$3,0,0,'Données projet'!$E$9+1,1))</f>
        <v>273.89826011924487</v>
      </c>
      <c r="T169" s="59">
        <f t="shared" si="142"/>
        <v>332.17519939974227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0.19594826350534733</v>
      </c>
      <c r="AB169" s="21">
        <f>EXP(-LN(2)/2)*AB168+(1-EXP(-LN(2)/2))/(LN(2)/2)*V169*Y169*VLOOKUP('Données projet'!$B$9,Paramètres!$A$1:$I$89,3,0)*0.475*44/12</f>
        <v>3.7176510995188011E-20</v>
      </c>
      <c r="AC169" s="22">
        <f t="shared" si="163"/>
        <v>0.19594826350534733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108.5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-5.3205440053716299E-14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293.42903587188346</v>
      </c>
      <c r="AO169" s="59">
        <f t="shared" si="144"/>
        <v>267.80827667062124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0.21206208428735396</v>
      </c>
      <c r="AV169" s="21">
        <f>EXP(-LN(2)/25)*AV168+(1-EXP(-LN(2)/25))/(LN(2)/25)*Calculateur!AQ169*Calculateur!AS169*VLOOKUP('Données projet'!$B$10,Paramètres!$A$1:$I$89,3,0)*0.475*44/12</f>
        <v>0.18095420757218345</v>
      </c>
      <c r="AW169" s="21">
        <f>EXP(-LN(2)/2)*AW168+(1-EXP(-LN(2)/2))/(LN(2)/2)*AQ169*AT169*VLOOKUP('Données projet'!$B$10,Paramètres!$A$1:$I$89,3,0)*0.475*44/12</f>
        <v>3.3312709688118109E-20</v>
      </c>
      <c r="AX169" s="21">
        <f t="shared" si="166"/>
        <v>0.3930162918595374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108.5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-1.0286385077051818E-13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324.41828402031939</v>
      </c>
      <c r="BJ169" s="59">
        <f t="shared" si="146"/>
        <v>233.01060088065992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7.1546703726738492E-2</v>
      </c>
      <c r="BR169" s="21">
        <f>EXP(-LN(2)/2)*BR168+(1-EXP(-LN(2)/2))/(LN(2)/2)*BL169*BO169*VLOOKUP('Données projet'!$B$11,Paramètres!$A$1:$I$89,3,0)*0.475*44/12</f>
        <v>2.0970326218874364E-20</v>
      </c>
      <c r="BS169" s="22">
        <f t="shared" si="169"/>
        <v>7.1546703726738492E-2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108.5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279.00060755204919</v>
      </c>
      <c r="CE169" s="59">
        <f t="shared" si="148"/>
        <v>333.91128554211014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0.49392951301629612</v>
      </c>
      <c r="CL169" s="21">
        <f>EXP(-LN(2)/25)*CL168+(1-EXP(-LN(2)/25))/(LN(2)/25)*Calculateur!CG169*Calculateur!CI169*VLOOKUP('Données projet'!$B$12,Paramètres!$A$1:$I$89,3,0)*0.475*44/12</f>
        <v>0.64109319269325915</v>
      </c>
      <c r="CM169" s="21">
        <f>EXP(-LN(2)/2)*CM168+(1-EXP(-LN(2)/2))/(LN(2)/2)*CG169*CJ169*VLOOKUP('Données projet'!$B$12,Paramètres!$A$1:$I$89,3,0)*0.475*44/12</f>
        <v>7.302741560796113E-20</v>
      </c>
      <c r="CN169" s="22">
        <f t="shared" si="172"/>
        <v>1.1350227057095552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108.5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-6.7984728957526396E-14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380.01315081072897</v>
      </c>
      <c r="CZ169" s="59">
        <f t="shared" si="150"/>
        <v>404.90871625409181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0.23667455832030898</v>
      </c>
      <c r="DG169" s="21">
        <f>EXP(-LN(2)/25)*DG168+(1-EXP(-LN(2)/25))/(LN(2)/25)*Calculateur!DB169*Calculateur!DD169*VLOOKUP('Données projet'!$B$13,Paramètres!$A$1:$I$89,3,0)*0.475*44/12</f>
        <v>0.49157015041914476</v>
      </c>
      <c r="DH169" s="21">
        <f>EXP(-LN(2)/2)*DH168+(1-EXP(-LN(2)/2))/(LN(2)/2)*DB169*DE169*VLOOKUP('Données projet'!$B$13,Paramètres!$A$1:$I$89,3,0)*0.475*44/12</f>
        <v>1.0267168963220172E-19</v>
      </c>
      <c r="DI169" s="22">
        <f t="shared" si="175"/>
        <v>0.72824470873945368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108.5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-5.6843418860808015E-14</v>
      </c>
      <c r="DP169" s="17">
        <f>DO169*VLOOKUP('Données projet'!$B$14,Paramètres!$A$1:$I$89,3,0)*VLOOKUP('Données projet'!$B$14,Paramètres!$A$1:$I$89,5,0)</f>
        <v>-5.1431925385259088E-14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320.81451813551064</v>
      </c>
      <c r="DU169" s="59">
        <f t="shared" si="152"/>
        <v>522.80818268773976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0.12417899213496394</v>
      </c>
      <c r="EB169" s="21">
        <f>EXP(-LN(2)/25)*EB168+(1-EXP(-LN(2)/25))/(LN(2)/25)*Calculateur!DW169*Calculateur!DY169*VLOOKUP('Données projet'!$B$14,Paramètres!$A$1:$I$89,3,0)*0.475*44/12</f>
        <v>0.240166732100492</v>
      </c>
      <c r="EC169" s="21">
        <f>EXP(-LN(2)/2)*EC168+(1-EXP(-LN(2)/2))/(LN(2)/2)*DW169*DZ169*VLOOKUP('Données projet'!$B$14,Paramètres!$A$1:$I$89,3,0)*0.475*44/12</f>
        <v>2.0291126586167551E-20</v>
      </c>
      <c r="ED169" s="22">
        <f t="shared" si="178"/>
        <v>0.36434572423545597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108.5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228.3393311631487</v>
      </c>
      <c r="EP169" s="59">
        <f t="shared" si="154"/>
        <v>266.26050497804033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0.42027481280840723</v>
      </c>
      <c r="EW169" s="21">
        <f>EXP(-LN(2)/25)*EW168+(1-EXP(-LN(2)/25))/(LN(2)/25)*Calculateur!ER169*Calculateur!ET169*VLOOKUP('Données projet'!$B$15,Paramètres!$A$1:$I$89,3,0)*0.475*44/12</f>
        <v>0.28404750197030676</v>
      </c>
      <c r="EX169" s="21">
        <f>EXP(-LN(2)/2)*EX168+(1-EXP(-LN(2)/2))/(LN(2)/2)*ER169*EU169*VLOOKUP('Données projet'!$B$15,Paramètres!$A$1:$I$89,3,0)*0.475*44/12</f>
        <v>1.8450723445809251E-20</v>
      </c>
      <c r="EY169" s="22">
        <f t="shared" si="181"/>
        <v>0.70432231477871399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108.5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-1.7053025658242404E-13</v>
      </c>
      <c r="FF169" s="17">
        <f>FE169*VLOOKUP('Données projet'!$B$16,Paramètres!$A$1:$I$89,3,0)*VLOOKUP('Données projet'!$B$16,Paramètres!$A$1:$I$89,5,0)</f>
        <v>-9.7543306765146564E-14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242.10913976205194</v>
      </c>
      <c r="FK169" s="59">
        <f t="shared" si="156"/>
        <v>198.24795425321133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0.24964438752856929</v>
      </c>
      <c r="FS169" s="21">
        <f>EXP(-LN(2)/2)*FS168+(1-EXP(-LN(2)/2))/(LN(2)/2)*FM169*FP169*VLOOKUP('Données projet'!$B$16,Paramètres!$A$1:$I$89,3,0)*0.475*44/12</f>
        <v>4.4800191095109822E-20</v>
      </c>
      <c r="FT169" s="22">
        <f t="shared" si="184"/>
        <v>0.24964438752856929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108.5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108.5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81.673019999999909</v>
      </c>
      <c r="D170" s="11">
        <f t="shared" si="140"/>
        <v>22.545752170039098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442.47268184472705</v>
      </c>
      <c r="H170" s="67">
        <f t="shared" si="110"/>
        <v>579.34769486281789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108.5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4.6111381379887463E-14</v>
      </c>
      <c r="P170" s="13">
        <f t="shared" si="141"/>
        <v>7.5804141040779151E-13</v>
      </c>
      <c r="Q170" s="20">
        <f t="shared" si="162"/>
        <v>1.4005661123635408E-12</v>
      </c>
      <c r="R170" s="59">
        <f t="shared" si="109"/>
        <v>434.50000000000142</v>
      </c>
      <c r="S170" s="59">
        <f ca="1">AVERAGE(OFFSET($R$3,0,0,'Données projet'!$E$9+1,1))-AVERAGE(OFFSET($H$3,0,0,'Données projet'!$E$9+1,1))</f>
        <v>273.89826011924487</v>
      </c>
      <c r="T170" s="59">
        <f t="shared" si="142"/>
        <v>332.17519939974227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0.19059004793532228</v>
      </c>
      <c r="AB170" s="21">
        <f>EXP(-LN(2)/2)*AB169+(1-EXP(-LN(2)/2))/(LN(2)/2)*V170*Y170*VLOOKUP('Données projet'!$B$9,Paramètres!$A$1:$I$89,3,0)*0.475*44/12</f>
        <v>2.6287763025553687E-20</v>
      </c>
      <c r="AC170" s="22">
        <f t="shared" si="163"/>
        <v>0.19059004793532228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108.5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-5.3205440053716299E-14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293.42903587188346</v>
      </c>
      <c r="AO170" s="59">
        <f t="shared" si="144"/>
        <v>267.80827667062124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0.20790367615957858</v>
      </c>
      <c r="AV170" s="21">
        <f>EXP(-LN(2)/25)*AV169+(1-EXP(-LN(2)/25))/(LN(2)/25)*Calculateur!AQ170*Calculateur!AS170*VLOOKUP('Données projet'!$B$10,Paramètres!$A$1:$I$89,3,0)*0.475*44/12</f>
        <v>0.17600600525015389</v>
      </c>
      <c r="AW170" s="21">
        <f>EXP(-LN(2)/2)*AW169+(1-EXP(-LN(2)/2))/(LN(2)/2)*AQ170*AT170*VLOOKUP('Données projet'!$B$10,Paramètres!$A$1:$I$89,3,0)*0.475*44/12</f>
        <v>2.3555642920167114E-20</v>
      </c>
      <c r="AX170" s="21">
        <f t="shared" si="166"/>
        <v>0.38390968140973247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108.5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-1.0286385077051818E-13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324.41828402031939</v>
      </c>
      <c r="BJ170" s="59">
        <f t="shared" si="146"/>
        <v>233.01060088065992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6.9590255350853197E-2</v>
      </c>
      <c r="BR170" s="21">
        <f>EXP(-LN(2)/2)*BR169+(1-EXP(-LN(2)/2))/(LN(2)/2)*BL170*BO170*VLOOKUP('Données projet'!$B$11,Paramètres!$A$1:$I$89,3,0)*0.475*44/12</f>
        <v>1.4828259873060115E-20</v>
      </c>
      <c r="BS170" s="22">
        <f t="shared" si="169"/>
        <v>6.9590255350853197E-2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108.5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279.00060755204919</v>
      </c>
      <c r="CE170" s="59">
        <f t="shared" si="148"/>
        <v>333.91128554211014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0.48424385653330182</v>
      </c>
      <c r="CL170" s="21">
        <f>EXP(-LN(2)/25)*CL169+(1-EXP(-LN(2)/25))/(LN(2)/25)*Calculateur!CG170*Calculateur!CI170*VLOOKUP('Données projet'!$B$12,Paramètres!$A$1:$I$89,3,0)*0.475*44/12</f>
        <v>0.62356246562543627</v>
      </c>
      <c r="CM170" s="21">
        <f>EXP(-LN(2)/2)*CM169+(1-EXP(-LN(2)/2))/(LN(2)/2)*CG170*CJ170*VLOOKUP('Données projet'!$B$12,Paramètres!$A$1:$I$89,3,0)*0.475*44/12</f>
        <v>5.1638180788917637E-20</v>
      </c>
      <c r="CN170" s="22">
        <f t="shared" si="172"/>
        <v>1.107806322158738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108.5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-6.7984728957526396E-14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380.01315081072897</v>
      </c>
      <c r="CZ170" s="59">
        <f t="shared" si="150"/>
        <v>404.90871625409181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0.2320335145888742</v>
      </c>
      <c r="DG170" s="21">
        <f>EXP(-LN(2)/25)*DG169+(1-EXP(-LN(2)/25))/(LN(2)/25)*Calculateur!DB170*Calculateur!DD170*VLOOKUP('Données projet'!$B$13,Paramètres!$A$1:$I$89,3,0)*0.475*44/12</f>
        <v>0.47812813880538252</v>
      </c>
      <c r="DH170" s="21">
        <f>EXP(-LN(2)/2)*DH169+(1-EXP(-LN(2)/2))/(LN(2)/2)*DB170*DE170*VLOOKUP('Données projet'!$B$13,Paramètres!$A$1:$I$89,3,0)*0.475*44/12</f>
        <v>7.2599847974810379E-20</v>
      </c>
      <c r="DI170" s="22">
        <f t="shared" si="175"/>
        <v>0.71016165339425674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108.5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-5.6843418860808015E-14</v>
      </c>
      <c r="DP170" s="17">
        <f>DO170*VLOOKUP('Données projet'!$B$14,Paramètres!$A$1:$I$89,3,0)*VLOOKUP('Données projet'!$B$14,Paramètres!$A$1:$I$89,5,0)</f>
        <v>-5.1431925385259088E-14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320.81451813551064</v>
      </c>
      <c r="DU170" s="59">
        <f t="shared" si="152"/>
        <v>522.80818268773976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0.12174391784090363</v>
      </c>
      <c r="EB170" s="21">
        <f>EXP(-LN(2)/25)*EB169+(1-EXP(-LN(2)/25))/(LN(2)/25)*Calculateur!DW170*Calculateur!DY170*VLOOKUP('Données projet'!$B$14,Paramètres!$A$1:$I$89,3,0)*0.475*44/12</f>
        <v>0.23359936018138452</v>
      </c>
      <c r="EC170" s="21">
        <f>EXP(-LN(2)/2)*EC169+(1-EXP(-LN(2)/2))/(LN(2)/2)*DW170*DZ170*VLOOKUP('Données projet'!$B$14,Paramètres!$A$1:$I$89,3,0)*0.475*44/12</f>
        <v>1.4347993206993715E-20</v>
      </c>
      <c r="ED170" s="22">
        <f t="shared" si="178"/>
        <v>0.35534327802228816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108.5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228.3393311631487</v>
      </c>
      <c r="EP170" s="59">
        <f t="shared" si="154"/>
        <v>266.26050497804033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0.41203348007155849</v>
      </c>
      <c r="EW170" s="21">
        <f>EXP(-LN(2)/25)*EW169+(1-EXP(-LN(2)/25))/(LN(2)/25)*Calculateur!ER170*Calculateur!ET170*VLOOKUP('Données projet'!$B$15,Paramètres!$A$1:$I$89,3,0)*0.475*44/12</f>
        <v>0.27628020809151982</v>
      </c>
      <c r="EX170" s="21">
        <f>EXP(-LN(2)/2)*EX169+(1-EXP(-LN(2)/2))/(LN(2)/2)*ER170*EU170*VLOOKUP('Données projet'!$B$15,Paramètres!$A$1:$I$89,3,0)*0.475*44/12</f>
        <v>1.3046631666329345E-20</v>
      </c>
      <c r="EY170" s="22">
        <f t="shared" si="181"/>
        <v>0.68831368816307825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108.5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-1.7053025658242404E-13</v>
      </c>
      <c r="FF170" s="17">
        <f>FE170*VLOOKUP('Données projet'!$B$16,Paramètres!$A$1:$I$89,3,0)*VLOOKUP('Données projet'!$B$16,Paramètres!$A$1:$I$89,5,0)</f>
        <v>-9.7543306765146564E-14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242.10913976205194</v>
      </c>
      <c r="FK170" s="59">
        <f t="shared" si="156"/>
        <v>198.24795425321133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0.2428178486233728</v>
      </c>
      <c r="FS170" s="21">
        <f>EXP(-LN(2)/2)*FS169+(1-EXP(-LN(2)/2))/(LN(2)/2)*FM170*FP170*VLOOKUP('Données projet'!$B$16,Paramètres!$A$1:$I$89,3,0)*0.475*44/12</f>
        <v>3.1678518921805335E-20</v>
      </c>
      <c r="FT170" s="22">
        <f t="shared" si="184"/>
        <v>0.2428178486233728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108.5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108.5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82.162079999999904</v>
      </c>
      <c r="D171" s="11">
        <f t="shared" si="140"/>
        <v>22.665000669215512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445.05532494649361</v>
      </c>
      <c r="H171" s="67">
        <f t="shared" si="110"/>
        <v>580.4071654988835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108.5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4.6111381379887463E-14</v>
      </c>
      <c r="P171" s="13">
        <f t="shared" si="141"/>
        <v>7.5804141040779151E-13</v>
      </c>
      <c r="Q171" s="20">
        <f t="shared" si="162"/>
        <v>1.4005661123635408E-12</v>
      </c>
      <c r="R171" s="59">
        <f t="shared" si="109"/>
        <v>434.50000000000142</v>
      </c>
      <c r="S171" s="59">
        <f ca="1">AVERAGE(OFFSET($R$3,0,0,'Données projet'!$E$9+1,1))-AVERAGE(OFFSET($H$3,0,0,'Données projet'!$E$9+1,1))</f>
        <v>273.89826011924487</v>
      </c>
      <c r="T171" s="59">
        <f t="shared" si="142"/>
        <v>332.17519939974227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0.18537835305183586</v>
      </c>
      <c r="AB171" s="21">
        <f>EXP(-LN(2)/2)*AB170+(1-EXP(-LN(2)/2))/(LN(2)/2)*V171*Y171*VLOOKUP('Données projet'!$B$9,Paramètres!$A$1:$I$89,3,0)*0.475*44/12</f>
        <v>1.8588255497594005E-20</v>
      </c>
      <c r="AC171" s="22">
        <f t="shared" si="163"/>
        <v>0.18537835305183586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108.5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-5.3205440053716299E-14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293.42903587188346</v>
      </c>
      <c r="AO171" s="59">
        <f t="shared" si="144"/>
        <v>267.80827667062124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0.20382681187881038</v>
      </c>
      <c r="AV171" s="21">
        <f>EXP(-LN(2)/25)*AV170+(1-EXP(-LN(2)/25))/(LN(2)/25)*Calculateur!AQ171*Calculateur!AS171*VLOOKUP('Données projet'!$B$10,Paramètres!$A$1:$I$89,3,0)*0.475*44/12</f>
        <v>0.17119311178083488</v>
      </c>
      <c r="AW171" s="21">
        <f>EXP(-LN(2)/2)*AW170+(1-EXP(-LN(2)/2))/(LN(2)/2)*AQ171*AT171*VLOOKUP('Données projet'!$B$10,Paramètres!$A$1:$I$89,3,0)*0.475*44/12</f>
        <v>1.6656354844059055E-20</v>
      </c>
      <c r="AX171" s="21">
        <f t="shared" si="166"/>
        <v>0.37501992365964526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108.5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-1.0286385077051818E-13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324.41828402031939</v>
      </c>
      <c r="BJ171" s="59">
        <f t="shared" si="146"/>
        <v>233.01060088065992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6.7687306158691632E-2</v>
      </c>
      <c r="BR171" s="21">
        <f>EXP(-LN(2)/2)*BR170+(1-EXP(-LN(2)/2))/(LN(2)/2)*BL171*BO171*VLOOKUP('Données projet'!$B$11,Paramètres!$A$1:$I$89,3,0)*0.475*44/12</f>
        <v>1.0485163109437182E-20</v>
      </c>
      <c r="BS171" s="22">
        <f t="shared" si="169"/>
        <v>6.7687306158691632E-2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108.5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279.00060755204919</v>
      </c>
      <c r="CE171" s="59">
        <f t="shared" si="148"/>
        <v>333.91128554211014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0.47474812986627191</v>
      </c>
      <c r="CL171" s="21">
        <f>EXP(-LN(2)/25)*CL170+(1-EXP(-LN(2)/25))/(LN(2)/25)*Calculateur!CG171*Calculateur!CI171*VLOOKUP('Données projet'!$B$12,Paramètres!$A$1:$I$89,3,0)*0.475*44/12</f>
        <v>0.60651111721118378</v>
      </c>
      <c r="CM171" s="21">
        <f>EXP(-LN(2)/2)*CM170+(1-EXP(-LN(2)/2))/(LN(2)/2)*CG171*CJ171*VLOOKUP('Données projet'!$B$12,Paramètres!$A$1:$I$89,3,0)*0.475*44/12</f>
        <v>3.6513707803980565E-20</v>
      </c>
      <c r="CN171" s="22">
        <f t="shared" si="172"/>
        <v>1.0812592470774556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108.5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-6.7984728957526396E-14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380.01315081072897</v>
      </c>
      <c r="CZ171" s="59">
        <f t="shared" si="150"/>
        <v>404.90871625409181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0.22748347889425569</v>
      </c>
      <c r="DG171" s="21">
        <f>EXP(-LN(2)/25)*DG170+(1-EXP(-LN(2)/25))/(LN(2)/25)*Calculateur!DB171*Calculateur!DD171*VLOOKUP('Données projet'!$B$13,Paramètres!$A$1:$I$89,3,0)*0.475*44/12</f>
        <v>0.46505369970608329</v>
      </c>
      <c r="DH171" s="21">
        <f>EXP(-LN(2)/2)*DH170+(1-EXP(-LN(2)/2))/(LN(2)/2)*DB171*DE171*VLOOKUP('Données projet'!$B$13,Paramètres!$A$1:$I$89,3,0)*0.475*44/12</f>
        <v>5.1335844816100859E-20</v>
      </c>
      <c r="DI171" s="22">
        <f t="shared" si="175"/>
        <v>0.69253717860033892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108.5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-5.6843418860808015E-14</v>
      </c>
      <c r="DP171" s="17">
        <f>DO171*VLOOKUP('Données projet'!$B$14,Paramètres!$A$1:$I$89,3,0)*VLOOKUP('Données projet'!$B$14,Paramètres!$A$1:$I$89,5,0)</f>
        <v>-5.1431925385259088E-14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320.81451813551064</v>
      </c>
      <c r="DU171" s="59">
        <f t="shared" si="152"/>
        <v>522.80818268773976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0.11935659386850118</v>
      </c>
      <c r="EB171" s="21">
        <f>EXP(-LN(2)/25)*EB170+(1-EXP(-LN(2)/25))/(LN(2)/25)*Calculateur!DW171*Calculateur!DY171*VLOOKUP('Données projet'!$B$14,Paramètres!$A$1:$I$89,3,0)*0.475*44/12</f>
        <v>0.22721157339276812</v>
      </c>
      <c r="EC171" s="21">
        <f>EXP(-LN(2)/2)*EC170+(1-EXP(-LN(2)/2))/(LN(2)/2)*DW171*DZ171*VLOOKUP('Données projet'!$B$14,Paramètres!$A$1:$I$89,3,0)*0.475*44/12</f>
        <v>1.0145563293083776E-20</v>
      </c>
      <c r="ED171" s="22">
        <f t="shared" si="178"/>
        <v>0.34656816726126932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108.5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228.3393311631487</v>
      </c>
      <c r="EP171" s="59">
        <f t="shared" si="154"/>
        <v>266.26050497804033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0.4039537548429627</v>
      </c>
      <c r="EW171" s="21">
        <f>EXP(-LN(2)/25)*EW170+(1-EXP(-LN(2)/25))/(LN(2)/25)*Calculateur!ER171*Calculateur!ET171*VLOOKUP('Données projet'!$B$15,Paramètres!$A$1:$I$89,3,0)*0.475*44/12</f>
        <v>0.26872531127231253</v>
      </c>
      <c r="EX171" s="21">
        <f>EXP(-LN(2)/2)*EX170+(1-EXP(-LN(2)/2))/(LN(2)/2)*ER171*EU171*VLOOKUP('Données projet'!$B$15,Paramètres!$A$1:$I$89,3,0)*0.475*44/12</f>
        <v>9.2253617229046257E-21</v>
      </c>
      <c r="EY171" s="22">
        <f t="shared" si="181"/>
        <v>0.67267906611527528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108.5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-1.7053025658242404E-13</v>
      </c>
      <c r="FF171" s="17">
        <f>FE171*VLOOKUP('Données projet'!$B$16,Paramètres!$A$1:$I$89,3,0)*VLOOKUP('Données projet'!$B$16,Paramètres!$A$1:$I$89,5,0)</f>
        <v>-9.7543306765146564E-14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242.10913976205194</v>
      </c>
      <c r="FK171" s="59">
        <f t="shared" si="156"/>
        <v>198.24795425321133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0.23617798178353097</v>
      </c>
      <c r="FS171" s="21">
        <f>EXP(-LN(2)/2)*FS170+(1-EXP(-LN(2)/2))/(LN(2)/2)*FM171*FP171*VLOOKUP('Données projet'!$B$16,Paramètres!$A$1:$I$89,3,0)*0.475*44/12</f>
        <v>2.2400095547554911E-20</v>
      </c>
      <c r="FT171" s="22">
        <f t="shared" si="184"/>
        <v>0.23617798178353097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108.5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108.5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82.651139999999899</v>
      </c>
      <c r="D172" s="11">
        <f t="shared" si="140"/>
        <v>22.784166574317624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447.637617385699</v>
      </c>
      <c r="H172" s="67">
        <f t="shared" si="110"/>
        <v>581.46649228360297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108.5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4.6111381379887463E-14</v>
      </c>
      <c r="P172" s="13">
        <f t="shared" si="141"/>
        <v>7.5804141040779151E-13</v>
      </c>
      <c r="Q172" s="20">
        <f t="shared" si="162"/>
        <v>1.4005661123635408E-12</v>
      </c>
      <c r="R172" s="59">
        <f t="shared" si="109"/>
        <v>434.50000000000142</v>
      </c>
      <c r="S172" s="59">
        <f ca="1">AVERAGE(OFFSET($R$3,0,0,'Données projet'!$E$9+1,1))-AVERAGE(OFFSET($H$3,0,0,'Données projet'!$E$9+1,1))</f>
        <v>273.89826011924487</v>
      </c>
      <c r="T172" s="59">
        <f t="shared" si="142"/>
        <v>332.17519939974227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0.18030917223900952</v>
      </c>
      <c r="AB172" s="21">
        <f>EXP(-LN(2)/2)*AB171+(1-EXP(-LN(2)/2))/(LN(2)/2)*V172*Y172*VLOOKUP('Données projet'!$B$9,Paramètres!$A$1:$I$89,3,0)*0.475*44/12</f>
        <v>1.3143881512776844E-20</v>
      </c>
      <c r="AC172" s="22">
        <f t="shared" si="163"/>
        <v>0.18030917223900952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108.5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-5.3205440053716299E-14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293.42903587188346</v>
      </c>
      <c r="AO172" s="59">
        <f t="shared" si="144"/>
        <v>267.80827667062124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0.19982989241994636</v>
      </c>
      <c r="AV172" s="21">
        <f>EXP(-LN(2)/25)*AV171+(1-EXP(-LN(2)/25))/(LN(2)/25)*Calculateur!AQ172*Calculateur!AS172*VLOOKUP('Données projet'!$B$10,Paramètres!$A$1:$I$89,3,0)*0.475*44/12</f>
        <v>0.16651182713653348</v>
      </c>
      <c r="AW172" s="21">
        <f>EXP(-LN(2)/2)*AW171+(1-EXP(-LN(2)/2))/(LN(2)/2)*AQ172*AT172*VLOOKUP('Données projet'!$B$10,Paramètres!$A$1:$I$89,3,0)*0.475*44/12</f>
        <v>1.1777821460083557E-20</v>
      </c>
      <c r="AX172" s="21">
        <f t="shared" si="166"/>
        <v>0.36634171955647987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108.5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-1.0286385077051818E-13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324.41828402031939</v>
      </c>
      <c r="BJ172" s="59">
        <f t="shared" si="146"/>
        <v>233.01060088065992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6.5836393212261479E-2</v>
      </c>
      <c r="BR172" s="21">
        <f>EXP(-LN(2)/2)*BR171+(1-EXP(-LN(2)/2))/(LN(2)/2)*BL172*BO172*VLOOKUP('Données projet'!$B$11,Paramètres!$A$1:$I$89,3,0)*0.475*44/12</f>
        <v>7.4141299365300576E-21</v>
      </c>
      <c r="BS172" s="22">
        <f t="shared" si="169"/>
        <v>6.5836393212261479E-2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108.5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279.00060755204919</v>
      </c>
      <c r="CE172" s="59">
        <f t="shared" si="148"/>
        <v>333.91128554211014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0.46543860860736108</v>
      </c>
      <c r="CL172" s="21">
        <f>EXP(-LN(2)/25)*CL171+(1-EXP(-LN(2)/25))/(LN(2)/25)*Calculateur!CG172*Calculateur!CI172*VLOOKUP('Données projet'!$B$12,Paramètres!$A$1:$I$89,3,0)*0.475*44/12</f>
        <v>0.58992603881601047</v>
      </c>
      <c r="CM172" s="21">
        <f>EXP(-LN(2)/2)*CM171+(1-EXP(-LN(2)/2))/(LN(2)/2)*CG172*CJ172*VLOOKUP('Données projet'!$B$12,Paramètres!$A$1:$I$89,3,0)*0.475*44/12</f>
        <v>2.5819090394458818E-20</v>
      </c>
      <c r="CN172" s="22">
        <f t="shared" si="172"/>
        <v>1.0553646474233715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108.5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-6.7984728957526396E-14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380.01315081072897</v>
      </c>
      <c r="CZ172" s="59">
        <f t="shared" si="150"/>
        <v>404.90871625409181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0.2230226666243609</v>
      </c>
      <c r="DG172" s="21">
        <f>EXP(-LN(2)/25)*DG171+(1-EXP(-LN(2)/25))/(LN(2)/25)*Calculateur!DB172*Calculateur!DD172*VLOOKUP('Données projet'!$B$13,Paramètres!$A$1:$I$89,3,0)*0.475*44/12</f>
        <v>0.45233678183150927</v>
      </c>
      <c r="DH172" s="21">
        <f>EXP(-LN(2)/2)*DH171+(1-EXP(-LN(2)/2))/(LN(2)/2)*DB172*DE172*VLOOKUP('Données projet'!$B$13,Paramètres!$A$1:$I$89,3,0)*0.475*44/12</f>
        <v>3.629992398740519E-20</v>
      </c>
      <c r="DI172" s="22">
        <f t="shared" si="175"/>
        <v>0.67535944845587015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108.5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-5.6843418860808015E-14</v>
      </c>
      <c r="DP172" s="17">
        <f>DO172*VLOOKUP('Données projet'!$B$14,Paramètres!$A$1:$I$89,3,0)*VLOOKUP('Données projet'!$B$14,Paramètres!$A$1:$I$89,5,0)</f>
        <v>-5.1431925385259088E-14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320.81451813551064</v>
      </c>
      <c r="DU172" s="59">
        <f t="shared" si="152"/>
        <v>522.80818268773976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0.1170160838630737</v>
      </c>
      <c r="EB172" s="21">
        <f>EXP(-LN(2)/25)*EB171+(1-EXP(-LN(2)/25))/(LN(2)/25)*Calculateur!DW172*Calculateur!DY172*VLOOKUP('Données projet'!$B$14,Paramètres!$A$1:$I$89,3,0)*0.475*44/12</f>
        <v>0.22099846096980552</v>
      </c>
      <c r="EC172" s="21">
        <f>EXP(-LN(2)/2)*EC171+(1-EXP(-LN(2)/2))/(LN(2)/2)*DW172*DZ172*VLOOKUP('Données projet'!$B$14,Paramètres!$A$1:$I$89,3,0)*0.475*44/12</f>
        <v>7.1739966034968577E-21</v>
      </c>
      <c r="ED172" s="22">
        <f t="shared" si="178"/>
        <v>0.33801454483287924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108.5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228.3393311631487</v>
      </c>
      <c r="EP172" s="59">
        <f t="shared" si="154"/>
        <v>266.26050497804033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0.39603246809795389</v>
      </c>
      <c r="EW172" s="21">
        <f>EXP(-LN(2)/25)*EW171+(1-EXP(-LN(2)/25))/(LN(2)/25)*Calculateur!ER172*Calculateur!ET172*VLOOKUP('Données projet'!$B$15,Paramètres!$A$1:$I$89,3,0)*0.475*44/12</f>
        <v>0.26137700350392118</v>
      </c>
      <c r="EX172" s="21">
        <f>EXP(-LN(2)/2)*EX171+(1-EXP(-LN(2)/2))/(LN(2)/2)*ER172*EU172*VLOOKUP('Données projet'!$B$15,Paramètres!$A$1:$I$89,3,0)*0.475*44/12</f>
        <v>6.5233158331646723E-21</v>
      </c>
      <c r="EY172" s="22">
        <f t="shared" si="181"/>
        <v>0.65740947160187502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108.5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-1.7053025658242404E-13</v>
      </c>
      <c r="FF172" s="17">
        <f>FE172*VLOOKUP('Données projet'!$B$16,Paramètres!$A$1:$I$89,3,0)*VLOOKUP('Données projet'!$B$16,Paramètres!$A$1:$I$89,5,0)</f>
        <v>-9.7543306765146564E-14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242.10913976205194</v>
      </c>
      <c r="FK172" s="59">
        <f t="shared" si="156"/>
        <v>198.24795425321133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0.22971968245160004</v>
      </c>
      <c r="FS172" s="21">
        <f>EXP(-LN(2)/2)*FS171+(1-EXP(-LN(2)/2))/(LN(2)/2)*FM172*FP172*VLOOKUP('Données projet'!$B$16,Paramètres!$A$1:$I$89,3,0)*0.475*44/12</f>
        <v>1.5839259460902668E-20</v>
      </c>
      <c r="FT172" s="22">
        <f t="shared" si="184"/>
        <v>0.22971968245160004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108.5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108.5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83.140199999999894</v>
      </c>
      <c r="D173" s="11">
        <f t="shared" si="140"/>
        <v>22.903250430773564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450.21956147802075</v>
      </c>
      <c r="H173" s="67">
        <f t="shared" si="110"/>
        <v>582.52567616693045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108.5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4.6111381379887463E-14</v>
      </c>
      <c r="P173" s="13">
        <f t="shared" si="141"/>
        <v>7.5804141040779151E-13</v>
      </c>
      <c r="Q173" s="20">
        <f t="shared" si="162"/>
        <v>1.4005661123635408E-12</v>
      </c>
      <c r="R173" s="59">
        <f t="shared" si="109"/>
        <v>434.50000000000142</v>
      </c>
      <c r="S173" s="59">
        <f ca="1">AVERAGE(OFFSET($R$3,0,0,'Données projet'!$E$9+1,1))-AVERAGE(OFFSET($H$3,0,0,'Données projet'!$E$9+1,1))</f>
        <v>273.89826011924487</v>
      </c>
      <c r="T173" s="59">
        <f t="shared" si="142"/>
        <v>332.17519939974227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0.17537860844208655</v>
      </c>
      <c r="AB173" s="21">
        <f>EXP(-LN(2)/2)*AB172+(1-EXP(-LN(2)/2))/(LN(2)/2)*V173*Y173*VLOOKUP('Données projet'!$B$9,Paramètres!$A$1:$I$89,3,0)*0.475*44/12</f>
        <v>9.2941277487970027E-21</v>
      </c>
      <c r="AC173" s="22">
        <f t="shared" si="163"/>
        <v>0.17537860844208655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108.5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-5.3205440053716299E-14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293.42903587188346</v>
      </c>
      <c r="AO173" s="59">
        <f t="shared" si="144"/>
        <v>267.80827667062124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0.19591135011379052</v>
      </c>
      <c r="AV173" s="21">
        <f>EXP(-LN(2)/25)*AV172+(1-EXP(-LN(2)/25))/(LN(2)/25)*Calculateur!AQ173*Calculateur!AS173*VLOOKUP('Données projet'!$B$10,Paramètres!$A$1:$I$89,3,0)*0.475*44/12</f>
        <v>0.16195855246700855</v>
      </c>
      <c r="AW173" s="21">
        <f>EXP(-LN(2)/2)*AW172+(1-EXP(-LN(2)/2))/(LN(2)/2)*AQ173*AT173*VLOOKUP('Données projet'!$B$10,Paramètres!$A$1:$I$89,3,0)*0.475*44/12</f>
        <v>8.3281774220295273E-21</v>
      </c>
      <c r="AX173" s="21">
        <f t="shared" si="166"/>
        <v>0.35786990258079909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108.5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-1.0286385077051818E-13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324.41828402031939</v>
      </c>
      <c r="BJ173" s="59">
        <f t="shared" si="146"/>
        <v>233.01060088065992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6.4036093577686748E-2</v>
      </c>
      <c r="BR173" s="21">
        <f>EXP(-LN(2)/2)*BR172+(1-EXP(-LN(2)/2))/(LN(2)/2)*BL173*BO173*VLOOKUP('Données projet'!$B$11,Paramètres!$A$1:$I$89,3,0)*0.475*44/12</f>
        <v>5.242581554718591E-21</v>
      </c>
      <c r="BS173" s="22">
        <f t="shared" si="169"/>
        <v>6.4036093577686748E-2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108.5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279.00060755204919</v>
      </c>
      <c r="CE173" s="59">
        <f t="shared" si="148"/>
        <v>333.91128554211014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0.45631164138209024</v>
      </c>
      <c r="CL173" s="21">
        <f>EXP(-LN(2)/25)*CL172+(1-EXP(-LN(2)/25))/(LN(2)/25)*Calculateur!CG173*Calculateur!CI173*VLOOKUP('Données projet'!$B$12,Paramètres!$A$1:$I$89,3,0)*0.475*44/12</f>
        <v>0.57379448026172453</v>
      </c>
      <c r="CM173" s="21">
        <f>EXP(-LN(2)/2)*CM172+(1-EXP(-LN(2)/2))/(LN(2)/2)*CG173*CJ173*VLOOKUP('Données projet'!$B$12,Paramètres!$A$1:$I$89,3,0)*0.475*44/12</f>
        <v>1.8256853901990282E-20</v>
      </c>
      <c r="CN173" s="22">
        <f t="shared" si="172"/>
        <v>1.0301061216438148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108.5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-6.7984728957526396E-14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380.01315081072897</v>
      </c>
      <c r="CZ173" s="59">
        <f t="shared" si="150"/>
        <v>404.90871625409181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0.21864932816225194</v>
      </c>
      <c r="DG173" s="21">
        <f>EXP(-LN(2)/25)*DG172+(1-EXP(-LN(2)/25))/(LN(2)/25)*Calculateur!DB173*Calculateur!DD173*VLOOKUP('Données projet'!$B$13,Paramètres!$A$1:$I$89,3,0)*0.475*44/12</f>
        <v>0.4399676087449691</v>
      </c>
      <c r="DH173" s="21">
        <f>EXP(-LN(2)/2)*DH172+(1-EXP(-LN(2)/2))/(LN(2)/2)*DB173*DE173*VLOOKUP('Données projet'!$B$13,Paramètres!$A$1:$I$89,3,0)*0.475*44/12</f>
        <v>2.566792240805043E-20</v>
      </c>
      <c r="DI173" s="22">
        <f t="shared" si="175"/>
        <v>0.65861693690722101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108.5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-5.6843418860808015E-14</v>
      </c>
      <c r="DP173" s="17">
        <f>DO173*VLOOKUP('Données projet'!$B$14,Paramètres!$A$1:$I$89,3,0)*VLOOKUP('Données projet'!$B$14,Paramètres!$A$1:$I$89,5,0)</f>
        <v>-5.1431925385259088E-14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320.81451813551064</v>
      </c>
      <c r="DU173" s="59">
        <f t="shared" si="152"/>
        <v>522.80818268773976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0.11472146983128251</v>
      </c>
      <c r="EB173" s="21">
        <f>EXP(-LN(2)/25)*EB172+(1-EXP(-LN(2)/25))/(LN(2)/25)*Calculateur!DW173*Calculateur!DY173*VLOOKUP('Données projet'!$B$14,Paramètres!$A$1:$I$89,3,0)*0.475*44/12</f>
        <v>0.21495524643278222</v>
      </c>
      <c r="EC173" s="21">
        <f>EXP(-LN(2)/2)*EC172+(1-EXP(-LN(2)/2))/(LN(2)/2)*DW173*DZ173*VLOOKUP('Données projet'!$B$14,Paramètres!$A$1:$I$89,3,0)*0.475*44/12</f>
        <v>5.0727816465418878E-21</v>
      </c>
      <c r="ED173" s="22">
        <f t="shared" si="178"/>
        <v>0.3296767162640647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108.5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228.3393311631487</v>
      </c>
      <c r="EP173" s="59">
        <f t="shared" si="154"/>
        <v>266.26050497804033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0.38826651295450687</v>
      </c>
      <c r="EW173" s="21">
        <f>EXP(-LN(2)/25)*EW172+(1-EXP(-LN(2)/25))/(LN(2)/25)*Calculateur!ER173*Calculateur!ET173*VLOOKUP('Données projet'!$B$15,Paramètres!$A$1:$I$89,3,0)*0.475*44/12</f>
        <v>0.25422963559788725</v>
      </c>
      <c r="EX173" s="21">
        <f>EXP(-LN(2)/2)*EX172+(1-EXP(-LN(2)/2))/(LN(2)/2)*ER173*EU173*VLOOKUP('Données projet'!$B$15,Paramètres!$A$1:$I$89,3,0)*0.475*44/12</f>
        <v>4.6126808614523128E-21</v>
      </c>
      <c r="EY173" s="22">
        <f t="shared" si="181"/>
        <v>0.64249614855239412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108.5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-1.7053025658242404E-13</v>
      </c>
      <c r="FF173" s="17">
        <f>FE173*VLOOKUP('Données projet'!$B$16,Paramètres!$A$1:$I$89,3,0)*VLOOKUP('Données projet'!$B$16,Paramètres!$A$1:$I$89,5,0)</f>
        <v>-9.7543306765146564E-14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242.10913976205194</v>
      </c>
      <c r="FK173" s="59">
        <f t="shared" si="156"/>
        <v>198.24795425321133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0.22343798565452797</v>
      </c>
      <c r="FS173" s="21">
        <f>EXP(-LN(2)/2)*FS172+(1-EXP(-LN(2)/2))/(LN(2)/2)*FM173*FP173*VLOOKUP('Données projet'!$B$16,Paramètres!$A$1:$I$89,3,0)*0.475*44/12</f>
        <v>1.1200047773777455E-20</v>
      </c>
      <c r="FT173" s="22">
        <f t="shared" si="184"/>
        <v>0.22343798565452797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108.5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108.5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83.629259999999888</v>
      </c>
      <c r="D174" s="11">
        <f t="shared" si="140"/>
        <v>23.02225277722345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452.80115951031667</v>
      </c>
      <c r="H174" s="67">
        <f t="shared" si="110"/>
        <v>583.58471808699733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108.5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4.6111381379887463E-14</v>
      </c>
      <c r="P174" s="13">
        <f t="shared" si="141"/>
        <v>7.5804141040779151E-13</v>
      </c>
      <c r="Q174" s="20">
        <f t="shared" si="162"/>
        <v>1.4005661123635408E-12</v>
      </c>
      <c r="R174" s="59">
        <f t="shared" si="109"/>
        <v>434.50000000000142</v>
      </c>
      <c r="S174" s="59">
        <f ca="1">AVERAGE(OFFSET($R$3,0,0,'Données projet'!$E$9+1,1))-AVERAGE(OFFSET($H$3,0,0,'Données projet'!$E$9+1,1))</f>
        <v>273.89826011924487</v>
      </c>
      <c r="T174" s="59">
        <f t="shared" si="142"/>
        <v>332.17519939974227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0.17058287117147752</v>
      </c>
      <c r="AB174" s="21">
        <f>EXP(-LN(2)/2)*AB173+(1-EXP(-LN(2)/2))/(LN(2)/2)*V174*Y174*VLOOKUP('Données projet'!$B$9,Paramètres!$A$1:$I$89,3,0)*0.475*44/12</f>
        <v>6.5719407563884218E-21</v>
      </c>
      <c r="AC174" s="22">
        <f t="shared" si="163"/>
        <v>0.17058287117147752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108.5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-5.3205440053716299E-14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293.42903587188346</v>
      </c>
      <c r="AO174" s="59">
        <f t="shared" si="144"/>
        <v>267.80827667062124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0.1920696480321836</v>
      </c>
      <c r="AV174" s="21">
        <f>EXP(-LN(2)/25)*AV173+(1-EXP(-LN(2)/25))/(LN(2)/25)*Calculateur!AQ174*Calculateur!AS174*VLOOKUP('Données projet'!$B$10,Paramètres!$A$1:$I$89,3,0)*0.475*44/12</f>
        <v>0.1575297873327681</v>
      </c>
      <c r="AW174" s="21">
        <f>EXP(-LN(2)/2)*AW173+(1-EXP(-LN(2)/2))/(LN(2)/2)*AQ174*AT174*VLOOKUP('Données projet'!$B$10,Paramètres!$A$1:$I$89,3,0)*0.475*44/12</f>
        <v>5.8889107300417785E-21</v>
      </c>
      <c r="AX174" s="21">
        <f t="shared" si="166"/>
        <v>0.34959943536495169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108.5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-1.0286385077051818E-13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324.41828402031939</v>
      </c>
      <c r="BJ174" s="59">
        <f t="shared" si="146"/>
        <v>233.01060088065992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6.2285023231293098E-2</v>
      </c>
      <c r="BR174" s="21">
        <f>EXP(-LN(2)/2)*BR173+(1-EXP(-LN(2)/2))/(LN(2)/2)*BL174*BO174*VLOOKUP('Données projet'!$B$11,Paramètres!$A$1:$I$89,3,0)*0.475*44/12</f>
        <v>3.7070649682650288E-21</v>
      </c>
      <c r="BS174" s="22">
        <f t="shared" si="169"/>
        <v>6.2285023231293098E-2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108.5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279.00060755204919</v>
      </c>
      <c r="CE174" s="59">
        <f t="shared" si="148"/>
        <v>333.91128554211014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0.44736364841720661</v>
      </c>
      <c r="CL174" s="21">
        <f>EXP(-LN(2)/25)*CL173+(1-EXP(-LN(2)/25))/(LN(2)/25)*Calculateur!CG174*Calculateur!CI174*VLOOKUP('Données projet'!$B$12,Paramètres!$A$1:$I$89,3,0)*0.475*44/12</f>
        <v>0.55810404002442737</v>
      </c>
      <c r="CM174" s="21">
        <f>EXP(-LN(2)/2)*CM173+(1-EXP(-LN(2)/2))/(LN(2)/2)*CG174*CJ174*VLOOKUP('Données projet'!$B$12,Paramètres!$A$1:$I$89,3,0)*0.475*44/12</f>
        <v>1.2909545197229409E-20</v>
      </c>
      <c r="CN174" s="22">
        <f t="shared" si="172"/>
        <v>1.005467688441634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108.5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-6.7984728957526396E-14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380.01315081072897</v>
      </c>
      <c r="CZ174" s="59">
        <f t="shared" si="150"/>
        <v>404.90871625409181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0.21436174819991186</v>
      </c>
      <c r="DG174" s="21">
        <f>EXP(-LN(2)/25)*DG173+(1-EXP(-LN(2)/25))/(LN(2)/25)*Calculateur!DB174*Calculateur!DD174*VLOOKUP('Données projet'!$B$13,Paramètres!$A$1:$I$89,3,0)*0.475*44/12</f>
        <v>0.42793667134694691</v>
      </c>
      <c r="DH174" s="21">
        <f>EXP(-LN(2)/2)*DH173+(1-EXP(-LN(2)/2))/(LN(2)/2)*DB174*DE174*VLOOKUP('Données projet'!$B$13,Paramètres!$A$1:$I$89,3,0)*0.475*44/12</f>
        <v>1.8149961993702595E-20</v>
      </c>
      <c r="DI174" s="22">
        <f t="shared" si="175"/>
        <v>0.64229841954685873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108.5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-5.6843418860808015E-14</v>
      </c>
      <c r="DP174" s="17">
        <f>DO174*VLOOKUP('Données projet'!$B$14,Paramètres!$A$1:$I$89,3,0)*VLOOKUP('Données projet'!$B$14,Paramètres!$A$1:$I$89,5,0)</f>
        <v>-5.1431925385259088E-14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320.81451813551064</v>
      </c>
      <c r="DU174" s="59">
        <f t="shared" si="152"/>
        <v>522.80818268773976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0.11247185178107838</v>
      </c>
      <c r="EB174" s="21">
        <f>EXP(-LN(2)/25)*EB173+(1-EXP(-LN(2)/25))/(LN(2)/25)*Calculateur!DW174*Calculateur!DY174*VLOOKUP('Données projet'!$B$14,Paramètres!$A$1:$I$89,3,0)*0.475*44/12</f>
        <v>0.20907728391507266</v>
      </c>
      <c r="EC174" s="21">
        <f>EXP(-LN(2)/2)*EC173+(1-EXP(-LN(2)/2))/(LN(2)/2)*DW174*DZ174*VLOOKUP('Données projet'!$B$14,Paramètres!$A$1:$I$89,3,0)*0.475*44/12</f>
        <v>3.5869983017484289E-21</v>
      </c>
      <c r="ED174" s="22">
        <f t="shared" si="178"/>
        <v>0.32154913569615107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108.5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228.3393311631487</v>
      </c>
      <c r="EP174" s="59">
        <f t="shared" si="154"/>
        <v>266.26050497804033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0.38065284345465794</v>
      </c>
      <c r="EW174" s="21">
        <f>EXP(-LN(2)/25)*EW173+(1-EXP(-LN(2)/25))/(LN(2)/25)*Calculateur!ER174*Calculateur!ET174*VLOOKUP('Données projet'!$B$15,Paramètres!$A$1:$I$89,3,0)*0.475*44/12</f>
        <v>0.24727771284310754</v>
      </c>
      <c r="EX174" s="21">
        <f>EXP(-LN(2)/2)*EX173+(1-EXP(-LN(2)/2))/(LN(2)/2)*ER174*EU174*VLOOKUP('Données projet'!$B$15,Paramètres!$A$1:$I$89,3,0)*0.475*44/12</f>
        <v>3.2616579165823361E-21</v>
      </c>
      <c r="EY174" s="22">
        <f t="shared" si="181"/>
        <v>0.62793055629776551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108.5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-1.7053025658242404E-13</v>
      </c>
      <c r="FF174" s="17">
        <f>FE174*VLOOKUP('Données projet'!$B$16,Paramètres!$A$1:$I$89,3,0)*VLOOKUP('Données projet'!$B$16,Paramètres!$A$1:$I$89,5,0)</f>
        <v>-9.7543306765146564E-14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242.10913976205194</v>
      </c>
      <c r="FK174" s="59">
        <f t="shared" si="156"/>
        <v>198.24795425321133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0.21732806218671191</v>
      </c>
      <c r="FS174" s="21">
        <f>EXP(-LN(2)/2)*FS173+(1-EXP(-LN(2)/2))/(LN(2)/2)*FM174*FP174*VLOOKUP('Données projet'!$B$16,Paramètres!$A$1:$I$89,3,0)*0.475*44/12</f>
        <v>7.9196297304513338E-21</v>
      </c>
      <c r="FT174" s="22">
        <f t="shared" si="184"/>
        <v>0.21732806218671191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108.5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108.5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84.118319999999883</v>
      </c>
      <c r="D175" s="11">
        <f t="shared" si="140"/>
        <v>23.141174145642985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455.38241374115046</v>
      </c>
      <c r="H175" s="67">
        <f t="shared" si="110"/>
        <v>584.64361897032791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108.5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4.6111381379887463E-14</v>
      </c>
      <c r="P175" s="13">
        <f t="shared" si="141"/>
        <v>7.5804141040779151E-13</v>
      </c>
      <c r="Q175" s="20">
        <f t="shared" si="162"/>
        <v>1.4005661123635408E-12</v>
      </c>
      <c r="R175" s="59">
        <f t="shared" si="109"/>
        <v>434.50000000000142</v>
      </c>
      <c r="S175" s="59">
        <f ca="1">AVERAGE(OFFSET($R$3,0,0,'Données projet'!$E$9+1,1))-AVERAGE(OFFSET($H$3,0,0,'Données projet'!$E$9+1,1))</f>
        <v>273.89826011924487</v>
      </c>
      <c r="T175" s="59">
        <f t="shared" si="142"/>
        <v>332.17519939974227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0.16591827358873015</v>
      </c>
      <c r="AB175" s="21">
        <f>EXP(-LN(2)/2)*AB174+(1-EXP(-LN(2)/2))/(LN(2)/2)*V175*Y175*VLOOKUP('Données projet'!$B$9,Paramètres!$A$1:$I$89,3,0)*0.475*44/12</f>
        <v>4.6470638743985014E-21</v>
      </c>
      <c r="AC175" s="22">
        <f t="shared" si="163"/>
        <v>0.16591827358873015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108.5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-5.3205440053716299E-14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293.42903587188346</v>
      </c>
      <c r="AO175" s="59">
        <f t="shared" si="144"/>
        <v>267.80827667062124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0.18830327938519009</v>
      </c>
      <c r="AV175" s="21">
        <f>EXP(-LN(2)/25)*AV174+(1-EXP(-LN(2)/25))/(LN(2)/25)*Calculateur!AQ175*Calculateur!AS175*VLOOKUP('Données projet'!$B$10,Paramètres!$A$1:$I$89,3,0)*0.475*44/12</f>
        <v>0.15322212701402207</v>
      </c>
      <c r="AW175" s="21">
        <f>EXP(-LN(2)/2)*AW174+(1-EXP(-LN(2)/2))/(LN(2)/2)*AQ175*AT175*VLOOKUP('Données projet'!$B$10,Paramètres!$A$1:$I$89,3,0)*0.475*44/12</f>
        <v>4.1640887110147636E-21</v>
      </c>
      <c r="AX175" s="21">
        <f t="shared" si="166"/>
        <v>0.34152540639921214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108.5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-1.0286385077051818E-13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324.41828402031939</v>
      </c>
      <c r="BJ175" s="59">
        <f t="shared" si="146"/>
        <v>233.01060088065992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6.0581835995606369E-2</v>
      </c>
      <c r="BR175" s="21">
        <f>EXP(-LN(2)/2)*BR174+(1-EXP(-LN(2)/2))/(LN(2)/2)*BL175*BO175*VLOOKUP('Données projet'!$B$11,Paramètres!$A$1:$I$89,3,0)*0.475*44/12</f>
        <v>2.6212907773592955E-21</v>
      </c>
      <c r="BS175" s="22">
        <f t="shared" si="169"/>
        <v>6.0581835995606369E-2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108.5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279.00060755204919</v>
      </c>
      <c r="CE175" s="59">
        <f t="shared" si="148"/>
        <v>333.91128554211014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0.43859112013662754</v>
      </c>
      <c r="CL175" s="21">
        <f>EXP(-LN(2)/25)*CL174+(1-EXP(-LN(2)/25))/(LN(2)/25)*Calculateur!CG175*Calculateur!CI175*VLOOKUP('Données projet'!$B$12,Paramètres!$A$1:$I$89,3,0)*0.475*44/12</f>
        <v>0.54284265570054346</v>
      </c>
      <c r="CM175" s="21">
        <f>EXP(-LN(2)/2)*CM174+(1-EXP(-LN(2)/2))/(LN(2)/2)*CG175*CJ175*VLOOKUP('Données projet'!$B$12,Paramètres!$A$1:$I$89,3,0)*0.475*44/12</f>
        <v>9.1284269509951412E-21</v>
      </c>
      <c r="CN175" s="22">
        <f t="shared" si="172"/>
        <v>0.98143377583717095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108.5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-6.7984728957526396E-14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380.01315081072897</v>
      </c>
      <c r="CZ175" s="59">
        <f t="shared" si="150"/>
        <v>404.90871625409181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0.21015824506546771</v>
      </c>
      <c r="DG175" s="21">
        <f>EXP(-LN(2)/25)*DG174+(1-EXP(-LN(2)/25))/(LN(2)/25)*Calculateur!DB175*Calculateur!DD175*VLOOKUP('Données projet'!$B$13,Paramètres!$A$1:$I$89,3,0)*0.475*44/12</f>
        <v>0.41623472056475314</v>
      </c>
      <c r="DH175" s="21">
        <f>EXP(-LN(2)/2)*DH174+(1-EXP(-LN(2)/2))/(LN(2)/2)*DB175*DE175*VLOOKUP('Données projet'!$B$13,Paramètres!$A$1:$I$89,3,0)*0.475*44/12</f>
        <v>1.2833961204025215E-20</v>
      </c>
      <c r="DI175" s="22">
        <f t="shared" si="175"/>
        <v>0.62639296563022084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108.5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-5.6843418860808015E-14</v>
      </c>
      <c r="DP175" s="17">
        <f>DO175*VLOOKUP('Données projet'!$B$14,Paramètres!$A$1:$I$89,3,0)*VLOOKUP('Données projet'!$B$14,Paramètres!$A$1:$I$89,5,0)</f>
        <v>-5.1431925385259088E-14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320.81451813551064</v>
      </c>
      <c r="DU175" s="59">
        <f t="shared" si="152"/>
        <v>522.80818268773976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0.11026634736870723</v>
      </c>
      <c r="EB175" s="21">
        <f>EXP(-LN(2)/25)*EB174+(1-EXP(-LN(2)/25))/(LN(2)/25)*Calculateur!DW175*Calculateur!DY175*VLOOKUP('Données projet'!$B$14,Paramètres!$A$1:$I$89,3,0)*0.475*44/12</f>
        <v>0.20336005459151849</v>
      </c>
      <c r="EC175" s="21">
        <f>EXP(-LN(2)/2)*EC174+(1-EXP(-LN(2)/2))/(LN(2)/2)*DW175*DZ175*VLOOKUP('Données projet'!$B$14,Paramètres!$A$1:$I$89,3,0)*0.475*44/12</f>
        <v>2.5363908232709439E-21</v>
      </c>
      <c r="ED175" s="22">
        <f t="shared" si="178"/>
        <v>0.31362640196022573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108.5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228.3393311631487</v>
      </c>
      <c r="EP175" s="59">
        <f t="shared" si="154"/>
        <v>266.26050497804033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0.37318847336982119</v>
      </c>
      <c r="EW175" s="21">
        <f>EXP(-LN(2)/25)*EW174+(1-EXP(-LN(2)/25))/(LN(2)/25)*Calculateur!ER175*Calculateur!ET175*VLOOKUP('Données projet'!$B$15,Paramètres!$A$1:$I$89,3,0)*0.475*44/12</f>
        <v>0.24051589078164301</v>
      </c>
      <c r="EX175" s="21">
        <f>EXP(-LN(2)/2)*EX174+(1-EXP(-LN(2)/2))/(LN(2)/2)*ER175*EU175*VLOOKUP('Données projet'!$B$15,Paramètres!$A$1:$I$89,3,0)*0.475*44/12</f>
        <v>2.3063404307261564E-21</v>
      </c>
      <c r="EY175" s="22">
        <f t="shared" si="181"/>
        <v>0.61370436415146423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108.5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-1.7053025658242404E-13</v>
      </c>
      <c r="FF175" s="17">
        <f>FE175*VLOOKUP('Données projet'!$B$16,Paramètres!$A$1:$I$89,3,0)*VLOOKUP('Données projet'!$B$16,Paramètres!$A$1:$I$89,5,0)</f>
        <v>-9.7543306765146564E-14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242.10913976205194</v>
      </c>
      <c r="FK175" s="59">
        <f t="shared" si="156"/>
        <v>198.24795425321133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0.2113852148974302</v>
      </c>
      <c r="FS175" s="21">
        <f>EXP(-LN(2)/2)*FS174+(1-EXP(-LN(2)/2))/(LN(2)/2)*FM175*FP175*VLOOKUP('Données projet'!$B$16,Paramètres!$A$1:$I$89,3,0)*0.475*44/12</f>
        <v>5.6000238868887277E-21</v>
      </c>
      <c r="FT175" s="22">
        <f t="shared" si="184"/>
        <v>0.2113852148974302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108.5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108.5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84.607379999999878</v>
      </c>
      <c r="D176" s="11">
        <f t="shared" si="140"/>
        <v>23.260015061464195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457.96332640130362</v>
      </c>
      <c r="H176" s="67">
        <f t="shared" si="110"/>
        <v>585.70237973204985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108.5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4.6111381379887463E-14</v>
      </c>
      <c r="P176" s="13">
        <f t="shared" si="141"/>
        <v>7.5804141040779151E-13</v>
      </c>
      <c r="Q176" s="20">
        <f t="shared" si="162"/>
        <v>1.4005661123635408E-12</v>
      </c>
      <c r="R176" s="59">
        <f t="shared" si="109"/>
        <v>434.50000000000142</v>
      </c>
      <c r="S176" s="59">
        <f ca="1">AVERAGE(OFFSET($R$3,0,0,'Données projet'!$E$9+1,1))-AVERAGE(OFFSET($H$3,0,0,'Données projet'!$E$9+1,1))</f>
        <v>273.89826011924487</v>
      </c>
      <c r="T176" s="59">
        <f t="shared" si="142"/>
        <v>332.17519939974227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0.16138122967218352</v>
      </c>
      <c r="AB176" s="21">
        <f>EXP(-LN(2)/2)*AB175+(1-EXP(-LN(2)/2))/(LN(2)/2)*V176*Y176*VLOOKUP('Données projet'!$B$9,Paramètres!$A$1:$I$89,3,0)*0.475*44/12</f>
        <v>3.2859703781942109E-21</v>
      </c>
      <c r="AC176" s="22">
        <f t="shared" si="163"/>
        <v>0.16138122967218352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108.5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-5.3205440053716299E-14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293.42903587188346</v>
      </c>
      <c r="AO176" s="59">
        <f t="shared" si="144"/>
        <v>267.80827667062124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0.18461076693010608</v>
      </c>
      <c r="AV176" s="21">
        <f>EXP(-LN(2)/25)*AV175+(1-EXP(-LN(2)/25))/(LN(2)/25)*Calculateur!AQ176*Calculateur!AS176*VLOOKUP('Données projet'!$B$10,Paramètres!$A$1:$I$89,3,0)*0.475*44/12</f>
        <v>0.14903225989322216</v>
      </c>
      <c r="AW176" s="21">
        <f>EXP(-LN(2)/2)*AW175+(1-EXP(-LN(2)/2))/(LN(2)/2)*AQ176*AT176*VLOOKUP('Données projet'!$B$10,Paramètres!$A$1:$I$89,3,0)*0.475*44/12</f>
        <v>2.9444553650208892E-21</v>
      </c>
      <c r="AX176" s="21">
        <f t="shared" si="166"/>
        <v>0.33364302682332825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108.5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-1.0286385077051818E-13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324.41828402031939</v>
      </c>
      <c r="BJ176" s="59">
        <f t="shared" si="146"/>
        <v>233.01060088065992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5.892522250444622E-2</v>
      </c>
      <c r="BR176" s="21">
        <f>EXP(-LN(2)/2)*BR175+(1-EXP(-LN(2)/2))/(LN(2)/2)*BL176*BO176*VLOOKUP('Données projet'!$B$11,Paramètres!$A$1:$I$89,3,0)*0.475*44/12</f>
        <v>1.8535324841325144E-21</v>
      </c>
      <c r="BS176" s="22">
        <f t="shared" si="169"/>
        <v>5.892522250444622E-2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108.5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279.00060755204919</v>
      </c>
      <c r="CE176" s="59">
        <f t="shared" si="148"/>
        <v>333.91128554211014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0.42999061578491671</v>
      </c>
      <c r="CL176" s="21">
        <f>EXP(-LN(2)/25)*CL175+(1-EXP(-LN(2)/25))/(LN(2)/25)*Calculateur!CG176*Calculateur!CI176*VLOOKUP('Données projet'!$B$12,Paramètres!$A$1:$I$89,3,0)*0.475*44/12</f>
        <v>0.52799859473355748</v>
      </c>
      <c r="CM176" s="21">
        <f>EXP(-LN(2)/2)*CM175+(1-EXP(-LN(2)/2))/(LN(2)/2)*CG176*CJ176*VLOOKUP('Données projet'!$B$12,Paramètres!$A$1:$I$89,3,0)*0.475*44/12</f>
        <v>6.4547725986147046E-21</v>
      </c>
      <c r="CN176" s="22">
        <f t="shared" si="172"/>
        <v>0.95798921051847419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108.5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-6.7984728957526396E-14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380.01315081072897</v>
      </c>
      <c r="CZ176" s="59">
        <f t="shared" si="150"/>
        <v>404.90871625409181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0.20603717006360628</v>
      </c>
      <c r="DG176" s="21">
        <f>EXP(-LN(2)/25)*DG175+(1-EXP(-LN(2)/25))/(LN(2)/25)*Calculateur!DB176*Calculateur!DD176*VLOOKUP('Données projet'!$B$13,Paramètres!$A$1:$I$89,3,0)*0.475*44/12</f>
        <v>0.40485276024207734</v>
      </c>
      <c r="DH176" s="21">
        <f>EXP(-LN(2)/2)*DH175+(1-EXP(-LN(2)/2))/(LN(2)/2)*DB176*DE176*VLOOKUP('Données projet'!$B$13,Paramètres!$A$1:$I$89,3,0)*0.475*44/12</f>
        <v>9.0749809968512974E-21</v>
      </c>
      <c r="DI176" s="22">
        <f t="shared" si="175"/>
        <v>0.61088993030568361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108.5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-5.6843418860808015E-14</v>
      </c>
      <c r="DP176" s="17">
        <f>DO176*VLOOKUP('Données projet'!$B$14,Paramètres!$A$1:$I$89,3,0)*VLOOKUP('Données projet'!$B$14,Paramètres!$A$1:$I$89,5,0)</f>
        <v>-5.1431925385259088E-14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320.81451813551064</v>
      </c>
      <c r="DU176" s="59">
        <f t="shared" si="152"/>
        <v>522.80818268773976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0.10810409155263781</v>
      </c>
      <c r="EB176" s="21">
        <f>EXP(-LN(2)/25)*EB175+(1-EXP(-LN(2)/25))/(LN(2)/25)*Calculateur!DW176*Calculateur!DY176*VLOOKUP('Données projet'!$B$14,Paramètres!$A$1:$I$89,3,0)*0.475*44/12</f>
        <v>0.19779916320447294</v>
      </c>
      <c r="EC176" s="21">
        <f>EXP(-LN(2)/2)*EC175+(1-EXP(-LN(2)/2))/(LN(2)/2)*DW176*DZ176*VLOOKUP('Données projet'!$B$14,Paramètres!$A$1:$I$89,3,0)*0.475*44/12</f>
        <v>1.7934991508742144E-21</v>
      </c>
      <c r="ED176" s="22">
        <f t="shared" si="178"/>
        <v>0.30590325475711078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108.5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228.3393311631487</v>
      </c>
      <c r="EP176" s="59">
        <f t="shared" si="154"/>
        <v>266.26050497804033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0.36587047502953191</v>
      </c>
      <c r="EW176" s="21">
        <f>EXP(-LN(2)/25)*EW175+(1-EXP(-LN(2)/25))/(LN(2)/25)*Calculateur!ER176*Calculateur!ET176*VLOOKUP('Données projet'!$B$15,Paramètres!$A$1:$I$89,3,0)*0.475*44/12</f>
        <v>0.233938971100038</v>
      </c>
      <c r="EX176" s="21">
        <f>EXP(-LN(2)/2)*EX175+(1-EXP(-LN(2)/2))/(LN(2)/2)*ER176*EU176*VLOOKUP('Données projet'!$B$15,Paramètres!$A$1:$I$89,3,0)*0.475*44/12</f>
        <v>1.6308289582911681E-21</v>
      </c>
      <c r="EY176" s="22">
        <f t="shared" si="181"/>
        <v>0.59980944612956988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108.5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-1.7053025658242404E-13</v>
      </c>
      <c r="FF176" s="17">
        <f>FE176*VLOOKUP('Données projet'!$B$16,Paramètres!$A$1:$I$89,3,0)*VLOOKUP('Données projet'!$B$16,Paramètres!$A$1:$I$89,5,0)</f>
        <v>-9.7543306765146564E-14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242.10913976205194</v>
      </c>
      <c r="FK176" s="59">
        <f t="shared" si="156"/>
        <v>198.24795425321133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0.20560487507979464</v>
      </c>
      <c r="FS176" s="21">
        <f>EXP(-LN(2)/2)*FS175+(1-EXP(-LN(2)/2))/(LN(2)/2)*FM176*FP176*VLOOKUP('Données projet'!$B$16,Paramètres!$A$1:$I$89,3,0)*0.475*44/12</f>
        <v>3.9598148652256669E-21</v>
      </c>
      <c r="FT176" s="22">
        <f t="shared" si="184"/>
        <v>0.20560487507979464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108.5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108.5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85.096439999999873</v>
      </c>
      <c r="D177" s="11">
        <f t="shared" si="140"/>
        <v>23.378776043693296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460.54389969427626</v>
      </c>
      <c r="H177" s="67">
        <f t="shared" si="110"/>
        <v>586.76100127609891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108.5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4.6111381379887463E-14</v>
      </c>
      <c r="P177" s="13">
        <f t="shared" si="141"/>
        <v>7.5804141040779151E-13</v>
      </c>
      <c r="Q177" s="20">
        <f t="shared" si="162"/>
        <v>1.4005661123635408E-12</v>
      </c>
      <c r="R177" s="59">
        <f t="shared" si="109"/>
        <v>434.50000000000142</v>
      </c>
      <c r="S177" s="59">
        <f ca="1">AVERAGE(OFFSET($R$3,0,0,'Données projet'!$E$9+1,1))-AVERAGE(OFFSET($H$3,0,0,'Données projet'!$E$9+1,1))</f>
        <v>273.89826011924487</v>
      </c>
      <c r="T177" s="59">
        <f t="shared" si="142"/>
        <v>332.17519939974227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0.15696825146012763</v>
      </c>
      <c r="AB177" s="21">
        <f>EXP(-LN(2)/2)*AB176+(1-EXP(-LN(2)/2))/(LN(2)/2)*V177*Y177*VLOOKUP('Données projet'!$B$9,Paramètres!$A$1:$I$89,3,0)*0.475*44/12</f>
        <v>2.3235319371992507E-21</v>
      </c>
      <c r="AC177" s="22">
        <f t="shared" si="163"/>
        <v>0.15696825146012763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108.5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-5.3205440053716299E-14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293.42903587188346</v>
      </c>
      <c r="AO177" s="59">
        <f t="shared" si="144"/>
        <v>267.80827667062124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0.18099066239205605</v>
      </c>
      <c r="AV177" s="21">
        <f>EXP(-LN(2)/25)*AV176+(1-EXP(-LN(2)/25))/(LN(2)/25)*Calculateur!AQ177*Calculateur!AS177*VLOOKUP('Données projet'!$B$10,Paramètres!$A$1:$I$89,3,0)*0.475*44/12</f>
        <v>0.14495696490917606</v>
      </c>
      <c r="AW177" s="21">
        <f>EXP(-LN(2)/2)*AW176+(1-EXP(-LN(2)/2))/(LN(2)/2)*AQ177*AT177*VLOOKUP('Données projet'!$B$10,Paramètres!$A$1:$I$89,3,0)*0.475*44/12</f>
        <v>2.0820443555073818E-21</v>
      </c>
      <c r="AX177" s="21">
        <f t="shared" si="166"/>
        <v>0.32594762730123211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108.5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-1.0286385077051818E-13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324.41828402031939</v>
      </c>
      <c r="BJ177" s="59">
        <f t="shared" si="146"/>
        <v>233.01060088065992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5.731390919631936E-2</v>
      </c>
      <c r="BR177" s="21">
        <f>EXP(-LN(2)/2)*BR176+(1-EXP(-LN(2)/2))/(LN(2)/2)*BL177*BO177*VLOOKUP('Données projet'!$B$11,Paramètres!$A$1:$I$89,3,0)*0.475*44/12</f>
        <v>1.3106453886796478E-21</v>
      </c>
      <c r="BS177" s="22">
        <f t="shared" si="169"/>
        <v>5.731390919631936E-2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108.5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279.00060755204919</v>
      </c>
      <c r="CE177" s="59">
        <f t="shared" si="148"/>
        <v>333.91128554211014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0.42155876207775328</v>
      </c>
      <c r="CL177" s="21">
        <f>EXP(-LN(2)/25)*CL176+(1-EXP(-LN(2)/25))/(LN(2)/25)*Calculateur!CG177*Calculateur!CI177*VLOOKUP('Données projet'!$B$12,Paramètres!$A$1:$I$89,3,0)*0.475*44/12</f>
        <v>0.51356044539432899</v>
      </c>
      <c r="CM177" s="21">
        <f>EXP(-LN(2)/2)*CM176+(1-EXP(-LN(2)/2))/(LN(2)/2)*CG177*CJ177*VLOOKUP('Données projet'!$B$12,Paramètres!$A$1:$I$89,3,0)*0.475*44/12</f>
        <v>4.5642134754975706E-21</v>
      </c>
      <c r="CN177" s="22">
        <f t="shared" si="172"/>
        <v>0.93511920747208221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108.5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-6.7984728957526396E-14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380.01315081072897</v>
      </c>
      <c r="CZ177" s="59">
        <f t="shared" si="150"/>
        <v>404.90871625409181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0.20199690682892379</v>
      </c>
      <c r="DG177" s="21">
        <f>EXP(-LN(2)/25)*DG176+(1-EXP(-LN(2)/25))/(LN(2)/25)*Calculateur!DB177*Calculateur!DD177*VLOOKUP('Données projet'!$B$13,Paramètres!$A$1:$I$89,3,0)*0.475*44/12</f>
        <v>0.39378204022297636</v>
      </c>
      <c r="DH177" s="21">
        <f>EXP(-LN(2)/2)*DH176+(1-EXP(-LN(2)/2))/(LN(2)/2)*DB177*DE177*VLOOKUP('Données projet'!$B$13,Paramètres!$A$1:$I$89,3,0)*0.475*44/12</f>
        <v>6.4169806020126074E-21</v>
      </c>
      <c r="DI177" s="22">
        <f t="shared" si="175"/>
        <v>0.59577894705190015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108.5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-5.6843418860808015E-14</v>
      </c>
      <c r="DP177" s="17">
        <f>DO177*VLOOKUP('Données projet'!$B$14,Paramètres!$A$1:$I$89,3,0)*VLOOKUP('Données projet'!$B$14,Paramètres!$A$1:$I$89,5,0)</f>
        <v>-5.1431925385259088E-14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320.81451813551064</v>
      </c>
      <c r="DU177" s="59">
        <f t="shared" si="152"/>
        <v>522.80818268773976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0.10598423625427569</v>
      </c>
      <c r="EB177" s="21">
        <f>EXP(-LN(2)/25)*EB176+(1-EXP(-LN(2)/25))/(LN(2)/25)*Calculateur!DW177*Calculateur!DY177*VLOOKUP('Données projet'!$B$14,Paramètres!$A$1:$I$89,3,0)*0.475*44/12</f>
        <v>0.19239033468484071</v>
      </c>
      <c r="EC177" s="21">
        <f>EXP(-LN(2)/2)*EC176+(1-EXP(-LN(2)/2))/(LN(2)/2)*DW177*DZ177*VLOOKUP('Données projet'!$B$14,Paramètres!$A$1:$I$89,3,0)*0.475*44/12</f>
        <v>1.2681954116354719E-21</v>
      </c>
      <c r="ED177" s="22">
        <f t="shared" si="178"/>
        <v>0.2983745709391164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108.5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228.3393311631487</v>
      </c>
      <c r="EP177" s="59">
        <f t="shared" si="154"/>
        <v>266.26050497804033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0.35869597817315746</v>
      </c>
      <c r="EW177" s="21">
        <f>EXP(-LN(2)/25)*EW176+(1-EXP(-LN(2)/25))/(LN(2)/25)*Calculateur!ER177*Calculateur!ET177*VLOOKUP('Données projet'!$B$15,Paramètres!$A$1:$I$89,3,0)*0.475*44/12</f>
        <v>0.22754189763299165</v>
      </c>
      <c r="EX177" s="21">
        <f>EXP(-LN(2)/2)*EX176+(1-EXP(-LN(2)/2))/(LN(2)/2)*ER177*EU177*VLOOKUP('Données projet'!$B$15,Paramètres!$A$1:$I$89,3,0)*0.475*44/12</f>
        <v>1.1531702153630782E-21</v>
      </c>
      <c r="EY177" s="22">
        <f t="shared" si="181"/>
        <v>0.58623787580614906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108.5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-1.7053025658242404E-13</v>
      </c>
      <c r="FF177" s="17">
        <f>FE177*VLOOKUP('Données projet'!$B$16,Paramètres!$A$1:$I$89,3,0)*VLOOKUP('Données projet'!$B$16,Paramètres!$A$1:$I$89,5,0)</f>
        <v>-9.7543306765146564E-14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242.10913976205194</v>
      </c>
      <c r="FK177" s="59">
        <f t="shared" si="156"/>
        <v>198.24795425321133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0.19998259895844719</v>
      </c>
      <c r="FS177" s="21">
        <f>EXP(-LN(2)/2)*FS176+(1-EXP(-LN(2)/2))/(LN(2)/2)*FM177*FP177*VLOOKUP('Données projet'!$B$16,Paramètres!$A$1:$I$89,3,0)*0.475*44/12</f>
        <v>2.8000119434443639E-21</v>
      </c>
      <c r="FT177" s="22">
        <f t="shared" si="184"/>
        <v>0.19998259895844719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108.5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108.5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85.585499999999868</v>
      </c>
      <c r="D178" s="11">
        <f t="shared" si="140"/>
        <v>23.497457605025733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463.12413579677542</v>
      </c>
      <c r="H178" s="67">
        <f t="shared" si="110"/>
        <v>587.8194844954196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108.5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4.6111381379887463E-14</v>
      </c>
      <c r="P178" s="13">
        <f t="shared" si="141"/>
        <v>7.5804141040779151E-13</v>
      </c>
      <c r="Q178" s="20">
        <f t="shared" si="162"/>
        <v>1.4005661123635408E-12</v>
      </c>
      <c r="R178" s="59">
        <f t="shared" si="109"/>
        <v>434.50000000000142</v>
      </c>
      <c r="S178" s="59">
        <f ca="1">AVERAGE(OFFSET($R$3,0,0,'Données projet'!$E$9+1,1))-AVERAGE(OFFSET($H$3,0,0,'Données projet'!$E$9+1,1))</f>
        <v>273.89826011924487</v>
      </c>
      <c r="T178" s="59">
        <f t="shared" si="142"/>
        <v>332.17519939974227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0.15267594636934886</v>
      </c>
      <c r="AB178" s="21">
        <f>EXP(-LN(2)/2)*AB177+(1-EXP(-LN(2)/2))/(LN(2)/2)*V178*Y178*VLOOKUP('Données projet'!$B$9,Paramètres!$A$1:$I$89,3,0)*0.475*44/12</f>
        <v>1.6429851890971055E-21</v>
      </c>
      <c r="AC178" s="22">
        <f t="shared" si="163"/>
        <v>0.15267594636934886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108.5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-5.3205440053716299E-14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293.42903587188346</v>
      </c>
      <c r="AO178" s="59">
        <f t="shared" si="144"/>
        <v>267.80827667062124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0.17744154589595146</v>
      </c>
      <c r="AV178" s="21">
        <f>EXP(-LN(2)/25)*AV177+(1-EXP(-LN(2)/25))/(LN(2)/25)*Calculateur!AQ178*Calculateur!AS178*VLOOKUP('Données projet'!$B$10,Paramètres!$A$1:$I$89,3,0)*0.475*44/12</f>
        <v>0.14099310908077917</v>
      </c>
      <c r="AW178" s="21">
        <f>EXP(-LN(2)/2)*AW177+(1-EXP(-LN(2)/2))/(LN(2)/2)*AQ178*AT178*VLOOKUP('Données projet'!$B$10,Paramètres!$A$1:$I$89,3,0)*0.475*44/12</f>
        <v>1.4722276825104446E-21</v>
      </c>
      <c r="AX178" s="21">
        <f t="shared" si="166"/>
        <v>0.31843465497673062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108.5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-1.0286385077051818E-13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324.41828402031939</v>
      </c>
      <c r="BJ178" s="59">
        <f t="shared" si="146"/>
        <v>233.01060088065992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5.5746657335338512E-2</v>
      </c>
      <c r="BR178" s="21">
        <f>EXP(-LN(2)/2)*BR177+(1-EXP(-LN(2)/2))/(LN(2)/2)*BL178*BO178*VLOOKUP('Données projet'!$B$11,Paramètres!$A$1:$I$89,3,0)*0.475*44/12</f>
        <v>9.267662420662572E-22</v>
      </c>
      <c r="BS178" s="22">
        <f t="shared" si="169"/>
        <v>5.5746657335338512E-2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108.5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279.00060755204919</v>
      </c>
      <c r="CE178" s="59">
        <f t="shared" si="148"/>
        <v>333.91128554211014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0.41329225187886437</v>
      </c>
      <c r="CL178" s="21">
        <f>EXP(-LN(2)/25)*CL177+(1-EXP(-LN(2)/25))/(LN(2)/25)*Calculateur!CG178*Calculateur!CI178*VLOOKUP('Données projet'!$B$12,Paramètres!$A$1:$I$89,3,0)*0.475*44/12</f>
        <v>0.49951710800805099</v>
      </c>
      <c r="CM178" s="21">
        <f>EXP(-LN(2)/2)*CM177+(1-EXP(-LN(2)/2))/(LN(2)/2)*CG178*CJ178*VLOOKUP('Données projet'!$B$12,Paramètres!$A$1:$I$89,3,0)*0.475*44/12</f>
        <v>3.2273862993073523E-21</v>
      </c>
      <c r="CN178" s="22">
        <f t="shared" si="172"/>
        <v>0.91280935988691536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108.5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-6.7984728957526396E-14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380.01315081072897</v>
      </c>
      <c r="CZ178" s="59">
        <f t="shared" si="150"/>
        <v>404.90871625409181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0.19803587069195619</v>
      </c>
      <c r="DG178" s="21">
        <f>EXP(-LN(2)/25)*DG177+(1-EXP(-LN(2)/25))/(LN(2)/25)*Calculateur!DB178*Calculateur!DD178*VLOOKUP('Données projet'!$B$13,Paramètres!$A$1:$I$89,3,0)*0.475*44/12</f>
        <v>0.38301404962498159</v>
      </c>
      <c r="DH178" s="21">
        <f>EXP(-LN(2)/2)*DH177+(1-EXP(-LN(2)/2))/(LN(2)/2)*DB178*DE178*VLOOKUP('Données projet'!$B$13,Paramètres!$A$1:$I$89,3,0)*0.475*44/12</f>
        <v>4.5374904984256487E-21</v>
      </c>
      <c r="DI178" s="22">
        <f t="shared" si="175"/>
        <v>0.58104992031693781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108.5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-5.6843418860808015E-14</v>
      </c>
      <c r="DP178" s="17">
        <f>DO178*VLOOKUP('Données projet'!$B$14,Paramètres!$A$1:$I$89,3,0)*VLOOKUP('Données projet'!$B$14,Paramètres!$A$1:$I$89,5,0)</f>
        <v>-5.1431925385259088E-14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320.81451813551064</v>
      </c>
      <c r="DU178" s="59">
        <f t="shared" si="152"/>
        <v>522.80818268773976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0.1039059500253304</v>
      </c>
      <c r="EB178" s="21">
        <f>EXP(-LN(2)/25)*EB177+(1-EXP(-LN(2)/25))/(LN(2)/25)*Calculateur!DW178*Calculateur!DY178*VLOOKUP('Données projet'!$B$14,Paramètres!$A$1:$I$89,3,0)*0.475*44/12</f>
        <v>0.18712941086551574</v>
      </c>
      <c r="EC178" s="21">
        <f>EXP(-LN(2)/2)*EC177+(1-EXP(-LN(2)/2))/(LN(2)/2)*DW178*DZ178*VLOOKUP('Données projet'!$B$14,Paramètres!$A$1:$I$89,3,0)*0.475*44/12</f>
        <v>8.9674957543710722E-22</v>
      </c>
      <c r="ED178" s="22">
        <f t="shared" si="178"/>
        <v>0.29103536089084614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108.5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228.3393311631487</v>
      </c>
      <c r="EP178" s="59">
        <f t="shared" si="154"/>
        <v>266.26050497804033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0.35166216882412549</v>
      </c>
      <c r="EW178" s="21">
        <f>EXP(-LN(2)/25)*EW177+(1-EXP(-LN(2)/25))/(LN(2)/25)*Calculateur!ER178*Calculateur!ET178*VLOOKUP('Données projet'!$B$15,Paramètres!$A$1:$I$89,3,0)*0.475*44/12</f>
        <v>0.22131975247630914</v>
      </c>
      <c r="EX178" s="21">
        <f>EXP(-LN(2)/2)*EX177+(1-EXP(-LN(2)/2))/(LN(2)/2)*ER178*EU178*VLOOKUP('Données projet'!$B$15,Paramètres!$A$1:$I$89,3,0)*0.475*44/12</f>
        <v>8.1541447914558404E-22</v>
      </c>
      <c r="EY178" s="22">
        <f t="shared" si="181"/>
        <v>0.57298192130043457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108.5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-1.7053025658242404E-13</v>
      </c>
      <c r="FF178" s="17">
        <f>FE178*VLOOKUP('Données projet'!$B$16,Paramètres!$A$1:$I$89,3,0)*VLOOKUP('Données projet'!$B$16,Paramètres!$A$1:$I$89,5,0)</f>
        <v>-9.7543306765146564E-14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242.10913976205194</v>
      </c>
      <c r="FK178" s="59">
        <f t="shared" si="156"/>
        <v>198.24795425321133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0.19451406427330065</v>
      </c>
      <c r="FS178" s="21">
        <f>EXP(-LN(2)/2)*FS177+(1-EXP(-LN(2)/2))/(LN(2)/2)*FM178*FP178*VLOOKUP('Données projet'!$B$16,Paramètres!$A$1:$I$89,3,0)*0.475*44/12</f>
        <v>1.9799074326128335E-21</v>
      </c>
      <c r="FT178" s="22">
        <f t="shared" si="184"/>
        <v>0.19451406427330065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108.5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108.5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86.074559999999863</v>
      </c>
      <c r="D179" s="11">
        <f t="shared" si="140"/>
        <v>23.616060251958494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465.70403685919172</v>
      </c>
      <c r="H179" s="67">
        <f t="shared" si="110"/>
        <v>588.87783027216074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108.5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4.6111381379887463E-14</v>
      </c>
      <c r="P179" s="13">
        <f t="shared" si="141"/>
        <v>7.5804141040779151E-13</v>
      </c>
      <c r="Q179" s="20">
        <f t="shared" si="162"/>
        <v>1.4005661123635408E-12</v>
      </c>
      <c r="R179" s="59">
        <f t="shared" si="109"/>
        <v>434.50000000000142</v>
      </c>
      <c r="S179" s="59">
        <f ca="1">AVERAGE(OFFSET($R$3,0,0,'Données projet'!$E$9+1,1))-AVERAGE(OFFSET($H$3,0,0,'Données projet'!$E$9+1,1))</f>
        <v>273.89826011924487</v>
      </c>
      <c r="T179" s="59">
        <f t="shared" si="142"/>
        <v>332.17519939974227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0.14850101458699994</v>
      </c>
      <c r="AB179" s="21">
        <f>EXP(-LN(2)/2)*AB178+(1-EXP(-LN(2)/2))/(LN(2)/2)*V179*Y179*VLOOKUP('Données projet'!$B$9,Paramètres!$A$1:$I$89,3,0)*0.475*44/12</f>
        <v>1.1617659685996253E-21</v>
      </c>
      <c r="AC179" s="22">
        <f t="shared" si="163"/>
        <v>0.14850101458699994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108.5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-5.3205440053716299E-14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293.42903587188346</v>
      </c>
      <c r="AO179" s="59">
        <f t="shared" si="144"/>
        <v>267.80827667062124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0.17396202540958816</v>
      </c>
      <c r="AV179" s="21">
        <f>EXP(-LN(2)/25)*AV178+(1-EXP(-LN(2)/25))/(LN(2)/25)*Calculateur!AQ179*Calculateur!AS179*VLOOKUP('Données projet'!$B$10,Paramètres!$A$1:$I$89,3,0)*0.475*44/12</f>
        <v>0.13713764509845991</v>
      </c>
      <c r="AW179" s="21">
        <f>EXP(-LN(2)/2)*AW178+(1-EXP(-LN(2)/2))/(LN(2)/2)*AQ179*AT179*VLOOKUP('Données projet'!$B$10,Paramètres!$A$1:$I$89,3,0)*0.475*44/12</f>
        <v>1.0410221777536909E-21</v>
      </c>
      <c r="AX179" s="21">
        <f t="shared" si="166"/>
        <v>0.3110996705080481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108.5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-1.0286385077051818E-13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324.41828402031939</v>
      </c>
      <c r="BJ179" s="59">
        <f t="shared" si="146"/>
        <v>233.01060088065992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5.4222262058914381E-2</v>
      </c>
      <c r="BR179" s="21">
        <f>EXP(-LN(2)/2)*BR178+(1-EXP(-LN(2)/2))/(LN(2)/2)*BL179*BO179*VLOOKUP('Données projet'!$B$11,Paramètres!$A$1:$I$89,3,0)*0.475*44/12</f>
        <v>6.5532269433982388E-22</v>
      </c>
      <c r="BS179" s="22">
        <f t="shared" si="169"/>
        <v>5.4222262058914381E-2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108.5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279.00060755204919</v>
      </c>
      <c r="CE179" s="59">
        <f t="shared" si="148"/>
        <v>333.91128554211014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0.40518784290290233</v>
      </c>
      <c r="CL179" s="21">
        <f>EXP(-LN(2)/25)*CL178+(1-EXP(-LN(2)/25))/(LN(2)/25)*Calculateur!CG179*Calculateur!CI179*VLOOKUP('Données projet'!$B$12,Paramètres!$A$1:$I$89,3,0)*0.475*44/12</f>
        <v>0.48585778642110777</v>
      </c>
      <c r="CM179" s="21">
        <f>EXP(-LN(2)/2)*CM178+(1-EXP(-LN(2)/2))/(LN(2)/2)*CG179*CJ179*VLOOKUP('Données projet'!$B$12,Paramètres!$A$1:$I$89,3,0)*0.475*44/12</f>
        <v>2.2821067377487853E-21</v>
      </c>
      <c r="CN179" s="22">
        <f t="shared" si="172"/>
        <v>0.8910456293240101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108.5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-6.7984728957526396E-14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380.01315081072897</v>
      </c>
      <c r="CZ179" s="59">
        <f t="shared" si="150"/>
        <v>404.90871625409181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0.19415250805764103</v>
      </c>
      <c r="DG179" s="21">
        <f>EXP(-LN(2)/25)*DG178+(1-EXP(-LN(2)/25))/(LN(2)/25)*Calculateur!DB179*Calculateur!DD179*VLOOKUP('Données projet'!$B$13,Paramètres!$A$1:$I$89,3,0)*0.475*44/12</f>
        <v>0.37254051029615298</v>
      </c>
      <c r="DH179" s="21">
        <f>EXP(-LN(2)/2)*DH178+(1-EXP(-LN(2)/2))/(LN(2)/2)*DB179*DE179*VLOOKUP('Données projet'!$B$13,Paramètres!$A$1:$I$89,3,0)*0.475*44/12</f>
        <v>3.2084903010063037E-21</v>
      </c>
      <c r="DI179" s="22">
        <f t="shared" si="175"/>
        <v>0.56669301835379404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108.5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-5.6843418860808015E-14</v>
      </c>
      <c r="DP179" s="17">
        <f>DO179*VLOOKUP('Données projet'!$B$14,Paramètres!$A$1:$I$89,3,0)*VLOOKUP('Données projet'!$B$14,Paramètres!$A$1:$I$89,5,0)</f>
        <v>-5.1431925385259088E-14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320.81451813551064</v>
      </c>
      <c r="DU179" s="59">
        <f t="shared" si="152"/>
        <v>522.80818268773976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0.1018684177217053</v>
      </c>
      <c r="EB179" s="21">
        <f>EXP(-LN(2)/25)*EB178+(1-EXP(-LN(2)/25))/(LN(2)/25)*Calculateur!DW179*Calculateur!DY179*VLOOKUP('Données projet'!$B$14,Paramètres!$A$1:$I$89,3,0)*0.475*44/12</f>
        <v>0.18201234728469018</v>
      </c>
      <c r="EC179" s="21">
        <f>EXP(-LN(2)/2)*EC178+(1-EXP(-LN(2)/2))/(LN(2)/2)*DW179*DZ179*VLOOKUP('Données projet'!$B$14,Paramètres!$A$1:$I$89,3,0)*0.475*44/12</f>
        <v>6.3409770581773597E-22</v>
      </c>
      <c r="ED179" s="22">
        <f t="shared" si="178"/>
        <v>0.28388076500639547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108.5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228.3393311631487</v>
      </c>
      <c r="EP179" s="59">
        <f t="shared" si="154"/>
        <v>266.26050497804033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0.34476628818622795</v>
      </c>
      <c r="EW179" s="21">
        <f>EXP(-LN(2)/25)*EW178+(1-EXP(-LN(2)/25))/(LN(2)/25)*Calculateur!ER179*Calculateur!ET179*VLOOKUP('Données projet'!$B$15,Paramètres!$A$1:$I$89,3,0)*0.475*44/12</f>
        <v>0.21526775220614452</v>
      </c>
      <c r="EX179" s="21">
        <f>EXP(-LN(2)/2)*EX178+(1-EXP(-LN(2)/2))/(LN(2)/2)*ER179*EU179*VLOOKUP('Données projet'!$B$15,Paramètres!$A$1:$I$89,3,0)*0.475*44/12</f>
        <v>5.765851076815391E-22</v>
      </c>
      <c r="EY179" s="22">
        <f t="shared" si="181"/>
        <v>0.56003404039237248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108.5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-1.7053025658242404E-13</v>
      </c>
      <c r="FF179" s="17">
        <f>FE179*VLOOKUP('Données projet'!$B$16,Paramètres!$A$1:$I$89,3,0)*VLOOKUP('Données projet'!$B$16,Paramètres!$A$1:$I$89,5,0)</f>
        <v>-9.7543306765146564E-14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242.10913976205194</v>
      </c>
      <c r="FK179" s="59">
        <f t="shared" si="156"/>
        <v>198.24795425321133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0.18919506695669716</v>
      </c>
      <c r="FS179" s="21">
        <f>EXP(-LN(2)/2)*FS178+(1-EXP(-LN(2)/2))/(LN(2)/2)*FM179*FP179*VLOOKUP('Données projet'!$B$16,Paramètres!$A$1:$I$89,3,0)*0.475*44/12</f>
        <v>1.4000059717221819E-21</v>
      </c>
      <c r="FT179" s="22">
        <f t="shared" si="184"/>
        <v>0.18919506695669716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108.5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108.5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86.563619999999858</v>
      </c>
      <c r="D180" s="11">
        <f t="shared" si="140"/>
        <v>23.734584484899862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468.2836050060655</v>
      </c>
      <c r="H180" s="67">
        <f t="shared" si="110"/>
        <v>589.93603947786698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108.5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4.6111381379887463E-14</v>
      </c>
      <c r="P180" s="13">
        <f t="shared" si="141"/>
        <v>7.5804141040779151E-13</v>
      </c>
      <c r="Q180" s="20">
        <f t="shared" si="162"/>
        <v>1.4005661123635408E-12</v>
      </c>
      <c r="R180" s="59">
        <f t="shared" si="109"/>
        <v>434.50000000000142</v>
      </c>
      <c r="S180" s="59">
        <f ca="1">AVERAGE(OFFSET($R$3,0,0,'Données projet'!$E$9+1,1))-AVERAGE(OFFSET($H$3,0,0,'Données projet'!$E$9+1,1))</f>
        <v>273.89826011924487</v>
      </c>
      <c r="T180" s="59">
        <f t="shared" si="142"/>
        <v>332.17519939974227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0.14444024653378948</v>
      </c>
      <c r="AB180" s="21">
        <f>EXP(-LN(2)/2)*AB179+(1-EXP(-LN(2)/2))/(LN(2)/2)*V180*Y180*VLOOKUP('Données projet'!$B$9,Paramètres!$A$1:$I$89,3,0)*0.475*44/12</f>
        <v>8.2149259454855273E-22</v>
      </c>
      <c r="AC180" s="22">
        <f t="shared" si="163"/>
        <v>0.14444024653378948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108.5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-5.3205440053716299E-14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293.42903587188346</v>
      </c>
      <c r="AO180" s="59">
        <f t="shared" si="144"/>
        <v>267.80827667062124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0.1705507361976645</v>
      </c>
      <c r="AV180" s="21">
        <f>EXP(-LN(2)/25)*AV179+(1-EXP(-LN(2)/25))/(LN(2)/25)*Calculateur!AQ180*Calculateur!AS180*VLOOKUP('Données projet'!$B$10,Paramètres!$A$1:$I$89,3,0)*0.475*44/12</f>
        <v>0.13338760898148719</v>
      </c>
      <c r="AW180" s="21">
        <f>EXP(-LN(2)/2)*AW179+(1-EXP(-LN(2)/2))/(LN(2)/2)*AQ180*AT180*VLOOKUP('Données projet'!$B$10,Paramètres!$A$1:$I$89,3,0)*0.475*44/12</f>
        <v>7.3611384125522231E-22</v>
      </c>
      <c r="AX180" s="21">
        <f t="shared" si="166"/>
        <v>0.30393834517915169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108.5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-1.0286385077051818E-13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324.41828402031939</v>
      </c>
      <c r="BJ180" s="59">
        <f t="shared" si="146"/>
        <v>233.01060088065992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5.273955145148853E-2</v>
      </c>
      <c r="BR180" s="21">
        <f>EXP(-LN(2)/2)*BR179+(1-EXP(-LN(2)/2))/(LN(2)/2)*BL180*BO180*VLOOKUP('Données projet'!$B$11,Paramètres!$A$1:$I$89,3,0)*0.475*44/12</f>
        <v>4.633831210331286E-22</v>
      </c>
      <c r="BS180" s="22">
        <f t="shared" si="169"/>
        <v>5.273955145148853E-2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108.5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279.00060755204919</v>
      </c>
      <c r="CE180" s="59">
        <f t="shared" si="148"/>
        <v>333.91128554211014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0.39724235644375749</v>
      </c>
      <c r="CL180" s="21">
        <f>EXP(-LN(2)/25)*CL179+(1-EXP(-LN(2)/25))/(LN(2)/25)*Calculateur!CG180*Calculateur!CI180*VLOOKUP('Données projet'!$B$12,Paramètres!$A$1:$I$89,3,0)*0.475*44/12</f>
        <v>0.47257197970127202</v>
      </c>
      <c r="CM180" s="21">
        <f>EXP(-LN(2)/2)*CM179+(1-EXP(-LN(2)/2))/(LN(2)/2)*CG180*CJ180*VLOOKUP('Données projet'!$B$12,Paramètres!$A$1:$I$89,3,0)*0.475*44/12</f>
        <v>1.6136931496536761E-21</v>
      </c>
      <c r="CN180" s="22">
        <f t="shared" si="172"/>
        <v>0.86981433614502945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108.5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-6.7984728957526396E-14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380.01315081072897</v>
      </c>
      <c r="CZ180" s="59">
        <f t="shared" si="150"/>
        <v>404.90871625409181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0.19034529579596748</v>
      </c>
      <c r="DG180" s="21">
        <f>EXP(-LN(2)/25)*DG179+(1-EXP(-LN(2)/25))/(LN(2)/25)*Calculateur!DB180*Calculateur!DD180*VLOOKUP('Données projet'!$B$13,Paramètres!$A$1:$I$89,3,0)*0.475*44/12</f>
        <v>0.3623533704510507</v>
      </c>
      <c r="DH180" s="21">
        <f>EXP(-LN(2)/2)*DH179+(1-EXP(-LN(2)/2))/(LN(2)/2)*DB180*DE180*VLOOKUP('Données projet'!$B$13,Paramètres!$A$1:$I$89,3,0)*0.475*44/12</f>
        <v>2.2687452492128244E-21</v>
      </c>
      <c r="DI180" s="22">
        <f t="shared" si="175"/>
        <v>0.55269866624701813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108.5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-5.6843418860808015E-14</v>
      </c>
      <c r="DP180" s="17">
        <f>DO180*VLOOKUP('Données projet'!$B$14,Paramètres!$A$1:$I$89,3,0)*VLOOKUP('Données projet'!$B$14,Paramètres!$A$1:$I$89,5,0)</f>
        <v>-5.1431925385259088E-14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320.81451813551064</v>
      </c>
      <c r="DU180" s="59">
        <f t="shared" si="152"/>
        <v>522.80818268773976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9.9870840183782283E-2</v>
      </c>
      <c r="EB180" s="21">
        <f>EXP(-LN(2)/25)*EB179+(1-EXP(-LN(2)/25))/(LN(2)/25)*Calculateur!DW180*Calculateur!DY180*VLOOKUP('Données projet'!$B$14,Paramètres!$A$1:$I$89,3,0)*0.475*44/12</f>
        <v>0.17703521007657697</v>
      </c>
      <c r="EC180" s="21">
        <f>EXP(-LN(2)/2)*EC179+(1-EXP(-LN(2)/2))/(LN(2)/2)*DW180*DZ180*VLOOKUP('Données projet'!$B$14,Paramètres!$A$1:$I$89,3,0)*0.475*44/12</f>
        <v>4.4837478771855361E-22</v>
      </c>
      <c r="ED180" s="22">
        <f t="shared" si="178"/>
        <v>0.27690605026035925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108.5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228.3393311631487</v>
      </c>
      <c r="EP180" s="59">
        <f t="shared" si="154"/>
        <v>266.26050497804033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0.33800563156156771</v>
      </c>
      <c r="EW180" s="21">
        <f>EXP(-LN(2)/25)*EW179+(1-EXP(-LN(2)/25))/(LN(2)/25)*Calculateur!ER180*Calculateur!ET180*VLOOKUP('Données projet'!$B$15,Paramètres!$A$1:$I$89,3,0)*0.475*44/12</f>
        <v>0.2093812442016284</v>
      </c>
      <c r="EX180" s="21">
        <f>EXP(-LN(2)/2)*EX179+(1-EXP(-LN(2)/2))/(LN(2)/2)*ER180*EU180*VLOOKUP('Données projet'!$B$15,Paramètres!$A$1:$I$89,3,0)*0.475*44/12</f>
        <v>4.0770723957279202E-22</v>
      </c>
      <c r="EY180" s="22">
        <f t="shared" si="181"/>
        <v>0.54738687576319611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108.5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-1.7053025658242404E-13</v>
      </c>
      <c r="FF180" s="17">
        <f>FE180*VLOOKUP('Données projet'!$B$16,Paramètres!$A$1:$I$89,3,0)*VLOOKUP('Données projet'!$B$16,Paramètres!$A$1:$I$89,5,0)</f>
        <v>-9.7543306765146564E-14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242.10913976205194</v>
      </c>
      <c r="FK180" s="59">
        <f t="shared" si="156"/>
        <v>198.24795425321133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0.18402151790143012</v>
      </c>
      <c r="FS180" s="21">
        <f>EXP(-LN(2)/2)*FS179+(1-EXP(-LN(2)/2))/(LN(2)/2)*FM180*FP180*VLOOKUP('Données projet'!$B$16,Paramètres!$A$1:$I$89,3,0)*0.475*44/12</f>
        <v>9.8995371630641673E-22</v>
      </c>
      <c r="FT180" s="22">
        <f t="shared" si="184"/>
        <v>0.18402151790143012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108.5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108.5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87.052679999999853</v>
      </c>
      <c r="D181" s="11">
        <f t="shared" si="140"/>
        <v>23.853030798276592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470.86284233654214</v>
      </c>
      <c r="H181" s="67">
        <f t="shared" si="110"/>
        <v>590.99411297366476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108.5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4.6111381379887463E-14</v>
      </c>
      <c r="P181" s="13">
        <f t="shared" si="141"/>
        <v>7.5804141040779151E-13</v>
      </c>
      <c r="Q181" s="20">
        <f t="shared" si="162"/>
        <v>1.4005661123635408E-12</v>
      </c>
      <c r="R181" s="59">
        <f t="shared" si="109"/>
        <v>434.50000000000142</v>
      </c>
      <c r="S181" s="59">
        <f ca="1">AVERAGE(OFFSET($R$3,0,0,'Données projet'!$E$9+1,1))-AVERAGE(OFFSET($H$3,0,0,'Données projet'!$E$9+1,1))</f>
        <v>273.89826011924487</v>
      </c>
      <c r="T181" s="59">
        <f t="shared" si="142"/>
        <v>332.17519939974227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0.14049052039654056</v>
      </c>
      <c r="AB181" s="21">
        <f>EXP(-LN(2)/2)*AB180+(1-EXP(-LN(2)/2))/(LN(2)/2)*V181*Y181*VLOOKUP('Données projet'!$B$9,Paramètres!$A$1:$I$89,3,0)*0.475*44/12</f>
        <v>5.8088298429981267E-22</v>
      </c>
      <c r="AC181" s="22">
        <f t="shared" si="163"/>
        <v>0.14049052039654056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108.5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-5.3205440053716299E-14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293.42903587188346</v>
      </c>
      <c r="AO181" s="59">
        <f t="shared" si="144"/>
        <v>267.80827667062124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0.16720634028650569</v>
      </c>
      <c r="AV181" s="21">
        <f>EXP(-LN(2)/25)*AV180+(1-EXP(-LN(2)/25))/(LN(2)/25)*Calculateur!AQ181*Calculateur!AS181*VLOOKUP('Données projet'!$B$10,Paramètres!$A$1:$I$89,3,0)*0.475*44/12</f>
        <v>0.12974011779933892</v>
      </c>
      <c r="AW181" s="21">
        <f>EXP(-LN(2)/2)*AW180+(1-EXP(-LN(2)/2))/(LN(2)/2)*AQ181*AT181*VLOOKUP('Données projet'!$B$10,Paramètres!$A$1:$I$89,3,0)*0.475*44/12</f>
        <v>5.2051108887684545E-22</v>
      </c>
      <c r="AX181" s="21">
        <f t="shared" si="166"/>
        <v>0.29694645808584463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108.5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-1.0286385077051818E-13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324.41828402031939</v>
      </c>
      <c r="BJ181" s="59">
        <f t="shared" si="146"/>
        <v>233.01060088065992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5.1297385643595102E-2</v>
      </c>
      <c r="BR181" s="21">
        <f>EXP(-LN(2)/2)*BR180+(1-EXP(-LN(2)/2))/(LN(2)/2)*BL181*BO181*VLOOKUP('Données projet'!$B$11,Paramètres!$A$1:$I$89,3,0)*0.475*44/12</f>
        <v>3.2766134716991194E-22</v>
      </c>
      <c r="BS181" s="22">
        <f t="shared" si="169"/>
        <v>5.1297385643595102E-2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108.5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279.00060755204919</v>
      </c>
      <c r="CE181" s="59">
        <f t="shared" si="148"/>
        <v>333.91128554211014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0.38945267612780832</v>
      </c>
      <c r="CL181" s="21">
        <f>EXP(-LN(2)/25)*CL180+(1-EXP(-LN(2)/25))/(LN(2)/25)*Calculateur!CG181*Calculateur!CI181*VLOOKUP('Données projet'!$B$12,Paramètres!$A$1:$I$89,3,0)*0.475*44/12</f>
        <v>0.4596494740648604</v>
      </c>
      <c r="CM181" s="21">
        <f>EXP(-LN(2)/2)*CM180+(1-EXP(-LN(2)/2))/(LN(2)/2)*CG181*CJ181*VLOOKUP('Données projet'!$B$12,Paramètres!$A$1:$I$89,3,0)*0.475*44/12</f>
        <v>1.1410533688743926E-21</v>
      </c>
      <c r="CN181" s="22">
        <f t="shared" si="172"/>
        <v>0.84910215019266877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108.5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-6.7984728957526396E-14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380.01315081072897</v>
      </c>
      <c r="CZ181" s="59">
        <f t="shared" si="150"/>
        <v>404.90871625409181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0.18661274064457517</v>
      </c>
      <c r="DG181" s="21">
        <f>EXP(-LN(2)/25)*DG180+(1-EXP(-LN(2)/25))/(LN(2)/25)*Calculateur!DB181*Calculateur!DD181*VLOOKUP('Données projet'!$B$13,Paramètres!$A$1:$I$89,3,0)*0.475*44/12</f>
        <v>0.35244479848073113</v>
      </c>
      <c r="DH181" s="21">
        <f>EXP(-LN(2)/2)*DH180+(1-EXP(-LN(2)/2))/(LN(2)/2)*DB181*DE181*VLOOKUP('Données projet'!$B$13,Paramètres!$A$1:$I$89,3,0)*0.475*44/12</f>
        <v>1.6042451505031518E-21</v>
      </c>
      <c r="DI181" s="22">
        <f t="shared" si="175"/>
        <v>0.5390575391253063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108.5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-5.6843418860808015E-14</v>
      </c>
      <c r="DP181" s="17">
        <f>DO181*VLOOKUP('Données projet'!$B$14,Paramètres!$A$1:$I$89,3,0)*VLOOKUP('Données projet'!$B$14,Paramètres!$A$1:$I$89,5,0)</f>
        <v>-5.1431925385259088E-14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320.81451813551064</v>
      </c>
      <c r="DU181" s="59">
        <f t="shared" si="152"/>
        <v>522.80818268773976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9.7912433922975953E-2</v>
      </c>
      <c r="EB181" s="21">
        <f>EXP(-LN(2)/25)*EB180+(1-EXP(-LN(2)/25))/(LN(2)/25)*Calculateur!DW181*Calculateur!DY181*VLOOKUP('Données projet'!$B$14,Paramètres!$A$1:$I$89,3,0)*0.475*44/12</f>
        <v>0.17219417294715589</v>
      </c>
      <c r="EC181" s="21">
        <f>EXP(-LN(2)/2)*EC180+(1-EXP(-LN(2)/2))/(LN(2)/2)*DW181*DZ181*VLOOKUP('Données projet'!$B$14,Paramètres!$A$1:$I$89,3,0)*0.475*44/12</f>
        <v>3.1704885290886799E-22</v>
      </c>
      <c r="ED181" s="22">
        <f t="shared" si="178"/>
        <v>0.27010660687013183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108.5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228.3393311631487</v>
      </c>
      <c r="EP181" s="59">
        <f t="shared" si="154"/>
        <v>266.26050497804033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0.33137754728972368</v>
      </c>
      <c r="EW181" s="21">
        <f>EXP(-LN(2)/25)*EW180+(1-EXP(-LN(2)/25))/(LN(2)/25)*Calculateur!ER181*Calculateur!ET181*VLOOKUP('Données projet'!$B$15,Paramètres!$A$1:$I$89,3,0)*0.475*44/12</f>
        <v>0.20365570306805378</v>
      </c>
      <c r="EX181" s="21">
        <f>EXP(-LN(2)/2)*EX180+(1-EXP(-LN(2)/2))/(LN(2)/2)*ER181*EU181*VLOOKUP('Données projet'!$B$15,Paramètres!$A$1:$I$89,3,0)*0.475*44/12</f>
        <v>2.8829255384076955E-22</v>
      </c>
      <c r="EY181" s="22">
        <f t="shared" si="181"/>
        <v>0.53503325035777749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108.5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-1.7053025658242404E-13</v>
      </c>
      <c r="FF181" s="17">
        <f>FE181*VLOOKUP('Données projet'!$B$16,Paramètres!$A$1:$I$89,3,0)*VLOOKUP('Données projet'!$B$16,Paramètres!$A$1:$I$89,5,0)</f>
        <v>-9.7543306765146564E-14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242.10913976205194</v>
      </c>
      <c r="FK181" s="59">
        <f t="shared" si="156"/>
        <v>198.24795425321133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0.17898943981714446</v>
      </c>
      <c r="FS181" s="21">
        <f>EXP(-LN(2)/2)*FS180+(1-EXP(-LN(2)/2))/(LN(2)/2)*FM181*FP181*VLOOKUP('Données projet'!$B$16,Paramètres!$A$1:$I$89,3,0)*0.475*44/12</f>
        <v>7.0000298586109097E-22</v>
      </c>
      <c r="FT181" s="22">
        <f t="shared" si="184"/>
        <v>0.17898943981714446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108.5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108.5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87.541739999999848</v>
      </c>
      <c r="D182" s="11">
        <f t="shared" si="140"/>
        <v>23.971399680638598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473.44175092481595</v>
      </c>
      <c r="H182" s="67">
        <f t="shared" si="110"/>
        <v>592.05205161044523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108.5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4.6111381379887463E-14</v>
      </c>
      <c r="P182" s="13">
        <f t="shared" si="141"/>
        <v>7.5804141040779151E-13</v>
      </c>
      <c r="Q182" s="20">
        <f t="shared" si="162"/>
        <v>1.4005661123635408E-12</v>
      </c>
      <c r="R182" s="59">
        <f t="shared" si="109"/>
        <v>434.50000000000142</v>
      </c>
      <c r="S182" s="59">
        <f ca="1">AVERAGE(OFFSET($R$3,0,0,'Données projet'!$E$9+1,1))-AVERAGE(OFFSET($H$3,0,0,'Données projet'!$E$9+1,1))</f>
        <v>273.89826011924487</v>
      </c>
      <c r="T182" s="59">
        <f t="shared" si="142"/>
        <v>332.17519939974227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0.13664879972822178</v>
      </c>
      <c r="AB182" s="21">
        <f>EXP(-LN(2)/2)*AB181+(1-EXP(-LN(2)/2))/(LN(2)/2)*V182*Y182*VLOOKUP('Données projet'!$B$9,Paramètres!$A$1:$I$89,3,0)*0.475*44/12</f>
        <v>4.1074629727427636E-22</v>
      </c>
      <c r="AC182" s="22">
        <f t="shared" si="163"/>
        <v>0.13664879972822178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108.5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-5.3205440053716299E-14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293.42903587188346</v>
      </c>
      <c r="AO182" s="59">
        <f t="shared" si="144"/>
        <v>267.80827667062124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0.16392752593928461</v>
      </c>
      <c r="AV182" s="21">
        <f>EXP(-LN(2)/25)*AV181+(1-EXP(-LN(2)/25))/(LN(2)/25)*Calculateur!AQ182*Calculateur!AS182*VLOOKUP('Données projet'!$B$10,Paramètres!$A$1:$I$89,3,0)*0.475*44/12</f>
        <v>0.12619236745537973</v>
      </c>
      <c r="AW182" s="21">
        <f>EXP(-LN(2)/2)*AW181+(1-EXP(-LN(2)/2))/(LN(2)/2)*AQ182*AT182*VLOOKUP('Données projet'!$B$10,Paramètres!$A$1:$I$89,3,0)*0.475*44/12</f>
        <v>3.6805692062761116E-22</v>
      </c>
      <c r="AX182" s="21">
        <f t="shared" si="166"/>
        <v>0.29011989339466437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108.5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-1.0286385077051818E-13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324.41828402031939</v>
      </c>
      <c r="BJ182" s="59">
        <f t="shared" si="146"/>
        <v>233.01060088065992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4.9894655935558724E-2</v>
      </c>
      <c r="BR182" s="21">
        <f>EXP(-LN(2)/2)*BR181+(1-EXP(-LN(2)/2))/(LN(2)/2)*BL182*BO182*VLOOKUP('Données projet'!$B$11,Paramètres!$A$1:$I$89,3,0)*0.475*44/12</f>
        <v>2.316915605165643E-22</v>
      </c>
      <c r="BS182" s="22">
        <f t="shared" si="169"/>
        <v>4.9894655935558724E-2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108.5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279.00060755204919</v>
      </c>
      <c r="CE182" s="59">
        <f t="shared" si="148"/>
        <v>333.91128554211014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0.38181574669161905</v>
      </c>
      <c r="CL182" s="21">
        <f>EXP(-LN(2)/25)*CL181+(1-EXP(-LN(2)/25))/(LN(2)/25)*Calculateur!CG182*Calculateur!CI182*VLOOKUP('Données projet'!$B$12,Paramètres!$A$1:$I$89,3,0)*0.475*44/12</f>
        <v>0.44708033502464151</v>
      </c>
      <c r="CM182" s="21">
        <f>EXP(-LN(2)/2)*CM181+(1-EXP(-LN(2)/2))/(LN(2)/2)*CG182*CJ182*VLOOKUP('Données projet'!$B$12,Paramètres!$A$1:$I$89,3,0)*0.475*44/12</f>
        <v>8.0684657482683807E-22</v>
      </c>
      <c r="CN182" s="22">
        <f t="shared" si="172"/>
        <v>0.8288960817162605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108.5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-6.7984728957526396E-14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380.01315081072897</v>
      </c>
      <c r="CZ182" s="59">
        <f t="shared" si="150"/>
        <v>404.90871625409181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0.18295337862306779</v>
      </c>
      <c r="DG182" s="21">
        <f>EXP(-LN(2)/25)*DG181+(1-EXP(-LN(2)/25))/(LN(2)/25)*Calculateur!DB182*Calculateur!DD182*VLOOKUP('Données projet'!$B$13,Paramètres!$A$1:$I$89,3,0)*0.475*44/12</f>
        <v>0.34280717693200913</v>
      </c>
      <c r="DH182" s="21">
        <f>EXP(-LN(2)/2)*DH181+(1-EXP(-LN(2)/2))/(LN(2)/2)*DB182*DE182*VLOOKUP('Données projet'!$B$13,Paramètres!$A$1:$I$89,3,0)*0.475*44/12</f>
        <v>1.1343726246064122E-21</v>
      </c>
      <c r="DI182" s="22">
        <f t="shared" si="175"/>
        <v>0.52576055555507695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108.5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-5.6843418860808015E-14</v>
      </c>
      <c r="DP182" s="17">
        <f>DO182*VLOOKUP('Données projet'!$B$14,Paramètres!$A$1:$I$89,3,0)*VLOOKUP('Données projet'!$B$14,Paramètres!$A$1:$I$89,5,0)</f>
        <v>-5.1431925385259088E-14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320.81451813551064</v>
      </c>
      <c r="DU182" s="59">
        <f t="shared" si="152"/>
        <v>522.80818268773976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9.5992430814434163E-2</v>
      </c>
      <c r="EB182" s="21">
        <f>EXP(-LN(2)/25)*EB181+(1-EXP(-LN(2)/25))/(LN(2)/25)*Calculateur!DW182*Calculateur!DY182*VLOOKUP('Données projet'!$B$14,Paramètres!$A$1:$I$89,3,0)*0.475*44/12</f>
        <v>0.1674855142326179</v>
      </c>
      <c r="EC182" s="21">
        <f>EXP(-LN(2)/2)*EC181+(1-EXP(-LN(2)/2))/(LN(2)/2)*DW182*DZ182*VLOOKUP('Données projet'!$B$14,Paramètres!$A$1:$I$89,3,0)*0.475*44/12</f>
        <v>2.241873938592768E-22</v>
      </c>
      <c r="ED182" s="22">
        <f t="shared" si="178"/>
        <v>0.26347794504705208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108.5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228.3393311631487</v>
      </c>
      <c r="EP182" s="59">
        <f t="shared" si="154"/>
        <v>266.26050497804033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0.32487943570771832</v>
      </c>
      <c r="EW182" s="21">
        <f>EXP(-LN(2)/25)*EW181+(1-EXP(-LN(2)/25))/(LN(2)/25)*Calculateur!ER182*Calculateur!ET182*VLOOKUP('Données projet'!$B$15,Paramètres!$A$1:$I$89,3,0)*0.475*44/12</f>
        <v>0.19808672715786987</v>
      </c>
      <c r="EX182" s="21">
        <f>EXP(-LN(2)/2)*EX181+(1-EXP(-LN(2)/2))/(LN(2)/2)*ER182*EU182*VLOOKUP('Données projet'!$B$15,Paramètres!$A$1:$I$89,3,0)*0.475*44/12</f>
        <v>2.0385361978639601E-22</v>
      </c>
      <c r="EY182" s="22">
        <f t="shared" si="181"/>
        <v>0.52296616286558817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108.5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-1.7053025658242404E-13</v>
      </c>
      <c r="FF182" s="17">
        <f>FE182*VLOOKUP('Données projet'!$B$16,Paramètres!$A$1:$I$89,3,0)*VLOOKUP('Données projet'!$B$16,Paramètres!$A$1:$I$89,5,0)</f>
        <v>-9.7543306765146564E-14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242.10913976205194</v>
      </c>
      <c r="FK182" s="59">
        <f t="shared" si="156"/>
        <v>198.24795425321133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0.1740949641726991</v>
      </c>
      <c r="FS182" s="21">
        <f>EXP(-LN(2)/2)*FS181+(1-EXP(-LN(2)/2))/(LN(2)/2)*FM182*FP182*VLOOKUP('Données projet'!$B$16,Paramètres!$A$1:$I$89,3,0)*0.475*44/12</f>
        <v>4.9497685815320836E-22</v>
      </c>
      <c r="FT182" s="22">
        <f t="shared" si="184"/>
        <v>0.1740949641726991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108.5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108.5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88.030799999999843</v>
      </c>
      <c r="D183" s="11">
        <f t="shared" si="140"/>
        <v>24.089691614761218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476.02033282056459</v>
      </c>
      <c r="H183" s="67">
        <f t="shared" si="110"/>
        <v>593.10985622904218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108.5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4.6111381379887463E-14</v>
      </c>
      <c r="P183" s="13">
        <f t="shared" si="141"/>
        <v>7.5804141040779151E-13</v>
      </c>
      <c r="Q183" s="20">
        <f t="shared" si="162"/>
        <v>1.4005661123635408E-12</v>
      </c>
      <c r="R183" s="59">
        <f t="shared" si="109"/>
        <v>434.50000000000142</v>
      </c>
      <c r="S183" s="59">
        <f ca="1">AVERAGE(OFFSET($R$3,0,0,'Données projet'!$E$9+1,1))-AVERAGE(OFFSET($H$3,0,0,'Données projet'!$E$9+1,1))</f>
        <v>273.89826011924487</v>
      </c>
      <c r="T183" s="59">
        <f t="shared" si="142"/>
        <v>332.17519939974227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0.13291213111360548</v>
      </c>
      <c r="AB183" s="21">
        <f>EXP(-LN(2)/2)*AB182+(1-EXP(-LN(2)/2))/(LN(2)/2)*V183*Y183*VLOOKUP('Données projet'!$B$9,Paramètres!$A$1:$I$89,3,0)*0.475*44/12</f>
        <v>2.9044149214990634E-22</v>
      </c>
      <c r="AC183" s="22">
        <f t="shared" si="163"/>
        <v>0.13291213111360548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108.5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-5.3205440053716299E-14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293.42903587188346</v>
      </c>
      <c r="AO183" s="59">
        <f t="shared" si="144"/>
        <v>267.80827667062124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0.16071300714153328</v>
      </c>
      <c r="AV183" s="21">
        <f>EXP(-LN(2)/25)*AV182+(1-EXP(-LN(2)/25))/(LN(2)/25)*Calculateur!AQ183*Calculateur!AS183*VLOOKUP('Données projet'!$B$10,Paramètres!$A$1:$I$89,3,0)*0.475*44/12</f>
        <v>0.12274163053114419</v>
      </c>
      <c r="AW183" s="21">
        <f>EXP(-LN(2)/2)*AW182+(1-EXP(-LN(2)/2))/(LN(2)/2)*AQ183*AT183*VLOOKUP('Données projet'!$B$10,Paramètres!$A$1:$I$89,3,0)*0.475*44/12</f>
        <v>2.6025554443842273E-22</v>
      </c>
      <c r="AX183" s="21">
        <f t="shared" si="166"/>
        <v>0.28345463767267748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108.5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-1.0286385077051818E-13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324.41828402031939</v>
      </c>
      <c r="BJ183" s="59">
        <f t="shared" si="146"/>
        <v>233.01060088065992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4.8530283945154948E-2</v>
      </c>
      <c r="BR183" s="21">
        <f>EXP(-LN(2)/2)*BR182+(1-EXP(-LN(2)/2))/(LN(2)/2)*BL183*BO183*VLOOKUP('Données projet'!$B$11,Paramètres!$A$1:$I$89,3,0)*0.475*44/12</f>
        <v>1.6383067358495597E-22</v>
      </c>
      <c r="BS183" s="22">
        <f t="shared" si="169"/>
        <v>4.8530283945154948E-2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108.5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279.00060755204919</v>
      </c>
      <c r="CE183" s="59">
        <f t="shared" si="148"/>
        <v>333.91128554211014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0.37432857278360643</v>
      </c>
      <c r="CL183" s="21">
        <f>EXP(-LN(2)/25)*CL182+(1-EXP(-LN(2)/25))/(LN(2)/25)*Calculateur!CG183*Calculateur!CI183*VLOOKUP('Données projet'!$B$12,Paramètres!$A$1:$I$89,3,0)*0.475*44/12</f>
        <v>0.43485489975245967</v>
      </c>
      <c r="CM183" s="21">
        <f>EXP(-LN(2)/2)*CM182+(1-EXP(-LN(2)/2))/(LN(2)/2)*CG183*CJ183*VLOOKUP('Données projet'!$B$12,Paramètres!$A$1:$I$89,3,0)*0.475*44/12</f>
        <v>5.7052668443719632E-22</v>
      </c>
      <c r="CN183" s="22">
        <f t="shared" si="172"/>
        <v>0.80918347253606604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108.5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-6.7984728957526396E-14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380.01315081072897</v>
      </c>
      <c r="CZ183" s="59">
        <f t="shared" si="150"/>
        <v>404.90871625409181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0.17936577445881174</v>
      </c>
      <c r="DG183" s="21">
        <f>EXP(-LN(2)/25)*DG182+(1-EXP(-LN(2)/25))/(LN(2)/25)*Calculateur!DB183*Calculateur!DD183*VLOOKUP('Données projet'!$B$13,Paramètres!$A$1:$I$89,3,0)*0.475*44/12</f>
        <v>0.3334330966513574</v>
      </c>
      <c r="DH183" s="21">
        <f>EXP(-LN(2)/2)*DH182+(1-EXP(-LN(2)/2))/(LN(2)/2)*DB183*DE183*VLOOKUP('Données projet'!$B$13,Paramètres!$A$1:$I$89,3,0)*0.475*44/12</f>
        <v>8.0212257525157592E-22</v>
      </c>
      <c r="DI183" s="22">
        <f t="shared" si="175"/>
        <v>0.5127988711101692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108.5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-5.6843418860808015E-14</v>
      </c>
      <c r="DP183" s="17">
        <f>DO183*VLOOKUP('Données projet'!$B$14,Paramètres!$A$1:$I$89,3,0)*VLOOKUP('Données projet'!$B$14,Paramètres!$A$1:$I$89,5,0)</f>
        <v>-5.1431925385259088E-14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320.81451813551064</v>
      </c>
      <c r="DU183" s="59">
        <f t="shared" si="152"/>
        <v>522.80818268773976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9.4110077795764607E-2</v>
      </c>
      <c r="EB183" s="21">
        <f>EXP(-LN(2)/25)*EB182+(1-EXP(-LN(2)/25))/(LN(2)/25)*Calculateur!DW183*Calculateur!DY183*VLOOKUP('Données projet'!$B$14,Paramètres!$A$1:$I$89,3,0)*0.475*44/12</f>
        <v>0.16290561403824655</v>
      </c>
      <c r="EC183" s="21">
        <f>EXP(-LN(2)/2)*EC182+(1-EXP(-LN(2)/2))/(LN(2)/2)*DW183*DZ183*VLOOKUP('Données projet'!$B$14,Paramètres!$A$1:$I$89,3,0)*0.475*44/12</f>
        <v>1.5852442645443399E-22</v>
      </c>
      <c r="ED183" s="22">
        <f t="shared" si="178"/>
        <v>0.25701569183401118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108.5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228.3393311631487</v>
      </c>
      <c r="EP183" s="59">
        <f t="shared" si="154"/>
        <v>266.26050497804033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0.31850874813037938</v>
      </c>
      <c r="EW183" s="21">
        <f>EXP(-LN(2)/25)*EW182+(1-EXP(-LN(2)/25))/(LN(2)/25)*Calculateur!ER183*Calculateur!ET183*VLOOKUP('Données projet'!$B$15,Paramètres!$A$1:$I$89,3,0)*0.475*44/12</f>
        <v>0.19267003518680967</v>
      </c>
      <c r="EX183" s="21">
        <f>EXP(-LN(2)/2)*EX182+(1-EXP(-LN(2)/2))/(LN(2)/2)*ER183*EU183*VLOOKUP('Données projet'!$B$15,Paramètres!$A$1:$I$89,3,0)*0.475*44/12</f>
        <v>1.4414627692038478E-22</v>
      </c>
      <c r="EY183" s="22">
        <f t="shared" si="181"/>
        <v>0.51117878331718902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108.5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-1.7053025658242404E-13</v>
      </c>
      <c r="FF183" s="17">
        <f>FE183*VLOOKUP('Données projet'!$B$16,Paramètres!$A$1:$I$89,3,0)*VLOOKUP('Données projet'!$B$16,Paramètres!$A$1:$I$89,5,0)</f>
        <v>-9.7543306765146564E-14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242.10913976205194</v>
      </c>
      <c r="FK183" s="59">
        <f t="shared" si="156"/>
        <v>198.24795425321133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0.16933432822214037</v>
      </c>
      <c r="FS183" s="21">
        <f>EXP(-LN(2)/2)*FS182+(1-EXP(-LN(2)/2))/(LN(2)/2)*FM183*FP183*VLOOKUP('Données projet'!$B$16,Paramètres!$A$1:$I$89,3,0)*0.475*44/12</f>
        <v>3.5000149293054548E-22</v>
      </c>
      <c r="FT183" s="22">
        <f t="shared" si="184"/>
        <v>0.16933432822214037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108.5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108.5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88.519859999999838</v>
      </c>
      <c r="D184" s="11">
        <f t="shared" si="140"/>
        <v>24.207907077745173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478.59859004937357</v>
      </c>
      <c r="H184" s="67">
        <f t="shared" si="110"/>
        <v>594.16752766040588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108.5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4.6111381379887463E-14</v>
      </c>
      <c r="P184" s="13">
        <f t="shared" si="141"/>
        <v>7.5804141040779151E-13</v>
      </c>
      <c r="Q184" s="20">
        <f t="shared" si="162"/>
        <v>1.4005661123635408E-12</v>
      </c>
      <c r="R184" s="59">
        <f t="shared" si="109"/>
        <v>434.50000000000142</v>
      </c>
      <c r="S184" s="59">
        <f ca="1">AVERAGE(OFFSET($R$3,0,0,'Données projet'!$E$9+1,1))-AVERAGE(OFFSET($H$3,0,0,'Données projet'!$E$9+1,1))</f>
        <v>273.89826011924487</v>
      </c>
      <c r="T184" s="59">
        <f t="shared" si="142"/>
        <v>332.17519939974227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0.12927764189875873</v>
      </c>
      <c r="AB184" s="21">
        <f>EXP(-LN(2)/2)*AB183+(1-EXP(-LN(2)/2))/(LN(2)/2)*V184*Y184*VLOOKUP('Données projet'!$B$9,Paramètres!$A$1:$I$89,3,0)*0.475*44/12</f>
        <v>2.0537314863713818E-22</v>
      </c>
      <c r="AC184" s="22">
        <f t="shared" si="163"/>
        <v>0.12927764189875873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108.5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-5.3205440053716299E-14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293.42903587188346</v>
      </c>
      <c r="AO184" s="59">
        <f t="shared" si="144"/>
        <v>267.80827667062124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0.15756152309674298</v>
      </c>
      <c r="AV184" s="21">
        <f>EXP(-LN(2)/25)*AV183+(1-EXP(-LN(2)/25))/(LN(2)/25)*Calculateur!AQ184*Calculateur!AS184*VLOOKUP('Données projet'!$B$10,Paramètres!$A$1:$I$89,3,0)*0.475*44/12</f>
        <v>0.11938525418956823</v>
      </c>
      <c r="AW184" s="21">
        <f>EXP(-LN(2)/2)*AW183+(1-EXP(-LN(2)/2))/(LN(2)/2)*AQ184*AT184*VLOOKUP('Données projet'!$B$10,Paramètres!$A$1:$I$89,3,0)*0.475*44/12</f>
        <v>1.8402846031380558E-22</v>
      </c>
      <c r="AX184" s="21">
        <f t="shared" si="166"/>
        <v>0.27694677728631123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108.5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-1.0286385077051818E-13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324.41828402031939</v>
      </c>
      <c r="BJ184" s="59">
        <f t="shared" si="146"/>
        <v>233.01060088065992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4.720322077857797E-2</v>
      </c>
      <c r="BR184" s="21">
        <f>EXP(-LN(2)/2)*BR183+(1-EXP(-LN(2)/2))/(LN(2)/2)*BL184*BO184*VLOOKUP('Données projet'!$B$11,Paramètres!$A$1:$I$89,3,0)*0.475*44/12</f>
        <v>1.1584578025828215E-22</v>
      </c>
      <c r="BS184" s="22">
        <f t="shared" si="169"/>
        <v>4.720322077857797E-2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108.5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279.00060755204919</v>
      </c>
      <c r="CE184" s="59">
        <f t="shared" si="148"/>
        <v>333.91128554211014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0.36698821778920476</v>
      </c>
      <c r="CL184" s="21">
        <f>EXP(-LN(2)/25)*CL183+(1-EXP(-LN(2)/25))/(LN(2)/25)*Calculateur!CG184*Calculateur!CI184*VLOOKUP('Données projet'!$B$12,Paramètres!$A$1:$I$89,3,0)*0.475*44/12</f>
        <v>0.42296376965070337</v>
      </c>
      <c r="CM184" s="21">
        <f>EXP(-LN(2)/2)*CM183+(1-EXP(-LN(2)/2))/(LN(2)/2)*CG184*CJ184*VLOOKUP('Données projet'!$B$12,Paramètres!$A$1:$I$89,3,0)*0.475*44/12</f>
        <v>4.0342328741341904E-22</v>
      </c>
      <c r="CN184" s="22">
        <f t="shared" si="172"/>
        <v>0.78995198743990813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108.5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-6.7984728957526396E-14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380.01315081072897</v>
      </c>
      <c r="CZ184" s="59">
        <f t="shared" si="150"/>
        <v>404.90871625409181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0.17584852102399429</v>
      </c>
      <c r="DG184" s="21">
        <f>EXP(-LN(2)/25)*DG183+(1-EXP(-LN(2)/25))/(LN(2)/25)*Calculateur!DB184*Calculateur!DD184*VLOOKUP('Données projet'!$B$13,Paramètres!$A$1:$I$89,3,0)*0.475*44/12</f>
        <v>0.32431535108894155</v>
      </c>
      <c r="DH184" s="21">
        <f>EXP(-LN(2)/2)*DH183+(1-EXP(-LN(2)/2))/(LN(2)/2)*DB184*DE184*VLOOKUP('Données projet'!$B$13,Paramètres!$A$1:$I$89,3,0)*0.475*44/12</f>
        <v>5.6718631230320609E-22</v>
      </c>
      <c r="DI184" s="22">
        <f t="shared" si="175"/>
        <v>0.50016387211293578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108.5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-5.6843418860808015E-14</v>
      </c>
      <c r="DP184" s="17">
        <f>DO184*VLOOKUP('Données projet'!$B$14,Paramètres!$A$1:$I$89,3,0)*VLOOKUP('Données projet'!$B$14,Paramètres!$A$1:$I$89,5,0)</f>
        <v>-5.1431925385259088E-14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320.81451813551064</v>
      </c>
      <c r="DU184" s="59">
        <f t="shared" si="152"/>
        <v>522.80818268773976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9.2264636571669195E-2</v>
      </c>
      <c r="EB184" s="21">
        <f>EXP(-LN(2)/25)*EB183+(1-EXP(-LN(2)/25))/(LN(2)/25)*Calculateur!DW184*Calculateur!DY184*VLOOKUP('Données projet'!$B$14,Paramètres!$A$1:$I$89,3,0)*0.475*44/12</f>
        <v>0.15845095145553678</v>
      </c>
      <c r="EC184" s="21">
        <f>EXP(-LN(2)/2)*EC183+(1-EXP(-LN(2)/2))/(LN(2)/2)*DW184*DZ184*VLOOKUP('Données projet'!$B$14,Paramètres!$A$1:$I$89,3,0)*0.475*44/12</f>
        <v>1.120936969296384E-22</v>
      </c>
      <c r="ED184" s="22">
        <f t="shared" si="178"/>
        <v>0.25071558802720595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108.5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228.3393311631487</v>
      </c>
      <c r="EP184" s="59">
        <f t="shared" si="154"/>
        <v>266.26050497804033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0.31226298585069634</v>
      </c>
      <c r="EW184" s="21">
        <f>EXP(-LN(2)/25)*EW183+(1-EXP(-LN(2)/25))/(LN(2)/25)*Calculateur!ER184*Calculateur!ET184*VLOOKUP('Données projet'!$B$15,Paramètres!$A$1:$I$89,3,0)*0.475*44/12</f>
        <v>0.18740146294254956</v>
      </c>
      <c r="EX184" s="21">
        <f>EXP(-LN(2)/2)*EX183+(1-EXP(-LN(2)/2))/(LN(2)/2)*ER184*EU184*VLOOKUP('Données projet'!$B$15,Paramètres!$A$1:$I$89,3,0)*0.475*44/12</f>
        <v>1.01926809893198E-22</v>
      </c>
      <c r="EY184" s="22">
        <f t="shared" si="181"/>
        <v>0.4996644487932459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108.5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-1.7053025658242404E-13</v>
      </c>
      <c r="FF184" s="17">
        <f>FE184*VLOOKUP('Données projet'!$B$16,Paramètres!$A$1:$I$89,3,0)*VLOOKUP('Données projet'!$B$16,Paramètres!$A$1:$I$89,5,0)</f>
        <v>-9.7543306765146564E-14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242.10913976205194</v>
      </c>
      <c r="FK184" s="59">
        <f t="shared" si="156"/>
        <v>198.24795425321133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0.16470387211200063</v>
      </c>
      <c r="FS184" s="21">
        <f>EXP(-LN(2)/2)*FS183+(1-EXP(-LN(2)/2))/(LN(2)/2)*FM184*FP184*VLOOKUP('Données projet'!$B$16,Paramètres!$A$1:$I$89,3,0)*0.475*44/12</f>
        <v>2.4748842907660418E-22</v>
      </c>
      <c r="FT184" s="22">
        <f t="shared" si="184"/>
        <v>0.16470387211200063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108.5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108.5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89.008919999999833</v>
      </c>
      <c r="D185" s="11">
        <f t="shared" si="140"/>
        <v>24.326046541114231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481.176524613151</v>
      </c>
      <c r="H185" s="67">
        <f t="shared" si="110"/>
        <v>595.22506672577356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108.5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4.6111381379887463E-14</v>
      </c>
      <c r="P185" s="13">
        <f t="shared" si="141"/>
        <v>7.5804141040779151E-13</v>
      </c>
      <c r="Q185" s="20">
        <f t="shared" si="162"/>
        <v>1.4005661123635408E-12</v>
      </c>
      <c r="R185" s="59">
        <f t="shared" si="109"/>
        <v>434.50000000000142</v>
      </c>
      <c r="S185" s="59">
        <f ca="1">AVERAGE(OFFSET($R$3,0,0,'Données projet'!$E$9+1,1))-AVERAGE(OFFSET($H$3,0,0,'Données projet'!$E$9+1,1))</f>
        <v>273.89826011924487</v>
      </c>
      <c r="T185" s="59">
        <f t="shared" si="142"/>
        <v>332.17519939974227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0.12574253798262144</v>
      </c>
      <c r="AB185" s="21">
        <f>EXP(-LN(2)/2)*AB184+(1-EXP(-LN(2)/2))/(LN(2)/2)*V185*Y185*VLOOKUP('Données projet'!$B$9,Paramètres!$A$1:$I$89,3,0)*0.475*44/12</f>
        <v>1.4522074607495317E-22</v>
      </c>
      <c r="AC185" s="22">
        <f t="shared" si="163"/>
        <v>0.12574253798262144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108.5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-5.3205440053716299E-14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293.42903587188346</v>
      </c>
      <c r="AO185" s="59">
        <f t="shared" si="144"/>
        <v>267.80827667062124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0.15447183773185555</v>
      </c>
      <c r="AV185" s="21">
        <f>EXP(-LN(2)/25)*AV184+(1-EXP(-LN(2)/25))/(LN(2)/25)*Calculateur!AQ185*Calculateur!AS185*VLOOKUP('Données projet'!$B$10,Paramètres!$A$1:$I$89,3,0)*0.475*44/12</f>
        <v>0.11612065813555683</v>
      </c>
      <c r="AW185" s="21">
        <f>EXP(-LN(2)/2)*AW184+(1-EXP(-LN(2)/2))/(LN(2)/2)*AQ185*AT185*VLOOKUP('Données projet'!$B$10,Paramètres!$A$1:$I$89,3,0)*0.475*44/12</f>
        <v>1.3012777221921136E-22</v>
      </c>
      <c r="AX185" s="21">
        <f t="shared" si="166"/>
        <v>0.27059249586741241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108.5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-1.0286385077051818E-13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324.41828402031939</v>
      </c>
      <c r="BJ185" s="59">
        <f t="shared" si="146"/>
        <v>233.01060088065992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4.5912446224078259E-2</v>
      </c>
      <c r="BR185" s="21">
        <f>EXP(-LN(2)/2)*BR184+(1-EXP(-LN(2)/2))/(LN(2)/2)*BL185*BO185*VLOOKUP('Données projet'!$B$11,Paramètres!$A$1:$I$89,3,0)*0.475*44/12</f>
        <v>8.1915336792477985E-23</v>
      </c>
      <c r="BS185" s="22">
        <f t="shared" si="169"/>
        <v>4.5912446224078259E-2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108.5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279.00060755204919</v>
      </c>
      <c r="CE185" s="59">
        <f t="shared" si="148"/>
        <v>333.91128554211014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0.35979180267906885</v>
      </c>
      <c r="CL185" s="21">
        <f>EXP(-LN(2)/25)*CL184+(1-EXP(-LN(2)/25))/(LN(2)/25)*Calculateur!CG185*Calculateur!CI185*VLOOKUP('Données projet'!$B$12,Paramètres!$A$1:$I$89,3,0)*0.475*44/12</f>
        <v>0.41139780312690694</v>
      </c>
      <c r="CM185" s="21">
        <f>EXP(-LN(2)/2)*CM184+(1-EXP(-LN(2)/2))/(LN(2)/2)*CG185*CJ185*VLOOKUP('Données projet'!$B$12,Paramètres!$A$1:$I$89,3,0)*0.475*44/12</f>
        <v>2.8526334221859816E-22</v>
      </c>
      <c r="CN185" s="22">
        <f t="shared" si="172"/>
        <v>0.77118960580597573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108.5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-6.7984728957526396E-14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380.01315081072897</v>
      </c>
      <c r="CZ185" s="59">
        <f t="shared" si="150"/>
        <v>404.90871625409181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0.17240023878372082</v>
      </c>
      <c r="DG185" s="21">
        <f>EXP(-LN(2)/25)*DG184+(1-EXP(-LN(2)/25))/(LN(2)/25)*Calculateur!DB185*Calculateur!DD185*VLOOKUP('Données projet'!$B$13,Paramètres!$A$1:$I$89,3,0)*0.475*44/12</f>
        <v>0.31544693075841135</v>
      </c>
      <c r="DH185" s="21">
        <f>EXP(-LN(2)/2)*DH184+(1-EXP(-LN(2)/2))/(LN(2)/2)*DB185*DE185*VLOOKUP('Données projet'!$B$13,Paramètres!$A$1:$I$89,3,0)*0.475*44/12</f>
        <v>4.0106128762578796E-22</v>
      </c>
      <c r="DI185" s="22">
        <f t="shared" si="175"/>
        <v>0.48784716954213214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108.5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-5.6843418860808015E-14</v>
      </c>
      <c r="DP185" s="17">
        <f>DO185*VLOOKUP('Données projet'!$B$14,Paramètres!$A$1:$I$89,3,0)*VLOOKUP('Données projet'!$B$14,Paramètres!$A$1:$I$89,5,0)</f>
        <v>-5.1431925385259088E-14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320.81451813551064</v>
      </c>
      <c r="DU185" s="59">
        <f t="shared" si="152"/>
        <v>522.80818268773976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9.0455383324370295E-2</v>
      </c>
      <c r="EB185" s="21">
        <f>EXP(-LN(2)/25)*EB184+(1-EXP(-LN(2)/25))/(LN(2)/25)*Calculateur!DW185*Calculateur!DY185*VLOOKUP('Données projet'!$B$14,Paramètres!$A$1:$I$89,3,0)*0.475*44/12</f>
        <v>0.15411810185541175</v>
      </c>
      <c r="EC185" s="21">
        <f>EXP(-LN(2)/2)*EC184+(1-EXP(-LN(2)/2))/(LN(2)/2)*DW185*DZ185*VLOOKUP('Données projet'!$B$14,Paramètres!$A$1:$I$89,3,0)*0.475*44/12</f>
        <v>7.9262213227216996E-23</v>
      </c>
      <c r="ED185" s="22">
        <f t="shared" si="178"/>
        <v>0.24457348517978206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108.5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228.3393311631487</v>
      </c>
      <c r="EP185" s="59">
        <f t="shared" si="154"/>
        <v>266.26050497804033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0.30613969915977901</v>
      </c>
      <c r="EW185" s="21">
        <f>EXP(-LN(2)/25)*EW184+(1-EXP(-LN(2)/25))/(LN(2)/25)*Calculateur!ER185*Calculateur!ET185*VLOOKUP('Données projet'!$B$15,Paramètres!$A$1:$I$89,3,0)*0.475*44/12</f>
        <v>0.18227696008337091</v>
      </c>
      <c r="EX185" s="21">
        <f>EXP(-LN(2)/2)*EX184+(1-EXP(-LN(2)/2))/(LN(2)/2)*ER185*EU185*VLOOKUP('Données projet'!$B$15,Paramètres!$A$1:$I$89,3,0)*0.475*44/12</f>
        <v>7.2073138460192388E-23</v>
      </c>
      <c r="EY185" s="22">
        <f t="shared" si="181"/>
        <v>0.48841665924314992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108.5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-1.7053025658242404E-13</v>
      </c>
      <c r="FF185" s="17">
        <f>FE185*VLOOKUP('Données projet'!$B$16,Paramètres!$A$1:$I$89,3,0)*VLOOKUP('Données projet'!$B$16,Paramètres!$A$1:$I$89,5,0)</f>
        <v>-9.7543306765146564E-14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242.10913976205194</v>
      </c>
      <c r="FK185" s="59">
        <f t="shared" si="156"/>
        <v>198.24795425321133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0.16020003606769778</v>
      </c>
      <c r="FS185" s="21">
        <f>EXP(-LN(2)/2)*FS184+(1-EXP(-LN(2)/2))/(LN(2)/2)*FM185*FP185*VLOOKUP('Données projet'!$B$16,Paramètres!$A$1:$I$89,3,0)*0.475*44/12</f>
        <v>1.7500074646527274E-22</v>
      </c>
      <c r="FT185" s="22">
        <f t="shared" si="184"/>
        <v>0.16020003606769778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108.5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108.5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89.497979999999828</v>
      </c>
      <c r="D186" s="11">
        <f t="shared" si="140"/>
        <v>24.444110470910708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483.75413849053251</v>
      </c>
      <c r="H186" s="67">
        <f t="shared" si="110"/>
        <v>596.28247423683581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108.5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4.6111381379887463E-14</v>
      </c>
      <c r="P186" s="13">
        <f t="shared" si="141"/>
        <v>7.5804141040779151E-13</v>
      </c>
      <c r="Q186" s="20">
        <f t="shared" si="162"/>
        <v>1.4005661123635408E-12</v>
      </c>
      <c r="R186" s="59">
        <f t="shared" si="109"/>
        <v>434.50000000000142</v>
      </c>
      <c r="S186" s="59">
        <f ca="1">AVERAGE(OFFSET($R$3,0,0,'Données projet'!$E$9+1,1))-AVERAGE(OFFSET($H$3,0,0,'Données projet'!$E$9+1,1))</f>
        <v>273.89826011924487</v>
      </c>
      <c r="T186" s="59">
        <f t="shared" si="142"/>
        <v>332.17519939974227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0.12230410166897397</v>
      </c>
      <c r="AB186" s="21">
        <f>EXP(-LN(2)/2)*AB185+(1-EXP(-LN(2)/2))/(LN(2)/2)*V186*Y186*VLOOKUP('Données projet'!$B$9,Paramètres!$A$1:$I$89,3,0)*0.475*44/12</f>
        <v>1.0268657431856909E-22</v>
      </c>
      <c r="AC186" s="22">
        <f t="shared" si="163"/>
        <v>0.12230410166897397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108.5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-5.3205440053716299E-14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293.42903587188346</v>
      </c>
      <c r="AO186" s="59">
        <f t="shared" si="144"/>
        <v>267.80827667062124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0.15144273921245158</v>
      </c>
      <c r="AV186" s="21">
        <f>EXP(-LN(2)/25)*AV185+(1-EXP(-LN(2)/25))/(LN(2)/25)*Calculateur!AQ186*Calculateur!AS186*VLOOKUP('Données projet'!$B$10,Paramètres!$A$1:$I$89,3,0)*0.475*44/12</f>
        <v>0.11294533263232001</v>
      </c>
      <c r="AW186" s="21">
        <f>EXP(-LN(2)/2)*AW185+(1-EXP(-LN(2)/2))/(LN(2)/2)*AQ186*AT186*VLOOKUP('Données projet'!$B$10,Paramètres!$A$1:$I$89,3,0)*0.475*44/12</f>
        <v>9.2014230156902789E-23</v>
      </c>
      <c r="AX186" s="21">
        <f t="shared" si="166"/>
        <v>0.26438807184477159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108.5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-1.0286385077051818E-13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324.41828402031939</v>
      </c>
      <c r="BJ186" s="59">
        <f t="shared" si="146"/>
        <v>233.01060088065992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4.4656967967650223E-2</v>
      </c>
      <c r="BR186" s="21">
        <f>EXP(-LN(2)/2)*BR185+(1-EXP(-LN(2)/2))/(LN(2)/2)*BL186*BO186*VLOOKUP('Données projet'!$B$11,Paramètres!$A$1:$I$89,3,0)*0.475*44/12</f>
        <v>5.7922890129141075E-23</v>
      </c>
      <c r="BS186" s="22">
        <f t="shared" si="169"/>
        <v>4.4656967967650223E-2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108.5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279.00060755204919</v>
      </c>
      <c r="CE186" s="59">
        <f t="shared" si="148"/>
        <v>333.91128554211014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0.35273650487986291</v>
      </c>
      <c r="CL186" s="21">
        <f>EXP(-LN(2)/25)*CL185+(1-EXP(-LN(2)/25))/(LN(2)/25)*Calculateur!CG186*Calculateur!CI186*VLOOKUP('Données projet'!$B$12,Paramètres!$A$1:$I$89,3,0)*0.475*44/12</f>
        <v>0.40014810856593147</v>
      </c>
      <c r="CM186" s="21">
        <f>EXP(-LN(2)/2)*CM185+(1-EXP(-LN(2)/2))/(LN(2)/2)*CG186*CJ186*VLOOKUP('Données projet'!$B$12,Paramètres!$A$1:$I$89,3,0)*0.475*44/12</f>
        <v>2.0171164370670952E-22</v>
      </c>
      <c r="CN186" s="22">
        <f t="shared" si="172"/>
        <v>0.75288461344579438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108.5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-6.7984728957526396E-14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380.01315081072897</v>
      </c>
      <c r="CZ186" s="59">
        <f t="shared" si="150"/>
        <v>404.90871625409181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0.16901957525493463</v>
      </c>
      <c r="DG186" s="21">
        <f>EXP(-LN(2)/25)*DG185+(1-EXP(-LN(2)/25))/(LN(2)/25)*Calculateur!DB186*Calculateur!DD186*VLOOKUP('Données projet'!$B$13,Paramètres!$A$1:$I$89,3,0)*0.475*44/12</f>
        <v>0.30682101784818949</v>
      </c>
      <c r="DH186" s="21">
        <f>EXP(-LN(2)/2)*DH185+(1-EXP(-LN(2)/2))/(LN(2)/2)*DB186*DE186*VLOOKUP('Données projet'!$B$13,Paramètres!$A$1:$I$89,3,0)*0.475*44/12</f>
        <v>2.8359315615160304E-22</v>
      </c>
      <c r="DI186" s="22">
        <f t="shared" si="175"/>
        <v>0.4758405931031241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108.5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-5.6843418860808015E-14</v>
      </c>
      <c r="DP186" s="17">
        <f>DO186*VLOOKUP('Données projet'!$B$14,Paramètres!$A$1:$I$89,3,0)*VLOOKUP('Données projet'!$B$14,Paramètres!$A$1:$I$89,5,0)</f>
        <v>-5.1431925385259088E-14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320.81451813551064</v>
      </c>
      <c r="DU186" s="59">
        <f t="shared" si="152"/>
        <v>522.80818268773976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8.8681608429715411E-2</v>
      </c>
      <c r="EB186" s="21">
        <f>EXP(-LN(2)/25)*EB185+(1-EXP(-LN(2)/25))/(LN(2)/25)*Calculateur!DW186*Calculateur!DY186*VLOOKUP('Données projet'!$B$14,Paramètres!$A$1:$I$89,3,0)*0.475*44/12</f>
        <v>0.14990373425545678</v>
      </c>
      <c r="EC186" s="21">
        <f>EXP(-LN(2)/2)*EC185+(1-EXP(-LN(2)/2))/(LN(2)/2)*DW186*DZ186*VLOOKUP('Données projet'!$B$14,Paramètres!$A$1:$I$89,3,0)*0.475*44/12</f>
        <v>5.6046848464819201E-23</v>
      </c>
      <c r="ED186" s="22">
        <f t="shared" si="178"/>
        <v>0.23858534268517217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108.5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228.3393311631487</v>
      </c>
      <c r="EP186" s="59">
        <f t="shared" si="154"/>
        <v>266.26050497804033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0.30013648638603452</v>
      </c>
      <c r="EW186" s="21">
        <f>EXP(-LN(2)/25)*EW185+(1-EXP(-LN(2)/25))/(LN(2)/25)*Calculateur!ER186*Calculateur!ET186*VLOOKUP('Données projet'!$B$15,Paramètres!$A$1:$I$89,3,0)*0.475*44/12</f>
        <v>0.1772925870243624</v>
      </c>
      <c r="EX186" s="21">
        <f>EXP(-LN(2)/2)*EX185+(1-EXP(-LN(2)/2))/(LN(2)/2)*ER186*EU186*VLOOKUP('Données projet'!$B$15,Paramètres!$A$1:$I$89,3,0)*0.475*44/12</f>
        <v>5.0963404946599002E-23</v>
      </c>
      <c r="EY186" s="22">
        <f t="shared" si="181"/>
        <v>0.47742907341039692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108.5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-1.7053025658242404E-13</v>
      </c>
      <c r="FF186" s="17">
        <f>FE186*VLOOKUP('Données projet'!$B$16,Paramètres!$A$1:$I$89,3,0)*VLOOKUP('Données projet'!$B$16,Paramètres!$A$1:$I$89,5,0)</f>
        <v>-9.7543306765146564E-14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242.10913976205194</v>
      </c>
      <c r="FK186" s="59">
        <f t="shared" si="156"/>
        <v>198.24795425321133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0.15581935765687283</v>
      </c>
      <c r="FS186" s="21">
        <f>EXP(-LN(2)/2)*FS185+(1-EXP(-LN(2)/2))/(LN(2)/2)*FM186*FP186*VLOOKUP('Données projet'!$B$16,Paramètres!$A$1:$I$89,3,0)*0.475*44/12</f>
        <v>1.2374421453830209E-22</v>
      </c>
      <c r="FT186" s="22">
        <f t="shared" si="184"/>
        <v>0.15581935765687283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108.5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108.5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89.987039999999823</v>
      </c>
      <c r="D187" s="11">
        <f t="shared" si="140"/>
        <v>24.562099327788779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486.331433637278</v>
      </c>
      <c r="H187" s="67">
        <f t="shared" si="110"/>
        <v>597.33975099589838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108.5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4.6111381379887463E-14</v>
      </c>
      <c r="P187" s="13">
        <f t="shared" si="141"/>
        <v>7.5804141040779151E-13</v>
      </c>
      <c r="Q187" s="20">
        <f t="shared" si="162"/>
        <v>1.4005661123635408E-12</v>
      </c>
      <c r="R187" s="59">
        <f t="shared" si="109"/>
        <v>434.50000000000142</v>
      </c>
      <c r="S187" s="59">
        <f ca="1">AVERAGE(OFFSET($R$3,0,0,'Données projet'!$E$9+1,1))-AVERAGE(OFFSET($H$3,0,0,'Données projet'!$E$9+1,1))</f>
        <v>273.89826011924487</v>
      </c>
      <c r="T187" s="59">
        <f t="shared" si="142"/>
        <v>332.17519939974227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0.1189596895771427</v>
      </c>
      <c r="AB187" s="21">
        <f>EXP(-LN(2)/2)*AB186+(1-EXP(-LN(2)/2))/(LN(2)/2)*V187*Y187*VLOOKUP('Données projet'!$B$9,Paramètres!$A$1:$I$89,3,0)*0.475*44/12</f>
        <v>7.2610373037476584E-23</v>
      </c>
      <c r="AC187" s="22">
        <f t="shared" si="163"/>
        <v>0.1189596895771427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108.5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-5.3205440053716299E-14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293.42903587188346</v>
      </c>
      <c r="AO187" s="59">
        <f t="shared" si="144"/>
        <v>267.80827667062124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0.14847303946744544</v>
      </c>
      <c r="AV187" s="21">
        <f>EXP(-LN(2)/25)*AV186+(1-EXP(-LN(2)/25))/(LN(2)/25)*Calculateur!AQ187*Calculateur!AS187*VLOOKUP('Données projet'!$B$10,Paramètres!$A$1:$I$89,3,0)*0.475*44/12</f>
        <v>0.10985683657195232</v>
      </c>
      <c r="AW187" s="21">
        <f>EXP(-LN(2)/2)*AW186+(1-EXP(-LN(2)/2))/(LN(2)/2)*AQ187*AT187*VLOOKUP('Données projet'!$B$10,Paramètres!$A$1:$I$89,3,0)*0.475*44/12</f>
        <v>6.5063886109605682E-23</v>
      </c>
      <c r="AX187" s="21">
        <f t="shared" si="166"/>
        <v>0.25832987603939778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108.5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-1.0286385077051818E-13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324.41828402031939</v>
      </c>
      <c r="BJ187" s="59">
        <f t="shared" si="146"/>
        <v>233.01060088065992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4.3435820830166949E-2</v>
      </c>
      <c r="BR187" s="21">
        <f>EXP(-LN(2)/2)*BR186+(1-EXP(-LN(2)/2))/(LN(2)/2)*BL187*BO187*VLOOKUP('Données projet'!$B$11,Paramètres!$A$1:$I$89,3,0)*0.475*44/12</f>
        <v>4.0957668396238992E-23</v>
      </c>
      <c r="BS187" s="22">
        <f t="shared" si="169"/>
        <v>4.3435820830166949E-2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108.5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279.00060755204919</v>
      </c>
      <c r="CE187" s="59">
        <f t="shared" si="148"/>
        <v>333.91128554211014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0.34581955716719265</v>
      </c>
      <c r="CL187" s="21">
        <f>EXP(-LN(2)/25)*CL186+(1-EXP(-LN(2)/25))/(LN(2)/25)*Calculateur!CG187*Calculateur!CI187*VLOOKUP('Données projet'!$B$12,Paramètres!$A$1:$I$89,3,0)*0.475*44/12</f>
        <v>0.38920603749432159</v>
      </c>
      <c r="CM187" s="21">
        <f>EXP(-LN(2)/2)*CM186+(1-EXP(-LN(2)/2))/(LN(2)/2)*CG187*CJ187*VLOOKUP('Données projet'!$B$12,Paramètres!$A$1:$I$89,3,0)*0.475*44/12</f>
        <v>1.4263167110929908E-22</v>
      </c>
      <c r="CN187" s="22">
        <f t="shared" si="172"/>
        <v>0.73502559466151429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108.5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-6.7984728957526396E-14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380.01315081072897</v>
      </c>
      <c r="CZ187" s="59">
        <f t="shared" si="150"/>
        <v>404.90871625409181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0.1657052044759468</v>
      </c>
      <c r="DG187" s="21">
        <f>EXP(-LN(2)/25)*DG186+(1-EXP(-LN(2)/25))/(LN(2)/25)*Calculateur!DB187*Calculateur!DD187*VLOOKUP('Données projet'!$B$13,Paramètres!$A$1:$I$89,3,0)*0.475*44/12</f>
        <v>0.29843098098011467</v>
      </c>
      <c r="DH187" s="21">
        <f>EXP(-LN(2)/2)*DH186+(1-EXP(-LN(2)/2))/(LN(2)/2)*DB187*DE187*VLOOKUP('Données projet'!$B$13,Paramètres!$A$1:$I$89,3,0)*0.475*44/12</f>
        <v>2.0053064381289398E-22</v>
      </c>
      <c r="DI187" s="22">
        <f t="shared" si="175"/>
        <v>0.4641361854560615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108.5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-5.6843418860808015E-14</v>
      </c>
      <c r="DP187" s="17">
        <f>DO187*VLOOKUP('Données projet'!$B$14,Paramètres!$A$1:$I$89,3,0)*VLOOKUP('Données projet'!$B$14,Paramètres!$A$1:$I$89,5,0)</f>
        <v>-5.1431925385259088E-14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320.81451813551064</v>
      </c>
      <c r="DU187" s="59">
        <f t="shared" si="152"/>
        <v>522.80818268773976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8.6942616178848853E-2</v>
      </c>
      <c r="EB187" s="21">
        <f>EXP(-LN(2)/25)*EB186+(1-EXP(-LN(2)/25))/(LN(2)/25)*Calculateur!DW187*Calculateur!DY187*VLOOKUP('Données projet'!$B$14,Paramètres!$A$1:$I$89,3,0)*0.475*44/12</f>
        <v>0.14580460875914653</v>
      </c>
      <c r="EC187" s="21">
        <f>EXP(-LN(2)/2)*EC186+(1-EXP(-LN(2)/2))/(LN(2)/2)*DW187*DZ187*VLOOKUP('Données projet'!$B$14,Paramètres!$A$1:$I$89,3,0)*0.475*44/12</f>
        <v>3.9631106613608498E-23</v>
      </c>
      <c r="ED187" s="22">
        <f t="shared" si="178"/>
        <v>0.23274722493799538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108.5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228.3393311631487</v>
      </c>
      <c r="EP187" s="59">
        <f t="shared" si="154"/>
        <v>266.26050497804033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0.29425099295318491</v>
      </c>
      <c r="EW187" s="21">
        <f>EXP(-LN(2)/25)*EW186+(1-EXP(-LN(2)/25))/(LN(2)/25)*Calculateur!ER187*Calculateur!ET187*VLOOKUP('Données projet'!$B$15,Paramètres!$A$1:$I$89,3,0)*0.475*44/12</f>
        <v>0.17244451190876928</v>
      </c>
      <c r="EX187" s="21">
        <f>EXP(-LN(2)/2)*EX186+(1-EXP(-LN(2)/2))/(LN(2)/2)*ER187*EU187*VLOOKUP('Données projet'!$B$15,Paramètres!$A$1:$I$89,3,0)*0.475*44/12</f>
        <v>3.6036569230096194E-23</v>
      </c>
      <c r="EY187" s="22">
        <f t="shared" si="181"/>
        <v>0.46669550486195421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108.5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-1.7053025658242404E-13</v>
      </c>
      <c r="FF187" s="17">
        <f>FE187*VLOOKUP('Données projet'!$B$16,Paramètres!$A$1:$I$89,3,0)*VLOOKUP('Données projet'!$B$16,Paramètres!$A$1:$I$89,5,0)</f>
        <v>-9.7543306765146564E-14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242.10913976205194</v>
      </c>
      <c r="FK187" s="59">
        <f t="shared" si="156"/>
        <v>198.24795425321133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0.15155846912756174</v>
      </c>
      <c r="FS187" s="21">
        <f>EXP(-LN(2)/2)*FS186+(1-EXP(-LN(2)/2))/(LN(2)/2)*FM187*FP187*VLOOKUP('Données projet'!$B$16,Paramètres!$A$1:$I$89,3,0)*0.475*44/12</f>
        <v>8.7500373232636371E-23</v>
      </c>
      <c r="FT187" s="22">
        <f t="shared" si="184"/>
        <v>0.15155846912756174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108.5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108.5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90.476099999999818</v>
      </c>
      <c r="D188" s="11">
        <f t="shared" si="140"/>
        <v>24.680013567105597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488.90841198665811</v>
      </c>
      <c r="H188" s="67">
        <f t="shared" si="110"/>
        <v>598.39689779604191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108.5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4.6111381379887463E-14</v>
      </c>
      <c r="P188" s="13">
        <f t="shared" si="141"/>
        <v>7.5804141040779151E-13</v>
      </c>
      <c r="Q188" s="20">
        <f t="shared" si="162"/>
        <v>1.4005661123635408E-12</v>
      </c>
      <c r="R188" s="59">
        <f t="shared" si="109"/>
        <v>434.50000000000142</v>
      </c>
      <c r="S188" s="59">
        <f ca="1">AVERAGE(OFFSET($R$3,0,0,'Données projet'!$E$9+1,1))-AVERAGE(OFFSET($H$3,0,0,'Données projet'!$E$9+1,1))</f>
        <v>273.89826011924487</v>
      </c>
      <c r="T188" s="59">
        <f t="shared" si="142"/>
        <v>332.17519939974227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0.11570673060983755</v>
      </c>
      <c r="AB188" s="21">
        <f>EXP(-LN(2)/2)*AB187+(1-EXP(-LN(2)/2))/(LN(2)/2)*V188*Y188*VLOOKUP('Données projet'!$B$9,Paramètres!$A$1:$I$89,3,0)*0.475*44/12</f>
        <v>5.1343287159284546E-23</v>
      </c>
      <c r="AC188" s="22">
        <f t="shared" si="163"/>
        <v>0.11570673060983755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108.5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-5.3205440053716299E-14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293.42903587188346</v>
      </c>
      <c r="AO188" s="59">
        <f t="shared" si="144"/>
        <v>267.80827667062124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0.14556157372310088</v>
      </c>
      <c r="AV188" s="21">
        <f>EXP(-LN(2)/25)*AV187+(1-EXP(-LN(2)/25))/(LN(2)/25)*Calculateur!AQ188*Calculateur!AS188*VLOOKUP('Données projet'!$B$10,Paramètres!$A$1:$I$89,3,0)*0.475*44/12</f>
        <v>0.10685279559877232</v>
      </c>
      <c r="AW188" s="21">
        <f>EXP(-LN(2)/2)*AW187+(1-EXP(-LN(2)/2))/(LN(2)/2)*AQ188*AT188*VLOOKUP('Données projet'!$B$10,Paramètres!$A$1:$I$89,3,0)*0.475*44/12</f>
        <v>4.6007115078451394E-23</v>
      </c>
      <c r="AX188" s="21">
        <f t="shared" si="166"/>
        <v>0.25241436932187322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108.5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-1.0286385077051818E-13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324.41828402031939</v>
      </c>
      <c r="BJ188" s="59">
        <f t="shared" si="146"/>
        <v>233.01060088065992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4.2248066025375487E-2</v>
      </c>
      <c r="BR188" s="21">
        <f>EXP(-LN(2)/2)*BR187+(1-EXP(-LN(2)/2))/(LN(2)/2)*BL188*BO188*VLOOKUP('Données projet'!$B$11,Paramètres!$A$1:$I$89,3,0)*0.475*44/12</f>
        <v>2.8961445064570538E-23</v>
      </c>
      <c r="BS188" s="22">
        <f t="shared" si="169"/>
        <v>4.2248066025375487E-2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108.5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279.00060755204919</v>
      </c>
      <c r="CE188" s="59">
        <f t="shared" si="148"/>
        <v>333.91128554211014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0.33903824658024634</v>
      </c>
      <c r="CL188" s="21">
        <f>EXP(-LN(2)/25)*CL187+(1-EXP(-LN(2)/25))/(LN(2)/25)*Calculateur!CG188*Calculateur!CI188*VLOOKUP('Données projet'!$B$12,Paramètres!$A$1:$I$89,3,0)*0.475*44/12</f>
        <v>0.37856317793158339</v>
      </c>
      <c r="CM188" s="21">
        <f>EXP(-LN(2)/2)*CM187+(1-EXP(-LN(2)/2))/(LN(2)/2)*CG188*CJ188*VLOOKUP('Données projet'!$B$12,Paramètres!$A$1:$I$89,3,0)*0.475*44/12</f>
        <v>1.0085582185335476E-22</v>
      </c>
      <c r="CN188" s="22">
        <f t="shared" si="172"/>
        <v>0.71760142451182973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108.5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-6.7984728957526396E-14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380.01315081072897</v>
      </c>
      <c r="CZ188" s="59">
        <f t="shared" si="150"/>
        <v>404.90871625409181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0.16245582648636836</v>
      </c>
      <c r="DG188" s="21">
        <f>EXP(-LN(2)/25)*DG187+(1-EXP(-LN(2)/25))/(LN(2)/25)*Calculateur!DB188*Calculateur!DD188*VLOOKUP('Données projet'!$B$13,Paramètres!$A$1:$I$89,3,0)*0.475*44/12</f>
        <v>0.29027037011141021</v>
      </c>
      <c r="DH188" s="21">
        <f>EXP(-LN(2)/2)*DH187+(1-EXP(-LN(2)/2))/(LN(2)/2)*DB188*DE188*VLOOKUP('Données projet'!$B$13,Paramètres!$A$1:$I$89,3,0)*0.475*44/12</f>
        <v>1.4179657807580152E-22</v>
      </c>
      <c r="DI188" s="22">
        <f t="shared" si="175"/>
        <v>0.45272619659777857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108.5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-5.6843418860808015E-14</v>
      </c>
      <c r="DP188" s="17">
        <f>DO188*VLOOKUP('Données projet'!$B$14,Paramètres!$A$1:$I$89,3,0)*VLOOKUP('Données projet'!$B$14,Paramètres!$A$1:$I$89,5,0)</f>
        <v>-5.1431925385259088E-14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320.81451813551064</v>
      </c>
      <c r="DU188" s="59">
        <f t="shared" si="152"/>
        <v>522.80818268773976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8.5237724505341242E-2</v>
      </c>
      <c r="EB188" s="21">
        <f>EXP(-LN(2)/25)*EB187+(1-EXP(-LN(2)/25))/(LN(2)/25)*Calculateur!DW188*Calculateur!DY188*VLOOKUP('Données projet'!$B$14,Paramètres!$A$1:$I$89,3,0)*0.475*44/12</f>
        <v>0.14181757406509654</v>
      </c>
      <c r="EC188" s="21">
        <f>EXP(-LN(2)/2)*EC187+(1-EXP(-LN(2)/2))/(LN(2)/2)*DW188*DZ188*VLOOKUP('Données projet'!$B$14,Paramètres!$A$1:$I$89,3,0)*0.475*44/12</f>
        <v>2.8023424232409601E-23</v>
      </c>
      <c r="ED188" s="22">
        <f t="shared" si="178"/>
        <v>0.22705529857043777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108.5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228.3393311631487</v>
      </c>
      <c r="EP188" s="59">
        <f t="shared" si="154"/>
        <v>266.26050497804033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0.28848091045675694</v>
      </c>
      <c r="EW188" s="21">
        <f>EXP(-LN(2)/25)*EW187+(1-EXP(-LN(2)/25))/(LN(2)/25)*Calculateur!ER188*Calculateur!ET188*VLOOKUP('Données projet'!$B$15,Paramètres!$A$1:$I$89,3,0)*0.475*44/12</f>
        <v>0.16772900766216123</v>
      </c>
      <c r="EX188" s="21">
        <f>EXP(-LN(2)/2)*EX187+(1-EXP(-LN(2)/2))/(LN(2)/2)*ER188*EU188*VLOOKUP('Données projet'!$B$15,Paramètres!$A$1:$I$89,3,0)*0.475*44/12</f>
        <v>2.5481702473299501E-23</v>
      </c>
      <c r="EY188" s="22">
        <f t="shared" si="181"/>
        <v>0.4562099181189182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108.5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-1.7053025658242404E-13</v>
      </c>
      <c r="FF188" s="17">
        <f>FE188*VLOOKUP('Données projet'!$B$16,Paramètres!$A$1:$I$89,3,0)*VLOOKUP('Données projet'!$B$16,Paramètres!$A$1:$I$89,5,0)</f>
        <v>-9.7543306765146564E-14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242.10913976205194</v>
      </c>
      <c r="FK188" s="59">
        <f t="shared" si="156"/>
        <v>198.24795425321133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0.14741409481915507</v>
      </c>
      <c r="FS188" s="21">
        <f>EXP(-LN(2)/2)*FS187+(1-EXP(-LN(2)/2))/(LN(2)/2)*FM188*FP188*VLOOKUP('Données projet'!$B$16,Paramètres!$A$1:$I$89,3,0)*0.475*44/12</f>
        <v>6.1872107269151046E-23</v>
      </c>
      <c r="FT188" s="22">
        <f t="shared" si="184"/>
        <v>0.14741409481915507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108.5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108.5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90.965159999999813</v>
      </c>
      <c r="D189" s="11">
        <f t="shared" si="140"/>
        <v>24.797853639010714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491.48507544983426</v>
      </c>
      <c r="H189" s="67">
        <f t="shared" si="110"/>
        <v>599.45391542127663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108.5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4.6111381379887463E-14</v>
      </c>
      <c r="P189" s="13">
        <f t="shared" si="141"/>
        <v>7.5804141040779151E-13</v>
      </c>
      <c r="Q189" s="20">
        <f t="shared" si="162"/>
        <v>1.4005661123635408E-12</v>
      </c>
      <c r="R189" s="59">
        <f t="shared" si="109"/>
        <v>434.50000000000142</v>
      </c>
      <c r="S189" s="59">
        <f ca="1">AVERAGE(OFFSET($R$3,0,0,'Données projet'!$E$9+1,1))-AVERAGE(OFFSET($H$3,0,0,'Données projet'!$E$9+1,1))</f>
        <v>273.89826011924487</v>
      </c>
      <c r="T189" s="59">
        <f t="shared" si="142"/>
        <v>332.17519939974227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0.11254272397655903</v>
      </c>
      <c r="AB189" s="21">
        <f>EXP(-LN(2)/2)*AB188+(1-EXP(-LN(2)/2))/(LN(2)/2)*V189*Y189*VLOOKUP('Données projet'!$B$9,Paramètres!$A$1:$I$89,3,0)*0.475*44/12</f>
        <v>3.6305186518738292E-23</v>
      </c>
      <c r="AC189" s="22">
        <f t="shared" si="163"/>
        <v>0.11254272397655903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108.5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-5.3205440053716299E-14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293.42903587188346</v>
      </c>
      <c r="AO189" s="59">
        <f t="shared" si="144"/>
        <v>267.80827667062124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0.14270720004618417</v>
      </c>
      <c r="AV189" s="21">
        <f>EXP(-LN(2)/25)*AV188+(1-EXP(-LN(2)/25))/(LN(2)/25)*Calculateur!AQ189*Calculateur!AS189*VLOOKUP('Données projet'!$B$10,Paramètres!$A$1:$I$89,3,0)*0.475*44/12</f>
        <v>0.10393090028397958</v>
      </c>
      <c r="AW189" s="21">
        <f>EXP(-LN(2)/2)*AW188+(1-EXP(-LN(2)/2))/(LN(2)/2)*AQ189*AT189*VLOOKUP('Données projet'!$B$10,Paramètres!$A$1:$I$89,3,0)*0.475*44/12</f>
        <v>3.2531943054802841E-23</v>
      </c>
      <c r="AX189" s="21">
        <f t="shared" si="166"/>
        <v>0.24663810033016376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108.5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-1.0286385077051818E-13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324.41828402031939</v>
      </c>
      <c r="BJ189" s="59">
        <f t="shared" si="146"/>
        <v>233.01060088065992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4.1092790438182362E-2</v>
      </c>
      <c r="BR189" s="21">
        <f>EXP(-LN(2)/2)*BR188+(1-EXP(-LN(2)/2))/(LN(2)/2)*BL189*BO189*VLOOKUP('Données projet'!$B$11,Paramètres!$A$1:$I$89,3,0)*0.475*44/12</f>
        <v>2.0478834198119496E-23</v>
      </c>
      <c r="BS189" s="22">
        <f t="shared" si="169"/>
        <v>4.1092790438182362E-2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108.5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279.00060755204919</v>
      </c>
      <c r="CE189" s="59">
        <f t="shared" si="148"/>
        <v>333.91128554211014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0.332389913357719</v>
      </c>
      <c r="CL189" s="21">
        <f>EXP(-LN(2)/25)*CL188+(1-EXP(-LN(2)/25))/(LN(2)/25)*Calculateur!CG189*Calculateur!CI189*VLOOKUP('Données projet'!$B$12,Paramètres!$A$1:$I$89,3,0)*0.475*44/12</f>
        <v>0.36821134792327193</v>
      </c>
      <c r="CM189" s="21">
        <f>EXP(-LN(2)/2)*CM188+(1-EXP(-LN(2)/2))/(LN(2)/2)*CG189*CJ189*VLOOKUP('Données projet'!$B$12,Paramètres!$A$1:$I$89,3,0)*0.475*44/12</f>
        <v>7.1315835554649541E-23</v>
      </c>
      <c r="CN189" s="22">
        <f t="shared" si="172"/>
        <v>0.70060126128099087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108.5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-6.7984728957526396E-14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380.01315081072897</v>
      </c>
      <c r="CZ189" s="59">
        <f t="shared" si="150"/>
        <v>404.90871625409181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0.15927016681724068</v>
      </c>
      <c r="DG189" s="21">
        <f>EXP(-LN(2)/25)*DG188+(1-EXP(-LN(2)/25))/(LN(2)/25)*Calculateur!DB189*Calculateur!DD189*VLOOKUP('Données projet'!$B$13,Paramètres!$A$1:$I$89,3,0)*0.475*44/12</f>
        <v>0.28233291157605833</v>
      </c>
      <c r="DH189" s="21">
        <f>EXP(-LN(2)/2)*DH188+(1-EXP(-LN(2)/2))/(LN(2)/2)*DB189*DE189*VLOOKUP('Données projet'!$B$13,Paramètres!$A$1:$I$89,3,0)*0.475*44/12</f>
        <v>1.0026532190644699E-22</v>
      </c>
      <c r="DI189" s="22">
        <f t="shared" si="175"/>
        <v>0.44160307839329904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108.5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-5.6843418860808015E-14</v>
      </c>
      <c r="DP189" s="17">
        <f>DO189*VLOOKUP('Données projet'!$B$14,Paramètres!$A$1:$I$89,3,0)*VLOOKUP('Données projet'!$B$14,Paramètres!$A$1:$I$89,5,0)</f>
        <v>-5.1431925385259088E-14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320.81451813551064</v>
      </c>
      <c r="DU189" s="59">
        <f t="shared" si="152"/>
        <v>522.80818268773976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8.3566264717669869E-2</v>
      </c>
      <c r="EB189" s="21">
        <f>EXP(-LN(2)/25)*EB188+(1-EXP(-LN(2)/25))/(LN(2)/25)*Calculateur!DW189*Calculateur!DY189*VLOOKUP('Données projet'!$B$14,Paramètres!$A$1:$I$89,3,0)*0.475*44/12</f>
        <v>0.13793956504442439</v>
      </c>
      <c r="EC189" s="21">
        <f>EXP(-LN(2)/2)*EC188+(1-EXP(-LN(2)/2))/(LN(2)/2)*DW189*DZ189*VLOOKUP('Données projet'!$B$14,Paramètres!$A$1:$I$89,3,0)*0.475*44/12</f>
        <v>1.9815553306804249E-23</v>
      </c>
      <c r="ED189" s="22">
        <f t="shared" si="178"/>
        <v>0.22150582976209426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108.5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228.3393311631487</v>
      </c>
      <c r="EP189" s="59">
        <f t="shared" si="154"/>
        <v>266.26050497804033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0.28282397575868112</v>
      </c>
      <c r="EW189" s="21">
        <f>EXP(-LN(2)/25)*EW188+(1-EXP(-LN(2)/25))/(LN(2)/25)*Calculateur!ER189*Calculateur!ET189*VLOOKUP('Données projet'!$B$15,Paramètres!$A$1:$I$89,3,0)*0.475*44/12</f>
        <v>0.16314244912715425</v>
      </c>
      <c r="EX189" s="21">
        <f>EXP(-LN(2)/2)*EX188+(1-EXP(-LN(2)/2))/(LN(2)/2)*ER189*EU189*VLOOKUP('Données projet'!$B$15,Paramètres!$A$1:$I$89,3,0)*0.475*44/12</f>
        <v>1.8018284615048097E-23</v>
      </c>
      <c r="EY189" s="22">
        <f t="shared" si="181"/>
        <v>0.44596642488583538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108.5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-1.7053025658242404E-13</v>
      </c>
      <c r="FF189" s="17">
        <f>FE189*VLOOKUP('Données projet'!$B$16,Paramètres!$A$1:$I$89,3,0)*VLOOKUP('Données projet'!$B$16,Paramètres!$A$1:$I$89,5,0)</f>
        <v>-9.7543306765146564E-14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242.10913976205194</v>
      </c>
      <c r="FK189" s="59">
        <f t="shared" si="156"/>
        <v>198.24795425321133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0.14338304864415494</v>
      </c>
      <c r="FS189" s="21">
        <f>EXP(-LN(2)/2)*FS188+(1-EXP(-LN(2)/2))/(LN(2)/2)*FM189*FP189*VLOOKUP('Données projet'!$B$16,Paramètres!$A$1:$I$89,3,0)*0.475*44/12</f>
        <v>4.3750186616318185E-23</v>
      </c>
      <c r="FT189" s="22">
        <f t="shared" si="184"/>
        <v>0.14338304864415494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108.5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108.5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91.454219999999808</v>
      </c>
      <c r="D190" s="11">
        <f t="shared" si="140"/>
        <v>24.91561998853312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494.06142591622756</v>
      </c>
      <c r="H190" s="67">
        <f t="shared" si="110"/>
        <v>600.51080464669485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108.5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4.6111381379887463E-14</v>
      </c>
      <c r="P190" s="13">
        <f t="shared" si="141"/>
        <v>7.5804141040779151E-13</v>
      </c>
      <c r="Q190" s="20">
        <f t="shared" si="162"/>
        <v>1.4005661123635408E-12</v>
      </c>
      <c r="R190" s="59">
        <f t="shared" si="109"/>
        <v>434.50000000000142</v>
      </c>
      <c r="S190" s="59">
        <f ca="1">AVERAGE(OFFSET($R$3,0,0,'Données projet'!$E$9+1,1))-AVERAGE(OFFSET($H$3,0,0,'Données projet'!$E$9+1,1))</f>
        <v>273.89826011924487</v>
      </c>
      <c r="T190" s="59">
        <f t="shared" si="142"/>
        <v>332.17519939974227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0.10946523727105538</v>
      </c>
      <c r="AB190" s="21">
        <f>EXP(-LN(2)/2)*AB189+(1-EXP(-LN(2)/2))/(LN(2)/2)*V190*Y190*VLOOKUP('Données projet'!$B$9,Paramètres!$A$1:$I$89,3,0)*0.475*44/12</f>
        <v>2.5671643579642273E-23</v>
      </c>
      <c r="AC190" s="22">
        <f t="shared" si="163"/>
        <v>0.10946523727105538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108.5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-5.3205440053716299E-14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293.42903587188346</v>
      </c>
      <c r="AO190" s="59">
        <f t="shared" si="144"/>
        <v>267.80827667062124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0.13990879889607577</v>
      </c>
      <c r="AV190" s="21">
        <f>EXP(-LN(2)/25)*AV189+(1-EXP(-LN(2)/25))/(LN(2)/25)*Calculateur!AQ190*Calculateur!AS190*VLOOKUP('Données projet'!$B$10,Paramètres!$A$1:$I$89,3,0)*0.475*44/12</f>
        <v>0.10108890435022565</v>
      </c>
      <c r="AW190" s="21">
        <f>EXP(-LN(2)/2)*AW189+(1-EXP(-LN(2)/2))/(LN(2)/2)*AQ190*AT190*VLOOKUP('Données projet'!$B$10,Paramètres!$A$1:$I$89,3,0)*0.475*44/12</f>
        <v>2.3003557539225697E-23</v>
      </c>
      <c r="AX190" s="21">
        <f t="shared" si="166"/>
        <v>0.24099770324630143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108.5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-1.0286385077051818E-13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324.41828402031939</v>
      </c>
      <c r="BJ190" s="59">
        <f t="shared" si="146"/>
        <v>233.01060088065992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3.9969105922674338E-2</v>
      </c>
      <c r="BR190" s="21">
        <f>EXP(-LN(2)/2)*BR189+(1-EXP(-LN(2)/2))/(LN(2)/2)*BL190*BO190*VLOOKUP('Données projet'!$B$11,Paramètres!$A$1:$I$89,3,0)*0.475*44/12</f>
        <v>1.4480722532285269E-23</v>
      </c>
      <c r="BS190" s="22">
        <f t="shared" si="169"/>
        <v>3.9969105922674338E-2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108.5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279.00060755204919</v>
      </c>
      <c r="CE190" s="59">
        <f t="shared" si="148"/>
        <v>333.91128554211014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0.32587194989460261</v>
      </c>
      <c r="CL190" s="21">
        <f>EXP(-LN(2)/25)*CL189+(1-EXP(-LN(2)/25))/(LN(2)/25)*Calculateur!CG190*Calculateur!CI190*VLOOKUP('Données projet'!$B$12,Paramètres!$A$1:$I$89,3,0)*0.475*44/12</f>
        <v>0.3581425892509168</v>
      </c>
      <c r="CM190" s="21">
        <f>EXP(-LN(2)/2)*CM189+(1-EXP(-LN(2)/2))/(LN(2)/2)*CG190*CJ190*VLOOKUP('Données projet'!$B$12,Paramètres!$A$1:$I$89,3,0)*0.475*44/12</f>
        <v>5.0427910926677379E-23</v>
      </c>
      <c r="CN190" s="22">
        <f t="shared" si="172"/>
        <v>0.68401453914551946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108.5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-6.7984728957526396E-14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380.01315081072897</v>
      </c>
      <c r="CZ190" s="59">
        <f t="shared" si="150"/>
        <v>404.90871625409181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0.15614697599116406</v>
      </c>
      <c r="DG190" s="21">
        <f>EXP(-LN(2)/25)*DG189+(1-EXP(-LN(2)/25))/(LN(2)/25)*Calculateur!DB190*Calculateur!DD190*VLOOKUP('Données projet'!$B$13,Paramètres!$A$1:$I$89,3,0)*0.475*44/12</f>
        <v>0.2746125032617685</v>
      </c>
      <c r="DH190" s="21">
        <f>EXP(-LN(2)/2)*DH189+(1-EXP(-LN(2)/2))/(LN(2)/2)*DB190*DE190*VLOOKUP('Données projet'!$B$13,Paramètres!$A$1:$I$89,3,0)*0.475*44/12</f>
        <v>7.0898289037900761E-23</v>
      </c>
      <c r="DI190" s="22">
        <f t="shared" si="175"/>
        <v>0.43075947925293256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108.5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-5.6843418860808015E-14</v>
      </c>
      <c r="DP190" s="17">
        <f>DO190*VLOOKUP('Données projet'!$B$14,Paramètres!$A$1:$I$89,3,0)*VLOOKUP('Données projet'!$B$14,Paramètres!$A$1:$I$89,5,0)</f>
        <v>-5.1431925385259088E-14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320.81451813551064</v>
      </c>
      <c r="DU190" s="59">
        <f t="shared" si="152"/>
        <v>522.80818268773976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8.1927581236944935E-2</v>
      </c>
      <c r="EB190" s="21">
        <f>EXP(-LN(2)/25)*EB189+(1-EXP(-LN(2)/25))/(LN(2)/25)*Calculateur!DW190*Calculateur!DY190*VLOOKUP('Données projet'!$B$14,Paramètres!$A$1:$I$89,3,0)*0.475*44/12</f>
        <v>0.13416760038435815</v>
      </c>
      <c r="EC190" s="21">
        <f>EXP(-LN(2)/2)*EC189+(1-EXP(-LN(2)/2))/(LN(2)/2)*DW190*DZ190*VLOOKUP('Données projet'!$B$14,Paramètres!$A$1:$I$89,3,0)*0.475*44/12</f>
        <v>1.40117121162048E-23</v>
      </c>
      <c r="ED190" s="22">
        <f t="shared" si="178"/>
        <v>0.21609518162130309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108.5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228.3393311631487</v>
      </c>
      <c r="EP190" s="59">
        <f t="shared" si="154"/>
        <v>266.26050497804033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0.27727797009964511</v>
      </c>
      <c r="EW190" s="21">
        <f>EXP(-LN(2)/25)*EW189+(1-EXP(-LN(2)/25))/(LN(2)/25)*Calculateur!ER190*Calculateur!ET190*VLOOKUP('Données projet'!$B$15,Paramètres!$A$1:$I$89,3,0)*0.475*44/12</f>
        <v>0.15868131027648369</v>
      </c>
      <c r="EX190" s="21">
        <f>EXP(-LN(2)/2)*EX189+(1-EXP(-LN(2)/2))/(LN(2)/2)*ER190*EU190*VLOOKUP('Données projet'!$B$15,Paramètres!$A$1:$I$89,3,0)*0.475*44/12</f>
        <v>1.2740851236649751E-23</v>
      </c>
      <c r="EY190" s="22">
        <f t="shared" si="181"/>
        <v>0.4359592803761288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108.5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-1.7053025658242404E-13</v>
      </c>
      <c r="FF190" s="17">
        <f>FE190*VLOOKUP('Données projet'!$B$16,Paramètres!$A$1:$I$89,3,0)*VLOOKUP('Données projet'!$B$16,Paramètres!$A$1:$I$89,5,0)</f>
        <v>-9.7543306765146564E-14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242.10913976205194</v>
      </c>
      <c r="FK190" s="59">
        <f t="shared" si="156"/>
        <v>198.24795425321133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0.1394622316387937</v>
      </c>
      <c r="FS190" s="21">
        <f>EXP(-LN(2)/2)*FS189+(1-EXP(-LN(2)/2))/(LN(2)/2)*FM190*FP190*VLOOKUP('Données projet'!$B$16,Paramètres!$A$1:$I$89,3,0)*0.475*44/12</f>
        <v>3.0936053634575523E-23</v>
      </c>
      <c r="FT190" s="22">
        <f t="shared" si="184"/>
        <v>0.1394622316387937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108.5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108.5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91.943279999999802</v>
      </c>
      <c r="D191" s="11">
        <f t="shared" si="140"/>
        <v>25.033313055666657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496.63746525388223</v>
      </c>
      <c r="H191" s="67">
        <f t="shared" si="110"/>
        <v>601.56756623861907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108.5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4.6111381379887463E-14</v>
      </c>
      <c r="P191" s="13">
        <f t="shared" si="141"/>
        <v>7.5804141040779151E-13</v>
      </c>
      <c r="Q191" s="20">
        <f t="shared" si="162"/>
        <v>1.4005661123635408E-12</v>
      </c>
      <c r="R191" s="59">
        <f t="shared" si="109"/>
        <v>434.50000000000142</v>
      </c>
      <c r="S191" s="59">
        <f ca="1">AVERAGE(OFFSET($R$3,0,0,'Données projet'!$E$9+1,1))-AVERAGE(OFFSET($H$3,0,0,'Données projet'!$E$9+1,1))</f>
        <v>273.89826011924487</v>
      </c>
      <c r="T191" s="59">
        <f t="shared" si="142"/>
        <v>332.17519939974227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0.10647190460135172</v>
      </c>
      <c r="AB191" s="21">
        <f>EXP(-LN(2)/2)*AB190+(1-EXP(-LN(2)/2))/(LN(2)/2)*V191*Y191*VLOOKUP('Données projet'!$B$9,Paramètres!$A$1:$I$89,3,0)*0.475*44/12</f>
        <v>1.8152593259369146E-23</v>
      </c>
      <c r="AC191" s="22">
        <f t="shared" si="163"/>
        <v>0.10647190460135172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108.5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-5.3205440053716299E-14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293.42903587188346</v>
      </c>
      <c r="AO191" s="59">
        <f t="shared" si="144"/>
        <v>267.80827667062124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0.13716527268566484</v>
      </c>
      <c r="AV191" s="21">
        <f>EXP(-LN(2)/25)*AV190+(1-EXP(-LN(2)/25))/(LN(2)/25)*Calculateur!AQ191*Calculateur!AS191*VLOOKUP('Données projet'!$B$10,Paramètres!$A$1:$I$89,3,0)*0.475*44/12</f>
        <v>9.8324622944734291E-2</v>
      </c>
      <c r="AW191" s="21">
        <f>EXP(-LN(2)/2)*AW190+(1-EXP(-LN(2)/2))/(LN(2)/2)*AQ191*AT191*VLOOKUP('Données projet'!$B$10,Paramètres!$A$1:$I$89,3,0)*0.475*44/12</f>
        <v>1.626597152740142E-23</v>
      </c>
      <c r="AX191" s="21">
        <f t="shared" si="166"/>
        <v>0.23548989563039913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108.5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-1.0286385077051818E-13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324.41828402031939</v>
      </c>
      <c r="BJ191" s="59">
        <f t="shared" si="146"/>
        <v>233.01060088065992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3.8876148619334881E-2</v>
      </c>
      <c r="BR191" s="21">
        <f>EXP(-LN(2)/2)*BR190+(1-EXP(-LN(2)/2))/(LN(2)/2)*BL191*BO191*VLOOKUP('Données projet'!$B$11,Paramètres!$A$1:$I$89,3,0)*0.475*44/12</f>
        <v>1.0239417099059748E-23</v>
      </c>
      <c r="BS191" s="22">
        <f t="shared" si="169"/>
        <v>3.8876148619334881E-2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108.5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279.00060755204919</v>
      </c>
      <c r="CE191" s="59">
        <f t="shared" si="148"/>
        <v>333.91128554211014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0.31948179971943275</v>
      </c>
      <c r="CL191" s="21">
        <f>EXP(-LN(2)/25)*CL190+(1-EXP(-LN(2)/25))/(LN(2)/25)*Calculateur!CG191*Calculateur!CI191*VLOOKUP('Données projet'!$B$12,Paramètres!$A$1:$I$89,3,0)*0.475*44/12</f>
        <v>0.34834916131395027</v>
      </c>
      <c r="CM191" s="21">
        <f>EXP(-LN(2)/2)*CM190+(1-EXP(-LN(2)/2))/(LN(2)/2)*CG191*CJ191*VLOOKUP('Données projet'!$B$12,Paramètres!$A$1:$I$89,3,0)*0.475*44/12</f>
        <v>3.565791777732477E-23</v>
      </c>
      <c r="CN191" s="22">
        <f t="shared" si="172"/>
        <v>0.66783096103338302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108.5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-6.7984728957526396E-14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380.01315081072897</v>
      </c>
      <c r="CZ191" s="59">
        <f t="shared" si="150"/>
        <v>404.90871625409181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0.15308502903222848</v>
      </c>
      <c r="DG191" s="21">
        <f>EXP(-LN(2)/25)*DG190+(1-EXP(-LN(2)/25))/(LN(2)/25)*Calculateur!DB191*Calculateur!DD191*VLOOKUP('Données projet'!$B$13,Paramètres!$A$1:$I$89,3,0)*0.475*44/12</f>
        <v>0.26710320991883152</v>
      </c>
      <c r="DH191" s="21">
        <f>EXP(-LN(2)/2)*DH190+(1-EXP(-LN(2)/2))/(LN(2)/2)*DB191*DE191*VLOOKUP('Données projet'!$B$13,Paramètres!$A$1:$I$89,3,0)*0.475*44/12</f>
        <v>5.0132660953223495E-23</v>
      </c>
      <c r="DI191" s="22">
        <f t="shared" si="175"/>
        <v>0.42018823895106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108.5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-5.6843418860808015E-14</v>
      </c>
      <c r="DP191" s="17">
        <f>DO191*VLOOKUP('Données projet'!$B$14,Paramètres!$A$1:$I$89,3,0)*VLOOKUP('Données projet'!$B$14,Paramètres!$A$1:$I$89,5,0)</f>
        <v>-5.1431925385259088E-14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320.81451813551064</v>
      </c>
      <c r="DU191" s="59">
        <f t="shared" si="152"/>
        <v>522.80818268773976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8.032103133977879E-2</v>
      </c>
      <c r="EB191" s="21">
        <f>EXP(-LN(2)/25)*EB190+(1-EXP(-LN(2)/25))/(LN(2)/25)*Calculateur!DW191*Calculateur!DY191*VLOOKUP('Données projet'!$B$14,Paramètres!$A$1:$I$89,3,0)*0.475*44/12</f>
        <v>0.13049878029628043</v>
      </c>
      <c r="EC191" s="21">
        <f>EXP(-LN(2)/2)*EC190+(1-EXP(-LN(2)/2))/(LN(2)/2)*DW191*DZ191*VLOOKUP('Données projet'!$B$14,Paramètres!$A$1:$I$89,3,0)*0.475*44/12</f>
        <v>9.9077766534021246E-24</v>
      </c>
      <c r="ED191" s="22">
        <f t="shared" si="178"/>
        <v>0.21081981163605923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108.5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228.3393311631487</v>
      </c>
      <c r="EP191" s="59">
        <f t="shared" si="154"/>
        <v>266.26050497804033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0.27184071822885336</v>
      </c>
      <c r="EW191" s="21">
        <f>EXP(-LN(2)/25)*EW190+(1-EXP(-LN(2)/25))/(LN(2)/25)*Calculateur!ER191*Calculateur!ET191*VLOOKUP('Données projet'!$B$15,Paramètres!$A$1:$I$89,3,0)*0.475*44/12</f>
        <v>0.1543421615022858</v>
      </c>
      <c r="EX191" s="21">
        <f>EXP(-LN(2)/2)*EX190+(1-EXP(-LN(2)/2))/(LN(2)/2)*ER191*EU191*VLOOKUP('Données projet'!$B$15,Paramètres!$A$1:$I$89,3,0)*0.475*44/12</f>
        <v>9.0091423075240485E-24</v>
      </c>
      <c r="EY191" s="22">
        <f t="shared" si="181"/>
        <v>0.42618287973113916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108.5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-1.7053025658242404E-13</v>
      </c>
      <c r="FF191" s="17">
        <f>FE191*VLOOKUP('Données projet'!$B$16,Paramètres!$A$1:$I$89,3,0)*VLOOKUP('Données projet'!$B$16,Paramètres!$A$1:$I$89,5,0)</f>
        <v>-9.7543306765146564E-14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242.10913976205194</v>
      </c>
      <c r="FK191" s="59">
        <f t="shared" si="156"/>
        <v>198.24795425321133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0.13564862958063087</v>
      </c>
      <c r="FS191" s="21">
        <f>EXP(-LN(2)/2)*FS190+(1-EXP(-LN(2)/2))/(LN(2)/2)*FM191*FP191*VLOOKUP('Données projet'!$B$16,Paramètres!$A$1:$I$89,3,0)*0.475*44/12</f>
        <v>2.1875093308159093E-23</v>
      </c>
      <c r="FT191" s="22">
        <f t="shared" si="184"/>
        <v>0.13564862958063087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108.5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108.5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92.432339999999797</v>
      </c>
      <c r="D192" s="11">
        <f t="shared" si="140"/>
        <v>25.15093327545334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499.21319530981856</v>
      </c>
      <c r="H192" s="67">
        <f t="shared" si="110"/>
        <v>602.62420095474749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108.5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4.6111381379887463E-14</v>
      </c>
      <c r="P192" s="13">
        <f t="shared" si="141"/>
        <v>7.5804141040779151E-13</v>
      </c>
      <c r="Q192" s="20">
        <f t="shared" si="162"/>
        <v>1.4005661123635408E-12</v>
      </c>
      <c r="R192" s="59">
        <f t="shared" si="109"/>
        <v>434.50000000000142</v>
      </c>
      <c r="S192" s="59">
        <f ca="1">AVERAGE(OFFSET($R$3,0,0,'Données projet'!$E$9+1,1))-AVERAGE(OFFSET($H$3,0,0,'Données projet'!$E$9+1,1))</f>
        <v>273.89826011924487</v>
      </c>
      <c r="T192" s="59">
        <f t="shared" si="142"/>
        <v>332.17519939974227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0.10356042477091364</v>
      </c>
      <c r="AB192" s="21">
        <f>EXP(-LN(2)/2)*AB191+(1-EXP(-LN(2)/2))/(LN(2)/2)*V192*Y192*VLOOKUP('Données projet'!$B$9,Paramètres!$A$1:$I$89,3,0)*0.475*44/12</f>
        <v>1.2835821789821136E-23</v>
      </c>
      <c r="AC192" s="22">
        <f t="shared" si="163"/>
        <v>0.10356042477091364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108.5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-5.3205440053716299E-14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293.42903587188346</v>
      </c>
      <c r="AO192" s="59">
        <f t="shared" si="144"/>
        <v>267.80827667062124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0.13447554535085429</v>
      </c>
      <c r="AV192" s="21">
        <f>EXP(-LN(2)/25)*AV191+(1-EXP(-LN(2)/25))/(LN(2)/25)*Calculateur!AQ192*Calculateur!AS192*VLOOKUP('Données projet'!$B$10,Paramètres!$A$1:$I$89,3,0)*0.475*44/12</f>
        <v>9.5635930959643331E-2</v>
      </c>
      <c r="AW192" s="21">
        <f>EXP(-LN(2)/2)*AW191+(1-EXP(-LN(2)/2))/(LN(2)/2)*AQ192*AT192*VLOOKUP('Données projet'!$B$10,Paramètres!$A$1:$I$89,3,0)*0.475*44/12</f>
        <v>1.1501778769612849E-23</v>
      </c>
      <c r="AX192" s="21">
        <f t="shared" si="166"/>
        <v>0.23011147631049761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108.5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-1.0286385077051818E-13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324.41828402031939</v>
      </c>
      <c r="BJ192" s="59">
        <f t="shared" si="146"/>
        <v>233.01060088065992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3.7813078290931362E-2</v>
      </c>
      <c r="BR192" s="21">
        <f>EXP(-LN(2)/2)*BR191+(1-EXP(-LN(2)/2))/(LN(2)/2)*BL192*BO192*VLOOKUP('Données projet'!$B$11,Paramètres!$A$1:$I$89,3,0)*0.475*44/12</f>
        <v>7.2403612661426344E-24</v>
      </c>
      <c r="BS192" s="22">
        <f t="shared" si="169"/>
        <v>3.7813078290931362E-2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108.5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279.00060755204919</v>
      </c>
      <c r="CE192" s="59">
        <f t="shared" si="148"/>
        <v>333.91128554211014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0.3132169564915912</v>
      </c>
      <c r="CL192" s="21">
        <f>EXP(-LN(2)/25)*CL191+(1-EXP(-LN(2)/25))/(LN(2)/25)*Calculateur!CG192*Calculateur!CI192*VLOOKUP('Données projet'!$B$12,Paramètres!$A$1:$I$89,3,0)*0.475*44/12</f>
        <v>0.3388235351789341</v>
      </c>
      <c r="CM192" s="21">
        <f>EXP(-LN(2)/2)*CM191+(1-EXP(-LN(2)/2))/(LN(2)/2)*CG192*CJ192*VLOOKUP('Données projet'!$B$12,Paramètres!$A$1:$I$89,3,0)*0.475*44/12</f>
        <v>2.521395546333869E-23</v>
      </c>
      <c r="CN192" s="22">
        <f t="shared" si="172"/>
        <v>0.65204049167052536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108.5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-6.7984728957526396E-14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380.01315081072897</v>
      </c>
      <c r="CZ192" s="59">
        <f t="shared" si="150"/>
        <v>404.90871625409181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0.1500831249855544</v>
      </c>
      <c r="DG192" s="21">
        <f>EXP(-LN(2)/25)*DG191+(1-EXP(-LN(2)/25))/(LN(2)/25)*Calculateur!DB192*Calculateur!DD192*VLOOKUP('Données projet'!$B$13,Paramètres!$A$1:$I$89,3,0)*0.475*44/12</f>
        <v>0.25979925859725372</v>
      </c>
      <c r="DH192" s="21">
        <f>EXP(-LN(2)/2)*DH191+(1-EXP(-LN(2)/2))/(LN(2)/2)*DB192*DE192*VLOOKUP('Données projet'!$B$13,Paramètres!$A$1:$I$89,3,0)*0.475*44/12</f>
        <v>3.5449144518950381E-23</v>
      </c>
      <c r="DI192" s="22">
        <f t="shared" si="175"/>
        <v>0.40988238358280815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108.5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-5.6843418860808015E-14</v>
      </c>
      <c r="DP192" s="17">
        <f>DO192*VLOOKUP('Données projet'!$B$14,Paramètres!$A$1:$I$89,3,0)*VLOOKUP('Données projet'!$B$14,Paramètres!$A$1:$I$89,5,0)</f>
        <v>-5.1431925385259088E-14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320.81451813551064</v>
      </c>
      <c r="DU192" s="59">
        <f t="shared" si="152"/>
        <v>522.80818268773976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7.8745984906197386E-2</v>
      </c>
      <c r="EB192" s="21">
        <f>EXP(-LN(2)/25)*EB191+(1-EXP(-LN(2)/25))/(LN(2)/25)*Calculateur!DW192*Calculateur!DY192*VLOOKUP('Données projet'!$B$14,Paramètres!$A$1:$I$89,3,0)*0.475*44/12</f>
        <v>0.12693028428644604</v>
      </c>
      <c r="EC192" s="21">
        <f>EXP(-LN(2)/2)*EC191+(1-EXP(-LN(2)/2))/(LN(2)/2)*DW192*DZ192*VLOOKUP('Données projet'!$B$14,Paramètres!$A$1:$I$89,3,0)*0.475*44/12</f>
        <v>7.0058560581024001E-24</v>
      </c>
      <c r="ED192" s="22">
        <f t="shared" si="178"/>
        <v>0.20567626919264342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108.5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228.3393311631487</v>
      </c>
      <c r="EP192" s="59">
        <f t="shared" si="154"/>
        <v>266.26050497804033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0.26651008755085165</v>
      </c>
      <c r="EW192" s="21">
        <f>EXP(-LN(2)/25)*EW191+(1-EXP(-LN(2)/25))/(LN(2)/25)*Calculateur!ER192*Calculateur!ET192*VLOOKUP('Données projet'!$B$15,Paramètres!$A$1:$I$89,3,0)*0.475*44/12</f>
        <v>0.15012166697950427</v>
      </c>
      <c r="EX192" s="21">
        <f>EXP(-LN(2)/2)*EX191+(1-EXP(-LN(2)/2))/(LN(2)/2)*ER192*EU192*VLOOKUP('Données projet'!$B$15,Paramètres!$A$1:$I$89,3,0)*0.475*44/12</f>
        <v>6.3704256183248753E-24</v>
      </c>
      <c r="EY192" s="22">
        <f t="shared" si="181"/>
        <v>0.41663175453035595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108.5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-1.7053025658242404E-13</v>
      </c>
      <c r="FF192" s="17">
        <f>FE192*VLOOKUP('Données projet'!$B$16,Paramètres!$A$1:$I$89,3,0)*VLOOKUP('Données projet'!$B$16,Paramètres!$A$1:$I$89,5,0)</f>
        <v>-9.7543306765146564E-14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242.10913976205194</v>
      </c>
      <c r="FK192" s="59">
        <f t="shared" si="156"/>
        <v>198.24795425321133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0.13193931067129711</v>
      </c>
      <c r="FS192" s="21">
        <f>EXP(-LN(2)/2)*FS191+(1-EXP(-LN(2)/2))/(LN(2)/2)*FM192*FP192*VLOOKUP('Données projet'!$B$16,Paramètres!$A$1:$I$89,3,0)*0.475*44/12</f>
        <v>1.5468026817287761E-23</v>
      </c>
      <c r="FT192" s="22">
        <f t="shared" si="184"/>
        <v>0.13193931067129711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108.5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108.5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92.921399999999792</v>
      </c>
      <c r="D193" s="11">
        <f t="shared" si="140"/>
        <v>25.268481078065193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501.78861791038122</v>
      </c>
      <c r="H193" s="67">
        <f t="shared" si="110"/>
        <v>603.68070954429641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108.5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4.6111381379887463E-14</v>
      </c>
      <c r="P193" s="13">
        <f t="shared" si="141"/>
        <v>7.5804141040779151E-13</v>
      </c>
      <c r="Q193" s="20">
        <f t="shared" si="162"/>
        <v>1.4005661123635408E-12</v>
      </c>
      <c r="R193" s="59">
        <f t="shared" si="109"/>
        <v>434.50000000000142</v>
      </c>
      <c r="S193" s="59">
        <f ca="1">AVERAGE(OFFSET($R$3,0,0,'Données projet'!$E$9+1,1))-AVERAGE(OFFSET($H$3,0,0,'Données projet'!$E$9+1,1))</f>
        <v>273.89826011924487</v>
      </c>
      <c r="T193" s="59">
        <f t="shared" si="142"/>
        <v>332.17519939974227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0.10072855950954696</v>
      </c>
      <c r="AB193" s="21">
        <f>EXP(-LN(2)/2)*AB192+(1-EXP(-LN(2)/2))/(LN(2)/2)*V193*Y193*VLOOKUP('Données projet'!$B$9,Paramètres!$A$1:$I$89,3,0)*0.475*44/12</f>
        <v>9.076296629684573E-24</v>
      </c>
      <c r="AC193" s="22">
        <f t="shared" si="163"/>
        <v>0.10072855950954696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108.5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-5.3205440053716299E-14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293.42903587188346</v>
      </c>
      <c r="AO193" s="59">
        <f t="shared" si="144"/>
        <v>267.80827667062124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0.13183856192850771</v>
      </c>
      <c r="AV193" s="21">
        <f>EXP(-LN(2)/25)*AV192+(1-EXP(-LN(2)/25))/(LN(2)/25)*Calculateur!AQ193*Calculateur!AS193*VLOOKUP('Données projet'!$B$10,Paramètres!$A$1:$I$89,3,0)*0.475*44/12</f>
        <v>9.3020761398276849E-2</v>
      </c>
      <c r="AW193" s="21">
        <f>EXP(-LN(2)/2)*AW192+(1-EXP(-LN(2)/2))/(LN(2)/2)*AQ193*AT193*VLOOKUP('Données projet'!$B$10,Paramètres!$A$1:$I$89,3,0)*0.475*44/12</f>
        <v>8.1329857637007102E-24</v>
      </c>
      <c r="AX193" s="21">
        <f t="shared" si="166"/>
        <v>0.22485932332678454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108.5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-1.0286385077051818E-13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324.41828402031939</v>
      </c>
      <c r="BJ193" s="59">
        <f t="shared" si="146"/>
        <v>233.01060088065992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3.677907767656248E-2</v>
      </c>
      <c r="BR193" s="21">
        <f>EXP(-LN(2)/2)*BR192+(1-EXP(-LN(2)/2))/(LN(2)/2)*BL193*BO193*VLOOKUP('Données projet'!$B$11,Paramètres!$A$1:$I$89,3,0)*0.475*44/12</f>
        <v>5.119708549529874E-24</v>
      </c>
      <c r="BS193" s="22">
        <f t="shared" si="169"/>
        <v>3.677907767656248E-2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108.5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279.00060755204919</v>
      </c>
      <c r="CE193" s="59">
        <f t="shared" si="148"/>
        <v>333.91128554211014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0.30707496301827059</v>
      </c>
      <c r="CL193" s="21">
        <f>EXP(-LN(2)/25)*CL192+(1-EXP(-LN(2)/25))/(LN(2)/25)*Calculateur!CG193*Calculateur!CI193*VLOOKUP('Données projet'!$B$12,Paramètres!$A$1:$I$89,3,0)*0.475*44/12</f>
        <v>0.32955838779151081</v>
      </c>
      <c r="CM193" s="21">
        <f>EXP(-LN(2)/2)*CM192+(1-EXP(-LN(2)/2))/(LN(2)/2)*CG193*CJ193*VLOOKUP('Données projet'!$B$12,Paramètres!$A$1:$I$89,3,0)*0.475*44/12</f>
        <v>1.7828958888662385E-23</v>
      </c>
      <c r="CN193" s="22">
        <f t="shared" si="172"/>
        <v>0.63663335080978145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108.5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-6.7984728957526396E-14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380.01315081072897</v>
      </c>
      <c r="CZ193" s="59">
        <f t="shared" si="150"/>
        <v>404.90871625409181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0.14714008644625493</v>
      </c>
      <c r="DG193" s="21">
        <f>EXP(-LN(2)/25)*DG192+(1-EXP(-LN(2)/25))/(LN(2)/25)*Calculateur!DB193*Calculateur!DD193*VLOOKUP('Données projet'!$B$13,Paramètres!$A$1:$I$89,3,0)*0.475*44/12</f>
        <v>0.25269503420866257</v>
      </c>
      <c r="DH193" s="21">
        <f>EXP(-LN(2)/2)*DH192+(1-EXP(-LN(2)/2))/(LN(2)/2)*DB193*DE193*VLOOKUP('Données projet'!$B$13,Paramètres!$A$1:$I$89,3,0)*0.475*44/12</f>
        <v>2.5066330476611748E-23</v>
      </c>
      <c r="DI193" s="22">
        <f t="shared" si="175"/>
        <v>0.3998351206549175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108.5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-5.6843418860808015E-14</v>
      </c>
      <c r="DP193" s="17">
        <f>DO193*VLOOKUP('Données projet'!$B$14,Paramètres!$A$1:$I$89,3,0)*VLOOKUP('Données projet'!$B$14,Paramètres!$A$1:$I$89,5,0)</f>
        <v>-5.1431925385259088E-14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320.81451813551064</v>
      </c>
      <c r="DU193" s="59">
        <f t="shared" si="152"/>
        <v>522.80818268773976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7.7201824172495048E-2</v>
      </c>
      <c r="EB193" s="21">
        <f>EXP(-LN(2)/25)*EB192+(1-EXP(-LN(2)/25))/(LN(2)/25)*Calculateur!DW193*Calculateur!DY193*VLOOKUP('Données projet'!$B$14,Paramètres!$A$1:$I$89,3,0)*0.475*44/12</f>
        <v>0.12345936898765962</v>
      </c>
      <c r="EC193" s="21">
        <f>EXP(-LN(2)/2)*EC192+(1-EXP(-LN(2)/2))/(LN(2)/2)*DW193*DZ193*VLOOKUP('Données projet'!$B$14,Paramètres!$A$1:$I$89,3,0)*0.475*44/12</f>
        <v>4.9538883267010623E-24</v>
      </c>
      <c r="ED193" s="22">
        <f t="shared" si="178"/>
        <v>0.20066119316015468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108.5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228.3393311631487</v>
      </c>
      <c r="EP193" s="59">
        <f t="shared" si="154"/>
        <v>266.26050497804033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0.26128398728908186</v>
      </c>
      <c r="EW193" s="21">
        <f>EXP(-LN(2)/25)*EW192+(1-EXP(-LN(2)/25))/(LN(2)/25)*Calculateur!ER193*Calculateur!ET193*VLOOKUP('Données projet'!$B$15,Paramètres!$A$1:$I$89,3,0)*0.475*44/12</f>
        <v>0.14601658210139437</v>
      </c>
      <c r="EX193" s="21">
        <f>EXP(-LN(2)/2)*EX192+(1-EXP(-LN(2)/2))/(LN(2)/2)*ER193*EU193*VLOOKUP('Données projet'!$B$15,Paramètres!$A$1:$I$89,3,0)*0.475*44/12</f>
        <v>4.5045711537620243E-24</v>
      </c>
      <c r="EY193" s="22">
        <f t="shared" si="181"/>
        <v>0.40730056939047621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108.5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-1.7053025658242404E-13</v>
      </c>
      <c r="FF193" s="17">
        <f>FE193*VLOOKUP('Données projet'!$B$16,Paramètres!$A$1:$I$89,3,0)*VLOOKUP('Données projet'!$B$16,Paramètres!$A$1:$I$89,5,0)</f>
        <v>-9.7543306765146564E-14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242.10913976205194</v>
      </c>
      <c r="FK193" s="59">
        <f t="shared" si="156"/>
        <v>198.24795425321133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0.12833142328260369</v>
      </c>
      <c r="FS193" s="21">
        <f>EXP(-LN(2)/2)*FS192+(1-EXP(-LN(2)/2))/(LN(2)/2)*FM193*FP193*VLOOKUP('Données projet'!$B$16,Paramètres!$A$1:$I$89,3,0)*0.475*44/12</f>
        <v>1.0937546654079546E-23</v>
      </c>
      <c r="FT193" s="22">
        <f t="shared" si="184"/>
        <v>0.12833142328260369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108.5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108.5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93.410459999999787</v>
      </c>
      <c r="D194" s="11">
        <f t="shared" si="140"/>
        <v>25.385956888883875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504.36373486157635</v>
      </c>
      <c r="H194" s="67">
        <f t="shared" si="110"/>
        <v>604.73709274813905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108.5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4.6111381379887463E-14</v>
      </c>
      <c r="P194" s="13">
        <f t="shared" si="141"/>
        <v>7.5804141040779151E-13</v>
      </c>
      <c r="Q194" s="20">
        <f t="shared" si="162"/>
        <v>1.4005661123635408E-12</v>
      </c>
      <c r="R194" s="59">
        <f t="shared" si="109"/>
        <v>434.50000000000142</v>
      </c>
      <c r="S194" s="59">
        <f ca="1">AVERAGE(OFFSET($R$3,0,0,'Données projet'!$E$9+1,1))-AVERAGE(OFFSET($H$3,0,0,'Données projet'!$E$9+1,1))</f>
        <v>273.89826011924487</v>
      </c>
      <c r="T194" s="59">
        <f t="shared" si="142"/>
        <v>332.17519939974227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9.7974131752673665E-2</v>
      </c>
      <c r="AB194" s="21">
        <f>EXP(-LN(2)/2)*AB193+(1-EXP(-LN(2)/2))/(LN(2)/2)*V194*Y194*VLOOKUP('Données projet'!$B$9,Paramètres!$A$1:$I$89,3,0)*0.475*44/12</f>
        <v>6.4179108949105682E-24</v>
      </c>
      <c r="AC194" s="22">
        <f t="shared" si="163"/>
        <v>9.7974131752673665E-2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108.5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-5.3205440053716299E-14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293.42903587188346</v>
      </c>
      <c r="AO194" s="59">
        <f t="shared" si="144"/>
        <v>267.80827667062124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0.12925328814267226</v>
      </c>
      <c r="AV194" s="21">
        <f>EXP(-LN(2)/25)*AV193+(1-EXP(-LN(2)/25))/(LN(2)/25)*Calculateur!AQ194*Calculateur!AS194*VLOOKUP('Données projet'!$B$10,Paramètres!$A$1:$I$89,3,0)*0.475*44/12</f>
        <v>9.0477103786091723E-2</v>
      </c>
      <c r="AW194" s="21">
        <f>EXP(-LN(2)/2)*AW193+(1-EXP(-LN(2)/2))/(LN(2)/2)*AQ194*AT194*VLOOKUP('Données projet'!$B$10,Paramètres!$A$1:$I$89,3,0)*0.475*44/12</f>
        <v>5.7508893848064243E-24</v>
      </c>
      <c r="AX194" s="21">
        <f t="shared" si="166"/>
        <v>0.21973039192876398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108.5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-1.0286385077051818E-13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324.41828402031939</v>
      </c>
      <c r="BJ194" s="59">
        <f t="shared" si="146"/>
        <v>233.01060088065992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3.5773351863369246E-2</v>
      </c>
      <c r="BR194" s="21">
        <f>EXP(-LN(2)/2)*BR193+(1-EXP(-LN(2)/2))/(LN(2)/2)*BL194*BO194*VLOOKUP('Données projet'!$B$11,Paramètres!$A$1:$I$89,3,0)*0.475*44/12</f>
        <v>3.6201806330713172E-24</v>
      </c>
      <c r="BS194" s="22">
        <f t="shared" si="169"/>
        <v>3.5773351863369246E-2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108.5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279.00060755204919</v>
      </c>
      <c r="CE194" s="59">
        <f t="shared" si="148"/>
        <v>333.91128554211014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0.3010534102907157</v>
      </c>
      <c r="CL194" s="21">
        <f>EXP(-LN(2)/25)*CL193+(1-EXP(-LN(2)/25))/(LN(2)/25)*Calculateur!CG194*Calculateur!CI194*VLOOKUP('Données projet'!$B$12,Paramètres!$A$1:$I$89,3,0)*0.475*44/12</f>
        <v>0.32054659634662958</v>
      </c>
      <c r="CM194" s="21">
        <f>EXP(-LN(2)/2)*CM193+(1-EXP(-LN(2)/2))/(LN(2)/2)*CG194*CJ194*VLOOKUP('Données projet'!$B$12,Paramètres!$A$1:$I$89,3,0)*0.475*44/12</f>
        <v>1.2606977731669345E-23</v>
      </c>
      <c r="CN194" s="22">
        <f t="shared" si="172"/>
        <v>0.62160000663734527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108.5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-6.7984728957526396E-14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380.01315081072897</v>
      </c>
      <c r="CZ194" s="59">
        <f t="shared" si="150"/>
        <v>404.90871625409181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0.14425475909763485</v>
      </c>
      <c r="DG194" s="21">
        <f>EXP(-LN(2)/25)*DG193+(1-EXP(-LN(2)/25))/(LN(2)/25)*Calculateur!DB194*Calculateur!DD194*VLOOKUP('Données projet'!$B$13,Paramètres!$A$1:$I$89,3,0)*0.475*44/12</f>
        <v>0.24578507520957238</v>
      </c>
      <c r="DH194" s="21">
        <f>EXP(-LN(2)/2)*DH193+(1-EXP(-LN(2)/2))/(LN(2)/2)*DB194*DE194*VLOOKUP('Données projet'!$B$13,Paramètres!$A$1:$I$89,3,0)*0.475*44/12</f>
        <v>1.772457225947519E-23</v>
      </c>
      <c r="DI194" s="22">
        <f t="shared" si="175"/>
        <v>0.39003983430720723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108.5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-5.6843418860808015E-14</v>
      </c>
      <c r="DP194" s="17">
        <f>DO194*VLOOKUP('Données projet'!$B$14,Paramètres!$A$1:$I$89,3,0)*VLOOKUP('Données projet'!$B$14,Paramètres!$A$1:$I$89,5,0)</f>
        <v>-5.1431925385259088E-14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320.81451813551064</v>
      </c>
      <c r="DU194" s="59">
        <f t="shared" si="152"/>
        <v>522.80818268773976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7.5687943488935566E-2</v>
      </c>
      <c r="EB194" s="21">
        <f>EXP(-LN(2)/25)*EB193+(1-EXP(-LN(2)/25))/(LN(2)/25)*Calculateur!DW194*Calculateur!DY194*VLOOKUP('Données projet'!$B$14,Paramètres!$A$1:$I$89,3,0)*0.475*44/12</f>
        <v>0.12008336605024603</v>
      </c>
      <c r="EC194" s="21">
        <f>EXP(-LN(2)/2)*EC193+(1-EXP(-LN(2)/2))/(LN(2)/2)*DW194*DZ194*VLOOKUP('Données projet'!$B$14,Paramètres!$A$1:$I$89,3,0)*0.475*44/12</f>
        <v>3.5029280290512001E-24</v>
      </c>
      <c r="ED194" s="22">
        <f t="shared" si="178"/>
        <v>0.19577130953918159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108.5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228.3393311631487</v>
      </c>
      <c r="EP194" s="59">
        <f t="shared" si="154"/>
        <v>266.26050497804033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0.25616036766583899</v>
      </c>
      <c r="EW194" s="21">
        <f>EXP(-LN(2)/25)*EW193+(1-EXP(-LN(2)/25))/(LN(2)/25)*Calculateur!ER194*Calculateur!ET194*VLOOKUP('Données projet'!$B$15,Paramètres!$A$1:$I$89,3,0)*0.475*44/12</f>
        <v>0.14202375098515341</v>
      </c>
      <c r="EX194" s="21">
        <f>EXP(-LN(2)/2)*EX193+(1-EXP(-LN(2)/2))/(LN(2)/2)*ER194*EU194*VLOOKUP('Données projet'!$B$15,Paramètres!$A$1:$I$89,3,0)*0.475*44/12</f>
        <v>3.1852128091624376E-24</v>
      </c>
      <c r="EY194" s="22">
        <f t="shared" si="181"/>
        <v>0.3981841186509924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108.5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-1.7053025658242404E-13</v>
      </c>
      <c r="FF194" s="17">
        <f>FE194*VLOOKUP('Données projet'!$B$16,Paramètres!$A$1:$I$89,3,0)*VLOOKUP('Données projet'!$B$16,Paramètres!$A$1:$I$89,5,0)</f>
        <v>-9.7543306765146564E-14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242.10913976205194</v>
      </c>
      <c r="FK194" s="59">
        <f t="shared" si="156"/>
        <v>198.24795425321133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0.12482219376428465</v>
      </c>
      <c r="FS194" s="21">
        <f>EXP(-LN(2)/2)*FS193+(1-EXP(-LN(2)/2))/(LN(2)/2)*FM194*FP194*VLOOKUP('Données projet'!$B$16,Paramètres!$A$1:$I$89,3,0)*0.475*44/12</f>
        <v>7.7340134086438807E-24</v>
      </c>
      <c r="FT194" s="22">
        <f t="shared" si="184"/>
        <v>0.12482219376428465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108.5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108.5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93.899519999999782</v>
      </c>
      <c r="D195" s="11">
        <f t="shared" si="140"/>
        <v>25.503361128578973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506.93854794940461</v>
      </c>
      <c r="H195" s="67">
        <f t="shared" si="110"/>
        <v>605.79335129894127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108.5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4.6111381379887463E-14</v>
      </c>
      <c r="P195" s="13">
        <f t="shared" si="141"/>
        <v>7.5804141040779151E-13</v>
      </c>
      <c r="Q195" s="20">
        <f t="shared" si="162"/>
        <v>1.4005661123635408E-12</v>
      </c>
      <c r="R195" s="59">
        <f t="shared" ref="R195:R203" si="191">Q195+(I195+J195)*44/12</f>
        <v>434.50000000000142</v>
      </c>
      <c r="S195" s="59">
        <f ca="1">AVERAGE(OFFSET($R$3,0,0,'Données projet'!$E$9+1,1))-AVERAGE(OFFSET($H$3,0,0,'Données projet'!$E$9+1,1))</f>
        <v>273.89826011924487</v>
      </c>
      <c r="T195" s="59">
        <f t="shared" si="142"/>
        <v>332.17519939974227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9.5295023967661138E-2</v>
      </c>
      <c r="AB195" s="21">
        <f>EXP(-LN(2)/2)*AB194+(1-EXP(-LN(2)/2))/(LN(2)/2)*V195*Y195*VLOOKUP('Données projet'!$B$9,Paramètres!$A$1:$I$89,3,0)*0.475*44/12</f>
        <v>4.5381483148422865E-24</v>
      </c>
      <c r="AC195" s="22">
        <f t="shared" si="163"/>
        <v>9.5295023967661138E-2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108.5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-5.3205440053716299E-14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293.42903587188346</v>
      </c>
      <c r="AO195" s="59">
        <f t="shared" si="144"/>
        <v>267.80827667062124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0.12671870999891574</v>
      </c>
      <c r="AV195" s="21">
        <f>EXP(-LN(2)/25)*AV194+(1-EXP(-LN(2)/25))/(LN(2)/25)*Calculateur!AQ195*Calculateur!AS195*VLOOKUP('Données projet'!$B$10,Paramètres!$A$1:$I$89,3,0)*0.475*44/12</f>
        <v>8.8003002625076945E-2</v>
      </c>
      <c r="AW195" s="21">
        <f>EXP(-LN(2)/2)*AW194+(1-EXP(-LN(2)/2))/(LN(2)/2)*AQ195*AT195*VLOOKUP('Données projet'!$B$10,Paramètres!$A$1:$I$89,3,0)*0.475*44/12</f>
        <v>4.0664928818503551E-24</v>
      </c>
      <c r="AX195" s="21">
        <f t="shared" si="166"/>
        <v>0.2147217126239927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108.5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-1.0286385077051818E-13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324.41828402031939</v>
      </c>
      <c r="BJ195" s="59">
        <f t="shared" si="146"/>
        <v>233.01060088065992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3.4795127675426599E-2</v>
      </c>
      <c r="BR195" s="21">
        <f>EXP(-LN(2)/2)*BR194+(1-EXP(-LN(2)/2))/(LN(2)/2)*BL195*BO195*VLOOKUP('Données projet'!$B$11,Paramètres!$A$1:$I$89,3,0)*0.475*44/12</f>
        <v>2.559854274764937E-24</v>
      </c>
      <c r="BS195" s="22">
        <f t="shared" si="169"/>
        <v>3.4795127675426599E-2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108.5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279.00060755204919</v>
      </c>
      <c r="CE195" s="59">
        <f t="shared" si="148"/>
        <v>333.91128554211014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0.29514993653936361</v>
      </c>
      <c r="CL195" s="21">
        <f>EXP(-LN(2)/25)*CL194+(1-EXP(-LN(2)/25))/(LN(2)/25)*Calculateur!CG195*Calculateur!CI195*VLOOKUP('Données projet'!$B$12,Paramètres!$A$1:$I$89,3,0)*0.475*44/12</f>
        <v>0.31178123281271813</v>
      </c>
      <c r="CM195" s="21">
        <f>EXP(-LN(2)/2)*CM194+(1-EXP(-LN(2)/2))/(LN(2)/2)*CG195*CJ195*VLOOKUP('Données projet'!$B$12,Paramètres!$A$1:$I$89,3,0)*0.475*44/12</f>
        <v>8.9144794443311926E-24</v>
      </c>
      <c r="CN195" s="22">
        <f t="shared" si="172"/>
        <v>0.6069311693520818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108.5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-6.7984728957526396E-14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380.01315081072897</v>
      </c>
      <c r="CZ195" s="59">
        <f t="shared" si="150"/>
        <v>404.90871625409181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0.14142601125844531</v>
      </c>
      <c r="DG195" s="21">
        <f>EXP(-LN(2)/25)*DG194+(1-EXP(-LN(2)/25))/(LN(2)/25)*Calculateur!DB195*Calculateur!DD195*VLOOKUP('Données projet'!$B$13,Paramètres!$A$1:$I$89,3,0)*0.475*44/12</f>
        <v>0.23906406940269126</v>
      </c>
      <c r="DH195" s="21">
        <f>EXP(-LN(2)/2)*DH194+(1-EXP(-LN(2)/2))/(LN(2)/2)*DB195*DE195*VLOOKUP('Données projet'!$B$13,Paramètres!$A$1:$I$89,3,0)*0.475*44/12</f>
        <v>1.2533165238305874E-23</v>
      </c>
      <c r="DI195" s="22">
        <f t="shared" si="175"/>
        <v>0.38049008066113654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108.5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-5.6843418860808015E-14</v>
      </c>
      <c r="DP195" s="17">
        <f>DO195*VLOOKUP('Données projet'!$B$14,Paramètres!$A$1:$I$89,3,0)*VLOOKUP('Données projet'!$B$14,Paramètres!$A$1:$I$89,5,0)</f>
        <v>-5.1431925385259088E-14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320.81451813551064</v>
      </c>
      <c r="DU195" s="59">
        <f t="shared" si="152"/>
        <v>522.80818268773976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7.4203749082204645E-2</v>
      </c>
      <c r="EB195" s="21">
        <f>EXP(-LN(2)/25)*EB194+(1-EXP(-LN(2)/25))/(LN(2)/25)*Calculateur!DW195*Calculateur!DY195*VLOOKUP('Données projet'!$B$14,Paramètres!$A$1:$I$89,3,0)*0.475*44/12</f>
        <v>0.11679968009069228</v>
      </c>
      <c r="EC195" s="21">
        <f>EXP(-LN(2)/2)*EC194+(1-EXP(-LN(2)/2))/(LN(2)/2)*DW195*DZ195*VLOOKUP('Données projet'!$B$14,Paramètres!$A$1:$I$89,3,0)*0.475*44/12</f>
        <v>2.4769441633505311E-24</v>
      </c>
      <c r="ED195" s="22">
        <f t="shared" si="178"/>
        <v>0.19100342917289692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108.5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228.3393311631487</v>
      </c>
      <c r="EP195" s="59">
        <f t="shared" si="154"/>
        <v>266.26050497804033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0.2511372190983085</v>
      </c>
      <c r="EW195" s="21">
        <f>EXP(-LN(2)/25)*EW194+(1-EXP(-LN(2)/25))/(LN(2)/25)*Calculateur!ER195*Calculateur!ET195*VLOOKUP('Données projet'!$B$15,Paramètres!$A$1:$I$89,3,0)*0.475*44/12</f>
        <v>0.13814010404575991</v>
      </c>
      <c r="EX195" s="21">
        <f>EXP(-LN(2)/2)*EX194+(1-EXP(-LN(2)/2))/(LN(2)/2)*ER195*EU195*VLOOKUP('Données projet'!$B$15,Paramètres!$A$1:$I$89,3,0)*0.475*44/12</f>
        <v>2.2522855768810121E-24</v>
      </c>
      <c r="EY195" s="22">
        <f t="shared" si="181"/>
        <v>0.38927732314406838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108.5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-1.7053025658242404E-13</v>
      </c>
      <c r="FF195" s="17">
        <f>FE195*VLOOKUP('Données projet'!$B$16,Paramètres!$A$1:$I$89,3,0)*VLOOKUP('Données projet'!$B$16,Paramètres!$A$1:$I$89,5,0)</f>
        <v>-9.7543306765146564E-14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242.10913976205194</v>
      </c>
      <c r="FK195" s="59">
        <f t="shared" si="156"/>
        <v>198.24795425321133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0.1214089243116864</v>
      </c>
      <c r="FS195" s="21">
        <f>EXP(-LN(2)/2)*FS194+(1-EXP(-LN(2)/2))/(LN(2)/2)*FM195*FP195*VLOOKUP('Données projet'!$B$16,Paramètres!$A$1:$I$89,3,0)*0.475*44/12</f>
        <v>5.4687733270397732E-24</v>
      </c>
      <c r="FT195" s="22">
        <f t="shared" si="184"/>
        <v>0.1214089243116864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108.5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108.5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94.388579999999777</v>
      </c>
      <c r="D196" s="11">
        <f t="shared" si="140"/>
        <v>25.620694213184393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509.5130589401856</v>
      </c>
      <c r="H196" s="67">
        <f t="shared" ref="H196:H203" si="192">(B196+E196+F196)*44/12+(C196+D196)*0.475*44/12</f>
        <v>606.8494859212957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108.5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4.6111381379887463E-14</v>
      </c>
      <c r="P196" s="13">
        <f t="shared" si="141"/>
        <v>7.5804141040779151E-13</v>
      </c>
      <c r="Q196" s="20">
        <f t="shared" si="162"/>
        <v>1.4005661123635408E-12</v>
      </c>
      <c r="R196" s="59">
        <f t="shared" si="191"/>
        <v>434.50000000000142</v>
      </c>
      <c r="S196" s="59">
        <f ca="1">AVERAGE(OFFSET($R$3,0,0,'Données projet'!$E$9+1,1))-AVERAGE(OFFSET($H$3,0,0,'Données projet'!$E$9+1,1))</f>
        <v>273.89826011924487</v>
      </c>
      <c r="T196" s="59">
        <f t="shared" si="142"/>
        <v>332.17519939974227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9.2689176525917932E-2</v>
      </c>
      <c r="AB196" s="21">
        <f>EXP(-LN(2)/2)*AB195+(1-EXP(-LN(2)/2))/(LN(2)/2)*V196*Y196*VLOOKUP('Données projet'!$B$9,Paramètres!$A$1:$I$89,3,0)*0.475*44/12</f>
        <v>3.2089554474552841E-24</v>
      </c>
      <c r="AC196" s="22">
        <f t="shared" si="163"/>
        <v>9.2689176525917932E-2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108.5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-5.3205440053716299E-14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293.42903587188346</v>
      </c>
      <c r="AO196" s="59">
        <f t="shared" si="144"/>
        <v>267.80827667062124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0.12423383338661827</v>
      </c>
      <c r="AV196" s="21">
        <f>EXP(-LN(2)/25)*AV195+(1-EXP(-LN(2)/25))/(LN(2)/25)*Calculateur!AQ196*Calculateur!AS196*VLOOKUP('Données projet'!$B$10,Paramètres!$A$1:$I$89,3,0)*0.475*44/12</f>
        <v>8.5596555890417439E-2</v>
      </c>
      <c r="AW196" s="21">
        <f>EXP(-LN(2)/2)*AW195+(1-EXP(-LN(2)/2))/(LN(2)/2)*AQ196*AT196*VLOOKUP('Données projet'!$B$10,Paramètres!$A$1:$I$89,3,0)*0.475*44/12</f>
        <v>2.8754446924032122E-24</v>
      </c>
      <c r="AX196" s="21">
        <f t="shared" si="166"/>
        <v>0.20983038927703571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108.5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-1.0286385077051818E-13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324.41828402031939</v>
      </c>
      <c r="BJ196" s="59">
        <f t="shared" si="146"/>
        <v>233.01060088065992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3.3843653079345816E-2</v>
      </c>
      <c r="BR196" s="21">
        <f>EXP(-LN(2)/2)*BR195+(1-EXP(-LN(2)/2))/(LN(2)/2)*BL196*BO196*VLOOKUP('Données projet'!$B$11,Paramètres!$A$1:$I$89,3,0)*0.475*44/12</f>
        <v>1.8100903165356586E-24</v>
      </c>
      <c r="BS196" s="22">
        <f t="shared" si="169"/>
        <v>3.3843653079345816E-2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108.5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279.00060755204919</v>
      </c>
      <c r="CE196" s="59">
        <f t="shared" si="148"/>
        <v>333.91128554211014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0.28936222630751213</v>
      </c>
      <c r="CL196" s="21">
        <f>EXP(-LN(2)/25)*CL195+(1-EXP(-LN(2)/25))/(LN(2)/25)*Calculateur!CG196*Calculateur!CI196*VLOOKUP('Données projet'!$B$12,Paramètres!$A$1:$I$89,3,0)*0.475*44/12</f>
        <v>0.30325555860559189</v>
      </c>
      <c r="CM196" s="21">
        <f>EXP(-LN(2)/2)*CM195+(1-EXP(-LN(2)/2))/(LN(2)/2)*CG196*CJ196*VLOOKUP('Données projet'!$B$12,Paramètres!$A$1:$I$89,3,0)*0.475*44/12</f>
        <v>6.3034888658346724E-24</v>
      </c>
      <c r="CN196" s="22">
        <f t="shared" si="172"/>
        <v>0.59261778491310402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108.5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-6.7984728957526396E-14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380.01315081072897</v>
      </c>
      <c r="CZ196" s="59">
        <f t="shared" si="150"/>
        <v>404.90871625409181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0.13865273343901646</v>
      </c>
      <c r="DG196" s="21">
        <f>EXP(-LN(2)/25)*DG195+(1-EXP(-LN(2)/25))/(LN(2)/25)*Calculateur!DB196*Calculateur!DD196*VLOOKUP('Données projet'!$B$13,Paramètres!$A$1:$I$89,3,0)*0.475*44/12</f>
        <v>0.23252684985304164</v>
      </c>
      <c r="DH196" s="21">
        <f>EXP(-LN(2)/2)*DH195+(1-EXP(-LN(2)/2))/(LN(2)/2)*DB196*DE196*VLOOKUP('Données projet'!$B$13,Paramètres!$A$1:$I$89,3,0)*0.475*44/12</f>
        <v>8.8622861297375951E-24</v>
      </c>
      <c r="DI196" s="22">
        <f t="shared" si="175"/>
        <v>0.37117958329205814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108.5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-5.6843418860808015E-14</v>
      </c>
      <c r="DP196" s="17">
        <f>DO196*VLOOKUP('Données projet'!$B$14,Paramètres!$A$1:$I$89,3,0)*VLOOKUP('Données projet'!$B$14,Paramètres!$A$1:$I$89,5,0)</f>
        <v>-5.1431925385259088E-14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320.81451813551064</v>
      </c>
      <c r="DU196" s="59">
        <f t="shared" si="152"/>
        <v>522.80818268773976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7.2748658822520518E-2</v>
      </c>
      <c r="EB196" s="21">
        <f>EXP(-LN(2)/25)*EB195+(1-EXP(-LN(2)/25))/(LN(2)/25)*Calculateur!DW196*Calculateur!DY196*VLOOKUP('Données projet'!$B$14,Paramètres!$A$1:$I$89,3,0)*0.475*44/12</f>
        <v>0.11360578669638408</v>
      </c>
      <c r="EC196" s="21">
        <f>EXP(-LN(2)/2)*EC195+(1-EXP(-LN(2)/2))/(LN(2)/2)*DW196*DZ196*VLOOKUP('Données projet'!$B$14,Paramètres!$A$1:$I$89,3,0)*0.475*44/12</f>
        <v>1.7514640145256E-24</v>
      </c>
      <c r="ED196" s="22">
        <f t="shared" si="178"/>
        <v>0.18635444551890459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108.5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228.3393311631487</v>
      </c>
      <c r="EP196" s="59">
        <f t="shared" si="154"/>
        <v>266.26050497804033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0.24621257141036917</v>
      </c>
      <c r="EW196" s="21">
        <f>EXP(-LN(2)/25)*EW195+(1-EXP(-LN(2)/25))/(LN(2)/25)*Calculateur!ER196*Calculateur!ET196*VLOOKUP('Données projet'!$B$15,Paramètres!$A$1:$I$89,3,0)*0.475*44/12</f>
        <v>0.13436265563615626</v>
      </c>
      <c r="EX196" s="21">
        <f>EXP(-LN(2)/2)*EX195+(1-EXP(-LN(2)/2))/(LN(2)/2)*ER196*EU196*VLOOKUP('Données projet'!$B$15,Paramètres!$A$1:$I$89,3,0)*0.475*44/12</f>
        <v>1.5926064045812188E-24</v>
      </c>
      <c r="EY196" s="22">
        <f t="shared" si="181"/>
        <v>0.38057522704652547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108.5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-1.7053025658242404E-13</v>
      </c>
      <c r="FF196" s="17">
        <f>FE196*VLOOKUP('Données projet'!$B$16,Paramètres!$A$1:$I$89,3,0)*VLOOKUP('Données projet'!$B$16,Paramètres!$A$1:$I$89,5,0)</f>
        <v>-9.7543306765146564E-14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242.10913976205194</v>
      </c>
      <c r="FK196" s="59">
        <f t="shared" si="156"/>
        <v>198.24795425321133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0.11808899089176549</v>
      </c>
      <c r="FS196" s="21">
        <f>EXP(-LN(2)/2)*FS195+(1-EXP(-LN(2)/2))/(LN(2)/2)*FM196*FP196*VLOOKUP('Données projet'!$B$16,Paramètres!$A$1:$I$89,3,0)*0.475*44/12</f>
        <v>3.8670067043219403E-24</v>
      </c>
      <c r="FT196" s="22">
        <f t="shared" si="184"/>
        <v>0.11808899089176549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108.5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108.5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94.877639999999772</v>
      </c>
      <c r="D197" s="11">
        <f t="shared" ref="D197:D203" si="202">IFERROR(EXP(-1.0587+0.8836*LN(C197)+0.284),0)</f>
        <v>25.737956554173223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512.08726958087482</v>
      </c>
      <c r="H197" s="67">
        <f t="shared" si="192"/>
        <v>607.90549733185128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108.5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4.6111381379887463E-14</v>
      </c>
      <c r="P197" s="13">
        <f t="shared" ref="P197:P203" si="203">EXP(-1.0587+0.8836*LN(O197)+0.284)</f>
        <v>7.5804141040779151E-13</v>
      </c>
      <c r="Q197" s="20">
        <f t="shared" si="162"/>
        <v>1.4005661123635408E-12</v>
      </c>
      <c r="R197" s="59">
        <f t="shared" si="191"/>
        <v>434.50000000000142</v>
      </c>
      <c r="S197" s="59">
        <f ca="1">AVERAGE(OFFSET($R$3,0,0,'Données projet'!$E$9+1,1))-AVERAGE(OFFSET($H$3,0,0,'Données projet'!$E$9+1,1))</f>
        <v>273.89826011924487</v>
      </c>
      <c r="T197" s="59">
        <f t="shared" ref="T197:T203" si="204">$T$3</f>
        <v>332.17519939974227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9.0154586119504762E-2</v>
      </c>
      <c r="AB197" s="21">
        <f>EXP(-LN(2)/2)*AB196+(1-EXP(-LN(2)/2))/(LN(2)/2)*V197*Y197*VLOOKUP('Données projet'!$B$9,Paramètres!$A$1:$I$89,3,0)*0.475*44/12</f>
        <v>2.2690741574211432E-24</v>
      </c>
      <c r="AC197" s="22">
        <f t="shared" si="163"/>
        <v>9.0154586119504762E-2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108.5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-5.3205440053716299E-14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293.42903587188346</v>
      </c>
      <c r="AO197" s="59">
        <f t="shared" ref="AO197:AO203" si="205">$AO$3</f>
        <v>267.80827667062124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0.12179768368906288</v>
      </c>
      <c r="AV197" s="21">
        <f>EXP(-LN(2)/25)*AV196+(1-EXP(-LN(2)/25))/(LN(2)/25)*Calculateur!AQ197*Calculateur!AS197*VLOOKUP('Données projet'!$B$10,Paramètres!$A$1:$I$89,3,0)*0.475*44/12</f>
        <v>8.325591356826674E-2</v>
      </c>
      <c r="AW197" s="21">
        <f>EXP(-LN(2)/2)*AW196+(1-EXP(-LN(2)/2))/(LN(2)/2)*AQ197*AT197*VLOOKUP('Données projet'!$B$10,Paramètres!$A$1:$I$89,3,0)*0.475*44/12</f>
        <v>2.0332464409251776E-24</v>
      </c>
      <c r="AX197" s="21">
        <f t="shared" si="166"/>
        <v>0.20505359725732963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108.5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-1.0286385077051818E-13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324.41828402031939</v>
      </c>
      <c r="BJ197" s="59">
        <f t="shared" ref="BJ197:BJ203" si="206">$BJ$3</f>
        <v>233.01060088065992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3.291819660613074E-2</v>
      </c>
      <c r="BR197" s="21">
        <f>EXP(-LN(2)/2)*BR196+(1-EXP(-LN(2)/2))/(LN(2)/2)*BL197*BO197*VLOOKUP('Données projet'!$B$11,Paramètres!$A$1:$I$89,3,0)*0.475*44/12</f>
        <v>1.2799271373824685E-24</v>
      </c>
      <c r="BS197" s="22">
        <f t="shared" si="169"/>
        <v>3.291819660613074E-2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108.5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279.00060755204919</v>
      </c>
      <c r="CE197" s="59">
        <f t="shared" ref="CE197:CE203" si="207">$CE$3</f>
        <v>333.91128554211014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0.2836880095431526</v>
      </c>
      <c r="CL197" s="21">
        <f>EXP(-LN(2)/25)*CL196+(1-EXP(-LN(2)/25))/(LN(2)/25)*Calculateur!CG197*Calculateur!CI197*VLOOKUP('Données projet'!$B$12,Paramètres!$A$1:$I$89,3,0)*0.475*44/12</f>
        <v>0.29496301940800523</v>
      </c>
      <c r="CM197" s="21">
        <f>EXP(-LN(2)/2)*CM196+(1-EXP(-LN(2)/2))/(LN(2)/2)*CG197*CJ197*VLOOKUP('Données projet'!$B$12,Paramètres!$A$1:$I$89,3,0)*0.475*44/12</f>
        <v>4.4572397221655963E-24</v>
      </c>
      <c r="CN197" s="22">
        <f t="shared" si="172"/>
        <v>0.57865102895115783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108.5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-6.7984728957526396E-14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380.01315081072897</v>
      </c>
      <c r="CZ197" s="59">
        <f t="shared" ref="CZ197:CZ203" si="208">$CZ$3</f>
        <v>404.90871625409181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0.13593383790609417</v>
      </c>
      <c r="DG197" s="21">
        <f>EXP(-LN(2)/25)*DG196+(1-EXP(-LN(2)/25))/(LN(2)/25)*Calculateur!DB197*Calculateur!DD197*VLOOKUP('Données projet'!$B$13,Paramètres!$A$1:$I$89,3,0)*0.475*44/12</f>
        <v>0.22616839091575464</v>
      </c>
      <c r="DH197" s="21">
        <f>EXP(-LN(2)/2)*DH196+(1-EXP(-LN(2)/2))/(LN(2)/2)*DB197*DE197*VLOOKUP('Données projet'!$B$13,Paramètres!$A$1:$I$89,3,0)*0.475*44/12</f>
        <v>6.2665826191529369E-24</v>
      </c>
      <c r="DI197" s="22">
        <f t="shared" si="175"/>
        <v>0.36210222882184884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108.5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-5.6843418860808015E-14</v>
      </c>
      <c r="DP197" s="17">
        <f>DO197*VLOOKUP('Données projet'!$B$14,Paramètres!$A$1:$I$89,3,0)*VLOOKUP('Données projet'!$B$14,Paramètres!$A$1:$I$89,5,0)</f>
        <v>-5.1431925385259088E-14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320.81451813551064</v>
      </c>
      <c r="DU197" s="59">
        <f t="shared" ref="DU197:DU203" si="209">$DU$3</f>
        <v>522.80818268773976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7.1322101995311374E-2</v>
      </c>
      <c r="EB197" s="21">
        <f>EXP(-LN(2)/25)*EB196+(1-EXP(-LN(2)/25))/(LN(2)/25)*Calculateur!DW197*Calculateur!DY197*VLOOKUP('Données projet'!$B$14,Paramètres!$A$1:$I$89,3,0)*0.475*44/12</f>
        <v>0.11049923048490277</v>
      </c>
      <c r="EC197" s="21">
        <f>EXP(-LN(2)/2)*EC196+(1-EXP(-LN(2)/2))/(LN(2)/2)*DW197*DZ197*VLOOKUP('Données projet'!$B$14,Paramètres!$A$1:$I$89,3,0)*0.475*44/12</f>
        <v>1.2384720816752656E-24</v>
      </c>
      <c r="ED197" s="22">
        <f t="shared" si="178"/>
        <v>0.18182133248021415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108.5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228.3393311631487</v>
      </c>
      <c r="EP197" s="59">
        <f t="shared" ref="EP197:EP203" si="210">$EP$3</f>
        <v>266.26050497804033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0.24138449305985185</v>
      </c>
      <c r="EW197" s="21">
        <f>EXP(-LN(2)/25)*EW196+(1-EXP(-LN(2)/25))/(LN(2)/25)*Calculateur!ER197*Calculateur!ET197*VLOOKUP('Données projet'!$B$15,Paramètres!$A$1:$I$89,3,0)*0.475*44/12</f>
        <v>0.13068850175196059</v>
      </c>
      <c r="EX197" s="21">
        <f>EXP(-LN(2)/2)*EX196+(1-EXP(-LN(2)/2))/(LN(2)/2)*ER197*EU197*VLOOKUP('Données projet'!$B$15,Paramètres!$A$1:$I$89,3,0)*0.475*44/12</f>
        <v>1.1261427884405061E-24</v>
      </c>
      <c r="EY197" s="22">
        <f t="shared" si="181"/>
        <v>0.37207299481181244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108.5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-1.7053025658242404E-13</v>
      </c>
      <c r="FF197" s="17">
        <f>FE197*VLOOKUP('Données projet'!$B$16,Paramètres!$A$1:$I$89,3,0)*VLOOKUP('Données projet'!$B$16,Paramètres!$A$1:$I$89,5,0)</f>
        <v>-9.7543306765146564E-14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242.10913976205194</v>
      </c>
      <c r="FK197" s="59">
        <f t="shared" ref="FK197:FK203" si="211">$FK$3</f>
        <v>198.24795425321133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0.11485984122580002</v>
      </c>
      <c r="FS197" s="21">
        <f>EXP(-LN(2)/2)*FS196+(1-EXP(-LN(2)/2))/(LN(2)/2)*FM197*FP197*VLOOKUP('Données projet'!$B$16,Paramètres!$A$1:$I$89,3,0)*0.475*44/12</f>
        <v>2.7343866635198866E-24</v>
      </c>
      <c r="FT197" s="22">
        <f t="shared" si="184"/>
        <v>0.11485984122580002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108.5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108.5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95.366699999999767</v>
      </c>
      <c r="D198" s="11">
        <f t="shared" si="202"/>
        <v>25.855148558530963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514.66118159937605</v>
      </c>
      <c r="H198" s="67">
        <f t="shared" si="192"/>
        <v>608.96138623944103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108.5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4.6111381379887463E-14</v>
      </c>
      <c r="P198" s="13">
        <f t="shared" si="203"/>
        <v>7.5804141040779151E-13</v>
      </c>
      <c r="Q198" s="20">
        <f t="shared" si="162"/>
        <v>1.4005661123635408E-12</v>
      </c>
      <c r="R198" s="59">
        <f t="shared" si="191"/>
        <v>434.50000000000142</v>
      </c>
      <c r="S198" s="59">
        <f ca="1">AVERAGE(OFFSET($R$3,0,0,'Données projet'!$E$9+1,1))-AVERAGE(OFFSET($H$3,0,0,'Données projet'!$E$9+1,1))</f>
        <v>273.89826011924487</v>
      </c>
      <c r="T198" s="59">
        <f t="shared" si="204"/>
        <v>332.17519939974227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8.7689304221043277E-2</v>
      </c>
      <c r="AB198" s="21">
        <f>EXP(-LN(2)/2)*AB197+(1-EXP(-LN(2)/2))/(LN(2)/2)*V198*Y198*VLOOKUP('Données projet'!$B$9,Paramètres!$A$1:$I$89,3,0)*0.475*44/12</f>
        <v>1.604477723727642E-24</v>
      </c>
      <c r="AC198" s="22">
        <f t="shared" si="163"/>
        <v>8.7689304221043277E-2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108.5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-5.3205440053716299E-14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293.42903587188346</v>
      </c>
      <c r="AO198" s="59">
        <f t="shared" si="205"/>
        <v>267.80827667062124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0.11940930540117195</v>
      </c>
      <c r="AV198" s="21">
        <f>EXP(-LN(2)/25)*AV197+(1-EXP(-LN(2)/25))/(LN(2)/25)*Calculateur!AQ198*Calculateur!AS198*VLOOKUP('Données projet'!$B$10,Paramètres!$A$1:$I$89,3,0)*0.475*44/12</f>
        <v>8.0979276233504274E-2</v>
      </c>
      <c r="AW198" s="21">
        <f>EXP(-LN(2)/2)*AW197+(1-EXP(-LN(2)/2))/(LN(2)/2)*AQ198*AT198*VLOOKUP('Données projet'!$B$10,Paramètres!$A$1:$I$89,3,0)*0.475*44/12</f>
        <v>1.4377223462016061E-24</v>
      </c>
      <c r="AX198" s="21">
        <f t="shared" si="166"/>
        <v>0.20038858163467621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108.5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-1.0286385077051818E-13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324.41828402031939</v>
      </c>
      <c r="BJ198" s="59">
        <f t="shared" si="206"/>
        <v>233.01060088065992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3.2018046788843374E-2</v>
      </c>
      <c r="BR198" s="21">
        <f>EXP(-LN(2)/2)*BR197+(1-EXP(-LN(2)/2))/(LN(2)/2)*BL198*BO198*VLOOKUP('Données projet'!$B$11,Paramètres!$A$1:$I$89,3,0)*0.475*44/12</f>
        <v>9.050451582678293E-25</v>
      </c>
      <c r="BS198" s="22">
        <f t="shared" si="169"/>
        <v>3.2018046788843374E-2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108.5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279.00060755204919</v>
      </c>
      <c r="CE198" s="59">
        <f t="shared" si="207"/>
        <v>333.91128554211014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0.27812506070861165</v>
      </c>
      <c r="CL198" s="21">
        <f>EXP(-LN(2)/25)*CL197+(1-EXP(-LN(2)/25))/(LN(2)/25)*Calculateur!CG198*Calculateur!CI198*VLOOKUP('Données projet'!$B$12,Paramètres!$A$1:$I$89,3,0)*0.475*44/12</f>
        <v>0.28689724013086226</v>
      </c>
      <c r="CM198" s="21">
        <f>EXP(-LN(2)/2)*CM197+(1-EXP(-LN(2)/2))/(LN(2)/2)*CG198*CJ198*VLOOKUP('Données projet'!$B$12,Paramètres!$A$1:$I$89,3,0)*0.475*44/12</f>
        <v>3.1517444329173362E-24</v>
      </c>
      <c r="CN198" s="22">
        <f t="shared" si="172"/>
        <v>0.56502230083947391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108.5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-6.7984728957526396E-14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380.01315081072897</v>
      </c>
      <c r="CZ198" s="59">
        <f t="shared" si="208"/>
        <v>404.90871625409181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0.13326825825620997</v>
      </c>
      <c r="DG198" s="21">
        <f>EXP(-LN(2)/25)*DG197+(1-EXP(-LN(2)/25))/(LN(2)/25)*Calculateur!DB198*Calculateur!DD198*VLOOKUP('Données projet'!$B$13,Paramètres!$A$1:$I$89,3,0)*0.475*44/12</f>
        <v>0.21998380437248455</v>
      </c>
      <c r="DH198" s="21">
        <f>EXP(-LN(2)/2)*DH197+(1-EXP(-LN(2)/2))/(LN(2)/2)*DB198*DE198*VLOOKUP('Données projet'!$B$13,Paramètres!$A$1:$I$89,3,0)*0.475*44/12</f>
        <v>4.4311430648687976E-24</v>
      </c>
      <c r="DI198" s="22">
        <f t="shared" si="175"/>
        <v>0.35325206262869452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108.5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-5.6843418860808015E-14</v>
      </c>
      <c r="DP198" s="17">
        <f>DO198*VLOOKUP('Données projet'!$B$14,Paramètres!$A$1:$I$89,3,0)*VLOOKUP('Données projet'!$B$14,Paramètres!$A$1:$I$89,5,0)</f>
        <v>-5.1431925385259088E-14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320.81451813551064</v>
      </c>
      <c r="DU198" s="59">
        <f t="shared" si="209"/>
        <v>522.80818268773976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6.9923519077370044E-2</v>
      </c>
      <c r="EB198" s="21">
        <f>EXP(-LN(2)/25)*EB197+(1-EXP(-LN(2)/25))/(LN(2)/25)*Calculateur!DW198*Calculateur!DY198*VLOOKUP('Données projet'!$B$14,Paramètres!$A$1:$I$89,3,0)*0.475*44/12</f>
        <v>0.10747762321639112</v>
      </c>
      <c r="EC198" s="21">
        <f>EXP(-LN(2)/2)*EC197+(1-EXP(-LN(2)/2))/(LN(2)/2)*DW198*DZ198*VLOOKUP('Données projet'!$B$14,Paramètres!$A$1:$I$89,3,0)*0.475*44/12</f>
        <v>8.7573200726280002E-25</v>
      </c>
      <c r="ED198" s="22">
        <f t="shared" si="178"/>
        <v>0.17740114229376117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108.5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228.3393311631487</v>
      </c>
      <c r="EP198" s="59">
        <f t="shared" si="210"/>
        <v>266.26050497804033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0.23665109038095117</v>
      </c>
      <c r="EW198" s="21">
        <f>EXP(-LN(2)/25)*EW197+(1-EXP(-LN(2)/25))/(LN(2)/25)*Calculateur!ER198*Calculateur!ET198*VLOOKUP('Données projet'!$B$15,Paramètres!$A$1:$I$89,3,0)*0.475*44/12</f>
        <v>0.12711481779894362</v>
      </c>
      <c r="EX198" s="21">
        <f>EXP(-LN(2)/2)*EX197+(1-EXP(-LN(2)/2))/(LN(2)/2)*ER198*EU198*VLOOKUP('Données projet'!$B$15,Paramètres!$A$1:$I$89,3,0)*0.475*44/12</f>
        <v>7.9630320229060941E-25</v>
      </c>
      <c r="EY198" s="22">
        <f t="shared" si="181"/>
        <v>0.36376590817989479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108.5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-1.7053025658242404E-13</v>
      </c>
      <c r="FF198" s="17">
        <f>FE198*VLOOKUP('Données projet'!$B$16,Paramètres!$A$1:$I$89,3,0)*VLOOKUP('Données projet'!$B$16,Paramètres!$A$1:$I$89,5,0)</f>
        <v>-9.7543306765146564E-14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242.10913976205194</v>
      </c>
      <c r="FK198" s="59">
        <f t="shared" si="211"/>
        <v>198.24795425321133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0.11171899282726398</v>
      </c>
      <c r="FS198" s="21">
        <f>EXP(-LN(2)/2)*FS197+(1-EXP(-LN(2)/2))/(LN(2)/2)*FM198*FP198*VLOOKUP('Données projet'!$B$16,Paramètres!$A$1:$I$89,3,0)*0.475*44/12</f>
        <v>1.9335033521609702E-24</v>
      </c>
      <c r="FT198" s="22">
        <f t="shared" si="184"/>
        <v>0.11171899282726398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108.5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108.5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95.855759999999762</v>
      </c>
      <c r="D199" s="11">
        <f t="shared" si="202"/>
        <v>25.9722706288272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517.23479670484437</v>
      </c>
      <c r="H199" s="67">
        <f t="shared" si="192"/>
        <v>610.01715334520691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108.5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4.6111381379887463E-14</v>
      </c>
      <c r="P199" s="13">
        <f t="shared" si="203"/>
        <v>7.5804141040779151E-13</v>
      </c>
      <c r="Q199" s="20">
        <f t="shared" si="162"/>
        <v>1.4005661123635408E-12</v>
      </c>
      <c r="R199" s="59">
        <f t="shared" si="191"/>
        <v>434.50000000000142</v>
      </c>
      <c r="S199" s="59">
        <f ca="1">AVERAGE(OFFSET($R$3,0,0,'Données projet'!$E$9+1,1))-AVERAGE(OFFSET($H$3,0,0,'Données projet'!$E$9+1,1))</f>
        <v>273.89826011924487</v>
      </c>
      <c r="T199" s="59">
        <f t="shared" si="204"/>
        <v>332.17519939974227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8.5291435585738762E-2</v>
      </c>
      <c r="AB199" s="21">
        <f>EXP(-LN(2)/2)*AB198+(1-EXP(-LN(2)/2))/(LN(2)/2)*V199*Y199*VLOOKUP('Données projet'!$B$9,Paramètres!$A$1:$I$89,3,0)*0.475*44/12</f>
        <v>1.1345370787105716E-24</v>
      </c>
      <c r="AC199" s="22">
        <f t="shared" si="163"/>
        <v>8.5291435585738762E-2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108.5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-5.3205440053716299E-14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293.42903587188346</v>
      </c>
      <c r="AO199" s="59">
        <f t="shared" si="205"/>
        <v>267.80827667062124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0.11706776175473965</v>
      </c>
      <c r="AV199" s="21">
        <f>EXP(-LN(2)/25)*AV198+(1-EXP(-LN(2)/25))/(LN(2)/25)*Calculateur!AQ199*Calculateur!AS199*VLOOKUP('Données projet'!$B$10,Paramètres!$A$1:$I$89,3,0)*0.475*44/12</f>
        <v>7.8764893666384048E-2</v>
      </c>
      <c r="AW199" s="21">
        <f>EXP(-LN(2)/2)*AW198+(1-EXP(-LN(2)/2))/(LN(2)/2)*AQ199*AT199*VLOOKUP('Données projet'!$B$10,Paramètres!$A$1:$I$89,3,0)*0.475*44/12</f>
        <v>1.0166232204625888E-24</v>
      </c>
      <c r="AX199" s="21">
        <f t="shared" si="166"/>
        <v>0.19583265542112371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108.5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-1.0286385077051818E-13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324.41828402031939</v>
      </c>
      <c r="BJ199" s="59">
        <f t="shared" si="206"/>
        <v>233.01060088065992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3.1142511615646549E-2</v>
      </c>
      <c r="BR199" s="21">
        <f>EXP(-LN(2)/2)*BR198+(1-EXP(-LN(2)/2))/(LN(2)/2)*BL199*BO199*VLOOKUP('Données projet'!$B$11,Paramètres!$A$1:$I$89,3,0)*0.475*44/12</f>
        <v>6.3996356869123425E-25</v>
      </c>
      <c r="BS199" s="22">
        <f t="shared" si="169"/>
        <v>3.1142511615646549E-2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108.5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279.00060755204919</v>
      </c>
      <c r="CE199" s="59">
        <f t="shared" si="207"/>
        <v>333.91128554211014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0.27267119790765232</v>
      </c>
      <c r="CL199" s="21">
        <f>EXP(-LN(2)/25)*CL198+(1-EXP(-LN(2)/25))/(LN(2)/25)*Calculateur!CG199*Calculateur!CI199*VLOOKUP('Données projet'!$B$12,Paramètres!$A$1:$I$89,3,0)*0.475*44/12</f>
        <v>0.27905202001221369</v>
      </c>
      <c r="CM199" s="21">
        <f>EXP(-LN(2)/2)*CM198+(1-EXP(-LN(2)/2))/(LN(2)/2)*CG199*CJ199*VLOOKUP('Données projet'!$B$12,Paramètres!$A$1:$I$89,3,0)*0.475*44/12</f>
        <v>2.2286198610827981E-24</v>
      </c>
      <c r="CN199" s="22">
        <f t="shared" si="172"/>
        <v>0.551723217919866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108.5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-6.7984728957526396E-14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380.01315081072897</v>
      </c>
      <c r="CZ199" s="59">
        <f t="shared" si="208"/>
        <v>404.90871625409181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0.13065494899741695</v>
      </c>
      <c r="DG199" s="21">
        <f>EXP(-LN(2)/25)*DG198+(1-EXP(-LN(2)/25))/(LN(2)/25)*Calculateur!DB199*Calculateur!DD199*VLOOKUP('Données projet'!$B$13,Paramètres!$A$1:$I$89,3,0)*0.475*44/12</f>
        <v>0.21396833567347345</v>
      </c>
      <c r="DH199" s="21">
        <f>EXP(-LN(2)/2)*DH198+(1-EXP(-LN(2)/2))/(LN(2)/2)*DB199*DE199*VLOOKUP('Données projet'!$B$13,Paramètres!$A$1:$I$89,3,0)*0.475*44/12</f>
        <v>3.1332913095764684E-24</v>
      </c>
      <c r="DI199" s="22">
        <f t="shared" si="175"/>
        <v>0.34462328467089043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108.5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-5.6843418860808015E-14</v>
      </c>
      <c r="DP199" s="17">
        <f>DO199*VLOOKUP('Données projet'!$B$14,Paramètres!$A$1:$I$89,3,0)*VLOOKUP('Données projet'!$B$14,Paramètres!$A$1:$I$89,5,0)</f>
        <v>-5.1431925385259088E-14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320.81451813551064</v>
      </c>
      <c r="DU199" s="59">
        <f t="shared" si="209"/>
        <v>522.80818268773976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6.85523615173982E-2</v>
      </c>
      <c r="EB199" s="21">
        <f>EXP(-LN(2)/25)*EB198+(1-EXP(-LN(2)/25))/(LN(2)/25)*Calculateur!DW199*Calculateur!DY199*VLOOKUP('Données projet'!$B$14,Paramètres!$A$1:$I$89,3,0)*0.475*44/12</f>
        <v>0.10453864195753634</v>
      </c>
      <c r="EC199" s="21">
        <f>EXP(-LN(2)/2)*EC198+(1-EXP(-LN(2)/2))/(LN(2)/2)*DW199*DZ199*VLOOKUP('Données projet'!$B$14,Paramètres!$A$1:$I$89,3,0)*0.475*44/12</f>
        <v>6.1923604083763278E-25</v>
      </c>
      <c r="ED199" s="22">
        <f t="shared" si="178"/>
        <v>0.17309100347493456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108.5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228.3393311631487</v>
      </c>
      <c r="EP199" s="59">
        <f t="shared" si="210"/>
        <v>266.26050497804033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0.23201050684149316</v>
      </c>
      <c r="EW199" s="21">
        <f>EXP(-LN(2)/25)*EW198+(1-EXP(-LN(2)/25))/(LN(2)/25)*Calculateur!ER199*Calculateur!ET199*VLOOKUP('Données projet'!$B$15,Paramètres!$A$1:$I$89,3,0)*0.475*44/12</f>
        <v>0.12363885642155377</v>
      </c>
      <c r="EX199" s="21">
        <f>EXP(-LN(2)/2)*EX198+(1-EXP(-LN(2)/2))/(LN(2)/2)*ER199*EU199*VLOOKUP('Données projet'!$B$15,Paramètres!$A$1:$I$89,3,0)*0.475*44/12</f>
        <v>5.6307139422025303E-25</v>
      </c>
      <c r="EY199" s="22">
        <f t="shared" si="181"/>
        <v>0.35564936326304691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108.5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-1.7053025658242404E-13</v>
      </c>
      <c r="FF199" s="17">
        <f>FE199*VLOOKUP('Données projet'!$B$16,Paramètres!$A$1:$I$89,3,0)*VLOOKUP('Données projet'!$B$16,Paramètres!$A$1:$I$89,5,0)</f>
        <v>-9.7543306765146564E-14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242.10913976205194</v>
      </c>
      <c r="FK199" s="59">
        <f t="shared" si="211"/>
        <v>198.24795425321133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0.10866403109335596</v>
      </c>
      <c r="FS199" s="21">
        <f>EXP(-LN(2)/2)*FS198+(1-EXP(-LN(2)/2))/(LN(2)/2)*FM199*FP199*VLOOKUP('Données projet'!$B$16,Paramètres!$A$1:$I$89,3,0)*0.475*44/12</f>
        <v>1.3671933317599433E-24</v>
      </c>
      <c r="FT199" s="22">
        <f t="shared" si="184"/>
        <v>0.10866403109335596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108.5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108.5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96.344819999999757</v>
      </c>
      <c r="D200" s="11">
        <f t="shared" si="202"/>
        <v>26.089323163285847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519.8081165879845</v>
      </c>
      <c r="H200" s="67">
        <f t="shared" si="192"/>
        <v>611.07279934272242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108.5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4.6111381379887463E-14</v>
      </c>
      <c r="P200" s="13">
        <f t="shared" si="203"/>
        <v>7.5804141040779151E-13</v>
      </c>
      <c r="Q200" s="20">
        <f t="shared" si="162"/>
        <v>1.4005661123635408E-12</v>
      </c>
      <c r="R200" s="59">
        <f t="shared" si="191"/>
        <v>434.50000000000142</v>
      </c>
      <c r="S200" s="59">
        <f ca="1">AVERAGE(OFFSET($R$3,0,0,'Données projet'!$E$9+1,1))-AVERAGE(OFFSET($H$3,0,0,'Données projet'!$E$9+1,1))</f>
        <v>273.89826011924487</v>
      </c>
      <c r="T200" s="59">
        <f t="shared" si="204"/>
        <v>332.17519939974227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8.2959136794365076E-2</v>
      </c>
      <c r="AB200" s="21">
        <f>EXP(-LN(2)/2)*AB199+(1-EXP(-LN(2)/2))/(LN(2)/2)*V200*Y200*VLOOKUP('Données projet'!$B$9,Paramètres!$A$1:$I$89,3,0)*0.475*44/12</f>
        <v>8.0223886186382102E-25</v>
      </c>
      <c r="AC200" s="22">
        <f t="shared" si="163"/>
        <v>8.2959136794365076E-2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108.5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-5.3205440053716299E-14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293.42903587188346</v>
      </c>
      <c r="AO200" s="59">
        <f t="shared" si="205"/>
        <v>267.80827667062124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0.11477213435101329</v>
      </c>
      <c r="AV200" s="21">
        <f>EXP(-LN(2)/25)*AV199+(1-EXP(-LN(2)/25))/(LN(2)/25)*Calculateur!AQ200*Calculateur!AS200*VLOOKUP('Données projet'!$B$10,Paramètres!$A$1:$I$89,3,0)*0.475*44/12</f>
        <v>7.6611063507011037E-2</v>
      </c>
      <c r="AW200" s="21">
        <f>EXP(-LN(2)/2)*AW199+(1-EXP(-LN(2)/2))/(LN(2)/2)*AQ200*AT200*VLOOKUP('Données projet'!$B$10,Paramètres!$A$1:$I$89,3,0)*0.475*44/12</f>
        <v>7.1886117310080304E-25</v>
      </c>
      <c r="AX200" s="21">
        <f t="shared" si="166"/>
        <v>0.19138319785802432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108.5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-1.0286385077051818E-13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324.41828402031939</v>
      </c>
      <c r="BJ200" s="59">
        <f t="shared" si="206"/>
        <v>233.01060088065992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3.0290917997803184E-2</v>
      </c>
      <c r="BR200" s="21">
        <f>EXP(-LN(2)/2)*BR199+(1-EXP(-LN(2)/2))/(LN(2)/2)*BL200*BO200*VLOOKUP('Données projet'!$B$11,Paramètres!$A$1:$I$89,3,0)*0.475*44/12</f>
        <v>4.5252257913391465E-25</v>
      </c>
      <c r="BS200" s="22">
        <f t="shared" si="169"/>
        <v>3.0290917997803184E-2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108.5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279.00060755204919</v>
      </c>
      <c r="CE200" s="59">
        <f t="shared" si="207"/>
        <v>333.91128554211014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0.26732428202969194</v>
      </c>
      <c r="CL200" s="21">
        <f>EXP(-LN(2)/25)*CL199+(1-EXP(-LN(2)/25))/(LN(2)/25)*Calculateur!CG200*Calculateur!CI200*VLOOKUP('Données projet'!$B$12,Paramètres!$A$1:$I$89,3,0)*0.475*44/12</f>
        <v>0.27142132785027173</v>
      </c>
      <c r="CM200" s="21">
        <f>EXP(-LN(2)/2)*CM199+(1-EXP(-LN(2)/2))/(LN(2)/2)*CG200*CJ200*VLOOKUP('Données projet'!$B$12,Paramètres!$A$1:$I$89,3,0)*0.475*44/12</f>
        <v>1.5758722164586681E-24</v>
      </c>
      <c r="CN200" s="22">
        <f t="shared" si="172"/>
        <v>0.53874560987996367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108.5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-6.7984728957526396E-14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380.01315081072897</v>
      </c>
      <c r="CZ200" s="59">
        <f t="shared" si="208"/>
        <v>404.90871625409181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0.12809288513922759</v>
      </c>
      <c r="DG200" s="21">
        <f>EXP(-LN(2)/25)*DG199+(1-EXP(-LN(2)/25))/(LN(2)/25)*Calculateur!DB200*Calculateur!DD200*VLOOKUP('Données projet'!$B$13,Paramètres!$A$1:$I$89,3,0)*0.475*44/12</f>
        <v>0.20811736028237657</v>
      </c>
      <c r="DH200" s="21">
        <f>EXP(-LN(2)/2)*DH199+(1-EXP(-LN(2)/2))/(LN(2)/2)*DB200*DE200*VLOOKUP('Données projet'!$B$13,Paramètres!$A$1:$I$89,3,0)*0.475*44/12</f>
        <v>2.2155715324343988E-24</v>
      </c>
      <c r="DI200" s="22">
        <f t="shared" si="175"/>
        <v>0.33621024542160416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108.5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-5.6843418860808015E-14</v>
      </c>
      <c r="DP200" s="17">
        <f>DO200*VLOOKUP('Données projet'!$B$14,Paramètres!$A$1:$I$89,3,0)*VLOOKUP('Données projet'!$B$14,Paramètres!$A$1:$I$89,5,0)</f>
        <v>-5.1431925385259088E-14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320.81451813551064</v>
      </c>
      <c r="DU200" s="59">
        <f t="shared" si="209"/>
        <v>522.80818268773976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6.7208091520853872E-2</v>
      </c>
      <c r="EB200" s="21">
        <f>EXP(-LN(2)/25)*EB199+(1-EXP(-LN(2)/25))/(LN(2)/25)*Calculateur!DW200*Calculateur!DY200*VLOOKUP('Données projet'!$B$14,Paramètres!$A$1:$I$89,3,0)*0.475*44/12</f>
        <v>0.10168002729575926</v>
      </c>
      <c r="EC200" s="21">
        <f>EXP(-LN(2)/2)*EC199+(1-EXP(-LN(2)/2))/(LN(2)/2)*DW200*DZ200*VLOOKUP('Données projet'!$B$14,Paramètres!$A$1:$I$89,3,0)*0.475*44/12</f>
        <v>4.3786600363140001E-25</v>
      </c>
      <c r="ED200" s="22">
        <f t="shared" si="178"/>
        <v>0.16888811881661314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108.5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228.3393311631487</v>
      </c>
      <c r="EP200" s="59">
        <f t="shared" si="210"/>
        <v>266.26050497804033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0.22746092231476747</v>
      </c>
      <c r="EW200" s="21">
        <f>EXP(-LN(2)/25)*EW199+(1-EXP(-LN(2)/25))/(LN(2)/25)*Calculateur!ER200*Calculateur!ET200*VLOOKUP('Données projet'!$B$15,Paramètres!$A$1:$I$89,3,0)*0.475*44/12</f>
        <v>0.12025794539082151</v>
      </c>
      <c r="EX200" s="21">
        <f>EXP(-LN(2)/2)*EX199+(1-EXP(-LN(2)/2))/(LN(2)/2)*ER200*EU200*VLOOKUP('Données projet'!$B$15,Paramètres!$A$1:$I$89,3,0)*0.475*44/12</f>
        <v>3.9815160114530471E-25</v>
      </c>
      <c r="EY200" s="22">
        <f t="shared" si="181"/>
        <v>0.34771886770558896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108.5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-1.7053025658242404E-13</v>
      </c>
      <c r="FF200" s="17">
        <f>FE200*VLOOKUP('Données projet'!$B$16,Paramètres!$A$1:$I$89,3,0)*VLOOKUP('Données projet'!$B$16,Paramètres!$A$1:$I$89,5,0)</f>
        <v>-9.7543306765146564E-14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242.10913976205194</v>
      </c>
      <c r="FK200" s="59">
        <f t="shared" si="211"/>
        <v>198.24795425321133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0.1056926074487151</v>
      </c>
      <c r="FS200" s="21">
        <f>EXP(-LN(2)/2)*FS199+(1-EXP(-LN(2)/2))/(LN(2)/2)*FM200*FP200*VLOOKUP('Données projet'!$B$16,Paramètres!$A$1:$I$89,3,0)*0.475*44/12</f>
        <v>9.6675167608048509E-25</v>
      </c>
      <c r="FT200" s="22">
        <f t="shared" si="184"/>
        <v>0.1056926074487151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108.5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108.5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96.833879999999752</v>
      </c>
      <c r="D201" s="11">
        <f t="shared" si="202"/>
        <v>26.206306555853839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522.38114292134344</v>
      </c>
      <c r="H201" s="67">
        <f t="shared" si="192"/>
        <v>612.12832491811162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108.5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4.6111381379887463E-14</v>
      </c>
      <c r="P201" s="13">
        <f t="shared" si="203"/>
        <v>7.5804141040779151E-13</v>
      </c>
      <c r="Q201" s="20">
        <f t="shared" si="162"/>
        <v>1.4005661123635408E-12</v>
      </c>
      <c r="R201" s="59">
        <f t="shared" si="191"/>
        <v>434.50000000000142</v>
      </c>
      <c r="S201" s="59">
        <f ca="1">AVERAGE(OFFSET($R$3,0,0,'Données projet'!$E$9+1,1))-AVERAGE(OFFSET($H$3,0,0,'Données projet'!$E$9+1,1))</f>
        <v>273.89826011924487</v>
      </c>
      <c r="T201" s="59">
        <f t="shared" si="204"/>
        <v>332.17519939974227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8.0690614836091759E-2</v>
      </c>
      <c r="AB201" s="21">
        <f>EXP(-LN(2)/2)*AB200+(1-EXP(-LN(2)/2))/(LN(2)/2)*V201*Y201*VLOOKUP('Données projet'!$B$9,Paramètres!$A$1:$I$89,3,0)*0.475*44/12</f>
        <v>5.6726853935528581E-25</v>
      </c>
      <c r="AC201" s="22">
        <f t="shared" si="163"/>
        <v>8.0690614836091759E-2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108.5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-5.3205440053716299E-14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293.42903587188346</v>
      </c>
      <c r="AO201" s="59">
        <f t="shared" si="205"/>
        <v>267.80827667062124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0.11252152280047954</v>
      </c>
      <c r="AV201" s="21">
        <f>EXP(-LN(2)/25)*AV200+(1-EXP(-LN(2)/25))/(LN(2)/25)*Calculateur!AQ201*Calculateur!AS201*VLOOKUP('Données projet'!$B$10,Paramètres!$A$1:$I$89,3,0)*0.475*44/12</f>
        <v>7.4516129946611082E-2</v>
      </c>
      <c r="AW201" s="21">
        <f>EXP(-LN(2)/2)*AW200+(1-EXP(-LN(2)/2))/(LN(2)/2)*AQ201*AT201*VLOOKUP('Données projet'!$B$10,Paramètres!$A$1:$I$89,3,0)*0.475*44/12</f>
        <v>5.0831161023129439E-25</v>
      </c>
      <c r="AX201" s="21">
        <f t="shared" si="166"/>
        <v>0.18703765274709061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108.5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-1.0286385077051818E-13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324.41828402031939</v>
      </c>
      <c r="BJ201" s="59">
        <f t="shared" si="206"/>
        <v>233.01060088065992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2.946261125222311E-2</v>
      </c>
      <c r="BR201" s="21">
        <f>EXP(-LN(2)/2)*BR200+(1-EXP(-LN(2)/2))/(LN(2)/2)*BL201*BO201*VLOOKUP('Données projet'!$B$11,Paramètres!$A$1:$I$89,3,0)*0.475*44/12</f>
        <v>3.1998178434561713E-25</v>
      </c>
      <c r="BS201" s="22">
        <f t="shared" si="169"/>
        <v>2.946261125222311E-2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108.5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279.00060755204919</v>
      </c>
      <c r="CE201" s="59">
        <f t="shared" si="207"/>
        <v>333.91128554211014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0.26208221591080172</v>
      </c>
      <c r="CL201" s="21">
        <f>EXP(-LN(2)/25)*CL200+(1-EXP(-LN(2)/25))/(LN(2)/25)*Calculateur!CG201*Calculateur!CI201*VLOOKUP('Données projet'!$B$12,Paramètres!$A$1:$I$89,3,0)*0.475*44/12</f>
        <v>0.26399929736677874</v>
      </c>
      <c r="CM201" s="21">
        <f>EXP(-LN(2)/2)*CM200+(1-EXP(-LN(2)/2))/(LN(2)/2)*CG201*CJ201*VLOOKUP('Données projet'!$B$12,Paramètres!$A$1:$I$89,3,0)*0.475*44/12</f>
        <v>1.1143099305413991E-24</v>
      </c>
      <c r="CN201" s="22">
        <f t="shared" si="172"/>
        <v>0.52608151327758046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108.5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-6.7984728957526396E-14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380.01315081072897</v>
      </c>
      <c r="CZ201" s="59">
        <f t="shared" si="208"/>
        <v>404.90871625409181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0.12558106179059267</v>
      </c>
      <c r="DG201" s="21">
        <f>EXP(-LN(2)/25)*DG200+(1-EXP(-LN(2)/25))/(LN(2)/25)*Calculateur!DB201*Calculateur!DD201*VLOOKUP('Données projet'!$B$13,Paramètres!$A$1:$I$89,3,0)*0.475*44/12</f>
        <v>0.20242638012103867</v>
      </c>
      <c r="DH201" s="21">
        <f>EXP(-LN(2)/2)*DH200+(1-EXP(-LN(2)/2))/(LN(2)/2)*DB201*DE201*VLOOKUP('Données projet'!$B$13,Paramètres!$A$1:$I$89,3,0)*0.475*44/12</f>
        <v>1.5666456547882342E-24</v>
      </c>
      <c r="DI201" s="22">
        <f t="shared" si="175"/>
        <v>0.32800744191163134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108.5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-5.6843418860808015E-14</v>
      </c>
      <c r="DP201" s="17">
        <f>DO201*VLOOKUP('Données projet'!$B$14,Paramètres!$A$1:$I$89,3,0)*VLOOKUP('Données projet'!$B$14,Paramètres!$A$1:$I$89,5,0)</f>
        <v>-5.1431925385259088E-14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320.81451813551064</v>
      </c>
      <c r="DU201" s="59">
        <f t="shared" si="209"/>
        <v>522.80818268773976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6.5890181839018042E-2</v>
      </c>
      <c r="EB201" s="21">
        <f>EXP(-LN(2)/25)*EB200+(1-EXP(-LN(2)/25))/(LN(2)/25)*Calculateur!DW201*Calculateur!DY201*VLOOKUP('Données projet'!$B$14,Paramètres!$A$1:$I$89,3,0)*0.475*44/12</f>
        <v>9.8899581602236483E-2</v>
      </c>
      <c r="EC201" s="21">
        <f>EXP(-LN(2)/2)*EC200+(1-EXP(-LN(2)/2))/(LN(2)/2)*DW201*DZ201*VLOOKUP('Données projet'!$B$14,Paramètres!$A$1:$I$89,3,0)*0.475*44/12</f>
        <v>3.0961802041881639E-25</v>
      </c>
      <c r="ED201" s="22">
        <f t="shared" si="178"/>
        <v>0.16478976344125451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108.5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228.3393311631487</v>
      </c>
      <c r="EP201" s="59">
        <f t="shared" si="210"/>
        <v>266.26050497804033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0.22300055236563832</v>
      </c>
      <c r="EW201" s="21">
        <f>EXP(-LN(2)/25)*EW200+(1-EXP(-LN(2)/25))/(LN(2)/25)*Calculateur!ER201*Calculateur!ET201*VLOOKUP('Données projet'!$B$15,Paramètres!$A$1:$I$89,3,0)*0.475*44/12</f>
        <v>0.116969485550019</v>
      </c>
      <c r="EX201" s="21">
        <f>EXP(-LN(2)/2)*EX200+(1-EXP(-LN(2)/2))/(LN(2)/2)*ER201*EU201*VLOOKUP('Données projet'!$B$15,Paramètres!$A$1:$I$89,3,0)*0.475*44/12</f>
        <v>2.8153569711012652E-25</v>
      </c>
      <c r="EY201" s="22">
        <f t="shared" si="181"/>
        <v>0.33997003791565733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108.5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-1.7053025658242404E-13</v>
      </c>
      <c r="FF201" s="17">
        <f>FE201*VLOOKUP('Données projet'!$B$16,Paramètres!$A$1:$I$89,3,0)*VLOOKUP('Données projet'!$B$16,Paramètres!$A$1:$I$89,5,0)</f>
        <v>-9.7543306765146564E-14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242.10913976205194</v>
      </c>
      <c r="FK201" s="59">
        <f t="shared" si="211"/>
        <v>198.24795425321133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0.10280243753989732</v>
      </c>
      <c r="FS201" s="21">
        <f>EXP(-LN(2)/2)*FS200+(1-EXP(-LN(2)/2))/(LN(2)/2)*FM201*FP201*VLOOKUP('Données projet'!$B$16,Paramètres!$A$1:$I$89,3,0)*0.475*44/12</f>
        <v>6.8359666587997165E-25</v>
      </c>
      <c r="FT201" s="22">
        <f t="shared" si="184"/>
        <v>0.10280243753989732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108.5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108.5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97.322939999999747</v>
      </c>
      <c r="D202" s="11">
        <f t="shared" si="202"/>
        <v>26.323221196268463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524.95387735959491</v>
      </c>
      <c r="H202" s="67">
        <f t="shared" si="192"/>
        <v>613.18373075016711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108.5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4.6111381379887463E-14</v>
      </c>
      <c r="P202" s="13">
        <f t="shared" si="203"/>
        <v>7.5804141040779151E-13</v>
      </c>
      <c r="Q202" s="20">
        <f t="shared" si="162"/>
        <v>1.4005661123635408E-12</v>
      </c>
      <c r="R202" s="59">
        <f t="shared" si="191"/>
        <v>434.50000000000142</v>
      </c>
      <c r="S202" s="59">
        <f ca="1">AVERAGE(OFFSET($R$3,0,0,'Données projet'!$E$9+1,1))-AVERAGE(OFFSET($H$3,0,0,'Données projet'!$E$9+1,1))</f>
        <v>273.89826011924487</v>
      </c>
      <c r="T202" s="59">
        <f t="shared" si="204"/>
        <v>332.17519939974227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7.8484125730063817E-2</v>
      </c>
      <c r="AB202" s="21">
        <f>EXP(-LN(2)/2)*AB201+(1-EXP(-LN(2)/2))/(LN(2)/2)*V202*Y202*VLOOKUP('Données projet'!$B$9,Paramètres!$A$1:$I$89,3,0)*0.475*44/12</f>
        <v>4.0111943093191051E-25</v>
      </c>
      <c r="AC202" s="22">
        <f t="shared" si="163"/>
        <v>7.8484125730063817E-2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108.5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-5.3205440053716299E-14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293.42903587188346</v>
      </c>
      <c r="AO202" s="59">
        <f t="shared" si="205"/>
        <v>267.80827667062124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0.11031504436971426</v>
      </c>
      <c r="AV202" s="21">
        <f>EXP(-LN(2)/25)*AV201+(1-EXP(-LN(2)/25))/(LN(2)/25)*Calculateur!AQ202*Calculateur!AS202*VLOOKUP('Données projet'!$B$10,Paramètres!$A$1:$I$89,3,0)*0.475*44/12</f>
        <v>7.2478482454588031E-2</v>
      </c>
      <c r="AW202" s="21">
        <f>EXP(-LN(2)/2)*AW201+(1-EXP(-LN(2)/2))/(LN(2)/2)*AQ202*AT202*VLOOKUP('Données projet'!$B$10,Paramètres!$A$1:$I$89,3,0)*0.475*44/12</f>
        <v>3.5943058655040152E-25</v>
      </c>
      <c r="AX202" s="21">
        <f t="shared" si="166"/>
        <v>0.18279352682430228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108.5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-1.0286385077051818E-13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324.41828402031939</v>
      </c>
      <c r="BJ202" s="59">
        <f t="shared" si="206"/>
        <v>233.01060088065992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2.865695459815968E-2</v>
      </c>
      <c r="BR202" s="21">
        <f>EXP(-LN(2)/2)*BR201+(1-EXP(-LN(2)/2))/(LN(2)/2)*BL202*BO202*VLOOKUP('Données projet'!$B$11,Paramètres!$A$1:$I$89,3,0)*0.475*44/12</f>
        <v>2.2626128956695732E-25</v>
      </c>
      <c r="BS202" s="22">
        <f t="shared" si="169"/>
        <v>2.865695459815968E-2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108.5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279.00060755204919</v>
      </c>
      <c r="CE202" s="59">
        <f t="shared" si="207"/>
        <v>333.91128554211014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0.25694294351115832</v>
      </c>
      <c r="CL202" s="21">
        <f>EXP(-LN(2)/25)*CL201+(1-EXP(-LN(2)/25))/(LN(2)/25)*Calculateur!CG202*Calculateur!CI202*VLOOKUP('Données projet'!$B$12,Paramètres!$A$1:$I$89,3,0)*0.475*44/12</f>
        <v>0.2567802226971645</v>
      </c>
      <c r="CM202" s="21">
        <f>EXP(-LN(2)/2)*CM201+(1-EXP(-LN(2)/2))/(LN(2)/2)*CG202*CJ202*VLOOKUP('Données projet'!$B$12,Paramètres!$A$1:$I$89,3,0)*0.475*44/12</f>
        <v>7.8793610822933405E-25</v>
      </c>
      <c r="CN202" s="22">
        <f t="shared" si="172"/>
        <v>0.51372316620832281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108.5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-6.7984728957526396E-14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380.01315081072897</v>
      </c>
      <c r="CZ202" s="59">
        <f t="shared" si="208"/>
        <v>404.90871625409181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0.12311849376576352</v>
      </c>
      <c r="DG202" s="21">
        <f>EXP(-LN(2)/25)*DG201+(1-EXP(-LN(2)/25))/(LN(2)/25)*Calculateur!DB202*Calculateur!DD202*VLOOKUP('Données projet'!$B$13,Paramètres!$A$1:$I$89,3,0)*0.475*44/12</f>
        <v>0.19689102011148818</v>
      </c>
      <c r="DH202" s="21">
        <f>EXP(-LN(2)/2)*DH201+(1-EXP(-LN(2)/2))/(LN(2)/2)*DB202*DE202*VLOOKUP('Données projet'!$B$13,Paramètres!$A$1:$I$89,3,0)*0.475*44/12</f>
        <v>1.1077857662171994E-24</v>
      </c>
      <c r="DI202" s="22">
        <f t="shared" si="175"/>
        <v>0.32000951387725168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108.5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-5.6843418860808015E-14</v>
      </c>
      <c r="DP202" s="17">
        <f>DO202*VLOOKUP('Données projet'!$B$14,Paramètres!$A$1:$I$89,3,0)*VLOOKUP('Données projet'!$B$14,Paramètres!$A$1:$I$89,5,0)</f>
        <v>-5.1431925385259088E-14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320.81451813551064</v>
      </c>
      <c r="DU202" s="59">
        <f t="shared" si="209"/>
        <v>522.80818268773976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6.4598115562197481E-2</v>
      </c>
      <c r="EB202" s="21">
        <f>EXP(-LN(2)/25)*EB201+(1-EXP(-LN(2)/25))/(LN(2)/25)*Calculateur!DW202*Calculateur!DY202*VLOOKUP('Données projet'!$B$14,Paramètres!$A$1:$I$89,3,0)*0.475*44/12</f>
        <v>9.6195167342420368E-2</v>
      </c>
      <c r="EC202" s="21">
        <f>EXP(-LN(2)/2)*EC201+(1-EXP(-LN(2)/2))/(LN(2)/2)*DW202*DZ202*VLOOKUP('Données projet'!$B$14,Paramètres!$A$1:$I$89,3,0)*0.475*44/12</f>
        <v>2.189330018157E-25</v>
      </c>
      <c r="ED202" s="22">
        <f t="shared" si="178"/>
        <v>0.16079328290461786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108.5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228.3393311631487</v>
      </c>
      <c r="EP202" s="59">
        <f t="shared" si="210"/>
        <v>266.26050497804033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0.21862764755065453</v>
      </c>
      <c r="EW202" s="21">
        <f>EXP(-LN(2)/25)*EW201+(1-EXP(-LN(2)/25))/(LN(2)/25)*Calculateur!ER202*Calculateur!ET202*VLOOKUP('Données projet'!$B$15,Paramètres!$A$1:$I$89,3,0)*0.475*44/12</f>
        <v>0.11377094881649583</v>
      </c>
      <c r="EX202" s="21">
        <f>EXP(-LN(2)/2)*EX201+(1-EXP(-LN(2)/2))/(LN(2)/2)*ER202*EU202*VLOOKUP('Données projet'!$B$15,Paramètres!$A$1:$I$89,3,0)*0.475*44/12</f>
        <v>1.9907580057265235E-25</v>
      </c>
      <c r="EY202" s="22">
        <f t="shared" si="181"/>
        <v>0.33239859636715036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108.5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-1.7053025658242404E-13</v>
      </c>
      <c r="FF202" s="17">
        <f>FE202*VLOOKUP('Données projet'!$B$16,Paramètres!$A$1:$I$89,3,0)*VLOOKUP('Données projet'!$B$16,Paramètres!$A$1:$I$89,5,0)</f>
        <v>-9.7543306765146564E-14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242.10913976205194</v>
      </c>
      <c r="FK202" s="59">
        <f t="shared" si="211"/>
        <v>198.24795425321133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9.9991299479223597E-2</v>
      </c>
      <c r="FS202" s="21">
        <f>EXP(-LN(2)/2)*FS201+(1-EXP(-LN(2)/2))/(LN(2)/2)*FM202*FP202*VLOOKUP('Données projet'!$B$16,Paramètres!$A$1:$I$89,3,0)*0.475*44/12</f>
        <v>4.8337583804024254E-25</v>
      </c>
      <c r="FT202" s="22">
        <f t="shared" si="184"/>
        <v>9.9991299479223597E-2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108.5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108.5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97.811999999999742</v>
      </c>
      <c r="D203" s="11">
        <f t="shared" si="202"/>
        <v>26.440067470123214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108.5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527.52632153982029</v>
      </c>
      <c r="H203" s="67">
        <f t="shared" si="192"/>
        <v>614.23901751046412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108.5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4.6111381379887463E-14</v>
      </c>
      <c r="P203" s="13">
        <f t="shared" si="203"/>
        <v>7.5804141040779151E-13</v>
      </c>
      <c r="Q203" s="20">
        <f t="shared" si="162"/>
        <v>1.4005661123635408E-12</v>
      </c>
      <c r="R203" s="59">
        <f t="shared" si="191"/>
        <v>434.50000000000142</v>
      </c>
      <c r="S203" s="59">
        <f ca="1">AVERAGE(OFFSET($R$3,0,0,'Données projet'!$E$9+1,1))-AVERAGE(OFFSET($H$3,0,0,'Données projet'!$E$9+1,1))</f>
        <v>273.89826011924487</v>
      </c>
      <c r="T203" s="59">
        <f t="shared" si="204"/>
        <v>332.17519939974227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7.6337973184674432E-2</v>
      </c>
      <c r="AB203" s="21">
        <f>EXP(-LN(2)/2)*AB202+(1-EXP(-LN(2)/2))/(LN(2)/2)*V203*Y203*VLOOKUP('Données projet'!$B$9,Paramètres!$A$1:$I$89,3,0)*0.475*44/12</f>
        <v>2.8363426967764291E-25</v>
      </c>
      <c r="AC203" s="22">
        <f t="shared" si="163"/>
        <v>7.6337973184674432E-2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108.5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-5.3205440053716299E-14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293.42903587188346</v>
      </c>
      <c r="AO203" s="59">
        <f t="shared" si="205"/>
        <v>267.80827667062124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0.10815183363515733</v>
      </c>
      <c r="AV203" s="21">
        <f>EXP(-LN(2)/25)*AV202+(1-EXP(-LN(2)/25))/(LN(2)/25)*Calculateur!AQ203*Calculateur!AS203*VLOOKUP('Données projet'!$B$10,Paramètres!$A$1:$I$89,3,0)*0.475*44/12</f>
        <v>7.0496554540389583E-2</v>
      </c>
      <c r="AW203" s="21">
        <f>EXP(-LN(2)/2)*AW202+(1-EXP(-LN(2)/2))/(LN(2)/2)*AQ203*AT203*VLOOKUP('Données projet'!$B$10,Paramètres!$A$1:$I$89,3,0)*0.475*44/12</f>
        <v>2.5415580511564719E-25</v>
      </c>
      <c r="AX203" s="21">
        <f t="shared" si="166"/>
        <v>0.1786483881755469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108.5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-1.0286385077051818E-13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324.41828402031939</v>
      </c>
      <c r="BJ203" s="59">
        <f t="shared" si="206"/>
        <v>233.01060088065992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2.7873328667669256E-2</v>
      </c>
      <c r="BR203" s="21">
        <f>EXP(-LN(2)/2)*BR202+(1-EXP(-LN(2)/2))/(LN(2)/2)*BL203*BO203*VLOOKUP('Données projet'!$B$11,Paramètres!$A$1:$I$89,3,0)*0.475*44/12</f>
        <v>1.5999089217280856E-25</v>
      </c>
      <c r="BS203" s="22">
        <f t="shared" si="169"/>
        <v>2.7873328667669256E-2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108.5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279.00060755204919</v>
      </c>
      <c r="CE203" s="59">
        <f t="shared" si="207"/>
        <v>333.91128554211014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0.25190444910862525</v>
      </c>
      <c r="CL203" s="21">
        <f>EXP(-LN(2)/25)*CL202+(1-EXP(-LN(2)/25))/(LN(2)/25)*Calculateur!CG203*Calculateur!CI203*VLOOKUP('Données projet'!$B$12,Paramètres!$A$1:$I$89,3,0)*0.475*44/12</f>
        <v>0.2497585540040255</v>
      </c>
      <c r="CM203" s="21">
        <f>EXP(-LN(2)/2)*CM202+(1-EXP(-LN(2)/2))/(LN(2)/2)*CG203*CJ203*VLOOKUP('Données projet'!$B$12,Paramètres!$A$1:$I$89,3,0)*0.475*44/12</f>
        <v>5.5715496527069954E-25</v>
      </c>
      <c r="CN203" s="22">
        <f t="shared" si="172"/>
        <v>0.50166300311265077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108.5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-6.7984728957526396E-14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380.01315081072897</v>
      </c>
      <c r="CZ203" s="59">
        <f t="shared" si="208"/>
        <v>404.90871625409181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0.12070421519788309</v>
      </c>
      <c r="DG203" s="21">
        <f>EXP(-LN(2)/25)*DG202+(1-EXP(-LN(2)/25))/(LN(2)/25)*Calculateur!DB203*Calculateur!DD203*VLOOKUP('Données projet'!$B$13,Paramètres!$A$1:$I$89,3,0)*0.475*44/12</f>
        <v>0.19150702481249079</v>
      </c>
      <c r="DH203" s="21">
        <f>EXP(-LN(2)/2)*DH202+(1-EXP(-LN(2)/2))/(LN(2)/2)*DB203*DE203*VLOOKUP('Données projet'!$B$13,Paramètres!$A$1:$I$89,3,0)*0.475*44/12</f>
        <v>7.8332282739411711E-25</v>
      </c>
      <c r="DI203" s="22">
        <f t="shared" si="175"/>
        <v>0.31221124001037387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108.5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-5.6843418860808015E-14</v>
      </c>
      <c r="DP203" s="17">
        <f>DO203*VLOOKUP('Données projet'!$B$14,Paramètres!$A$1:$I$89,3,0)*VLOOKUP('Données projet'!$B$14,Paramètres!$A$1:$I$89,5,0)</f>
        <v>-5.1431925385259088E-14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320.81451813551064</v>
      </c>
      <c r="DU203" s="59">
        <f t="shared" si="209"/>
        <v>522.80818268773976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6.3331385916982758E-2</v>
      </c>
      <c r="EB203" s="21">
        <f>EXP(-LN(2)/25)*EB202+(1-EXP(-LN(2)/25))/(LN(2)/25)*Calculateur!DW203*Calculateur!DY203*VLOOKUP('Données projet'!$B$14,Paramètres!$A$1:$I$89,3,0)*0.475*44/12</f>
        <v>9.3564705432757883E-2</v>
      </c>
      <c r="EC203" s="21">
        <f>EXP(-LN(2)/2)*EC202+(1-EXP(-LN(2)/2))/(LN(2)/2)*DW203*DZ203*VLOOKUP('Données projet'!$B$14,Paramètres!$A$1:$I$89,3,0)*0.475*44/12</f>
        <v>1.548090102094082E-25</v>
      </c>
      <c r="ED203" s="22">
        <f t="shared" si="178"/>
        <v>0.15689609134974064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108.5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228.3393311631487</v>
      </c>
      <c r="EP203" s="59">
        <f t="shared" si="210"/>
        <v>266.26050497804033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0.21434049273188402</v>
      </c>
      <c r="EW203" s="21">
        <f>EXP(-LN(2)/25)*EW202+(1-EXP(-LN(2)/25))/(LN(2)/25)*Calculateur!ER203*Calculateur!ET203*VLOOKUP('Données projet'!$B$15,Paramètres!$A$1:$I$89,3,0)*0.475*44/12</f>
        <v>0.11065987623815457</v>
      </c>
      <c r="EX203" s="21">
        <f>EXP(-LN(2)/2)*EX202+(1-EXP(-LN(2)/2))/(LN(2)/2)*ER203*EU203*VLOOKUP('Données projet'!$B$15,Paramètres!$A$1:$I$89,3,0)*0.475*44/12</f>
        <v>1.4076784855506326E-25</v>
      </c>
      <c r="EY203" s="22">
        <f t="shared" si="181"/>
        <v>0.32500036897003859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108.5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-1.7053025658242404E-13</v>
      </c>
      <c r="FF203" s="17">
        <f>FE203*VLOOKUP('Données projet'!$B$16,Paramètres!$A$1:$I$89,3,0)*VLOOKUP('Données projet'!$B$16,Paramètres!$A$1:$I$89,5,0)</f>
        <v>-9.7543306765146564E-14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242.10913976205194</v>
      </c>
      <c r="FK203" s="59">
        <f t="shared" si="211"/>
        <v>198.24795425321133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9.7257032136650323E-2</v>
      </c>
      <c r="FS203" s="21">
        <f>EXP(-LN(2)/2)*FS202+(1-EXP(-LN(2)/2))/(LN(2)/2)*FM203*FP203*VLOOKUP('Données projet'!$B$16,Paramètres!$A$1:$I$89,3,0)*0.475*44/12</f>
        <v>3.4179833293998582E-25</v>
      </c>
      <c r="FT203" s="22">
        <f t="shared" si="184"/>
        <v>9.7257032136650323E-2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108.5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108.5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1.2557008269631629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1.2880503926580862</v>
      </c>
      <c r="BA205" s="82">
        <f>EXP(LN('Données projet'!B88)/'Données projet'!A88)</f>
        <v>1.2054868146447177</v>
      </c>
      <c r="BV205" s="82">
        <f>EXP(LN('Données projet'!B114)/'Données projet'!A114)</f>
        <v>1.4309690811052556</v>
      </c>
      <c r="CQ205" s="82">
        <f>EXP(LN('Données projet'!B140)/'Données projet'!A140)</f>
        <v>1.2855594921550282</v>
      </c>
      <c r="DL205" s="82">
        <f>EXP(LN('Données projet'!B166)/'Données projet'!A166)</f>
        <v>2.1867241478865558</v>
      </c>
      <c r="EG205" s="82">
        <f>EXP(LN('Données projet'!B192)/'Données projet'!A192)</f>
        <v>1.3480061545972777</v>
      </c>
      <c r="FB205" s="82">
        <f>EXP(LN('Données projet'!B218)/'Données projet'!A218)</f>
        <v>1.207726848136812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N13" sqref="N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Bouleau verruqueux</v>
      </c>
      <c r="B6" s="146">
        <f>'Données projet'!D9</f>
        <v>0.21179999999999999</v>
      </c>
      <c r="C6" s="147">
        <f ca="1">IF(OR('Données projet'!B9="",'Données projet'!C9="",'Données projet'!C9=0%),0,Calculateur!S3)</f>
        <v>273.89826011924487</v>
      </c>
      <c r="D6" s="147">
        <f>IF(OR('Données projet'!B9="",'Données projet'!C9="",'Données projet'!C9=0%),0,Calculateur!T3)</f>
        <v>332.17519939974227</v>
      </c>
      <c r="E6" s="147">
        <f ca="1">MIN(C6,D6)</f>
        <v>273.89826011924487</v>
      </c>
      <c r="F6" s="147">
        <f ca="1">E6*B6</f>
        <v>58.011651493256061</v>
      </c>
      <c r="G6" s="147">
        <f ca="1">F6*(100%-'Données projet'!$C$24)*(100%-'Données projet'!$C$25)*(100%-'Données projet'!$C$26)*(100%-'Données projet'!$C$27)</f>
        <v>52.210486343930455</v>
      </c>
      <c r="H6" s="148">
        <f>IF(OR('Données projet'!B9="",'Données projet'!C9="",'Données projet'!C9=0%),0,AVERAGE(Calculateur!$AC$3:$AC$33)*B6)</f>
        <v>0.56881930784796553</v>
      </c>
      <c r="I6" s="149">
        <f>H6*(100%-'Données projet'!$C$24)*(100%-'Données projet'!$C$25)*(100%-'Données projet'!$C$26)*(100%-'Données projet'!$C$27)</f>
        <v>0.511937377063169</v>
      </c>
      <c r="J6" s="150">
        <f>IF(OR('Données projet'!B9="",'Données projet'!C9="",'Données projet'!C9=0%),0,SUM(Calculateur!$V$3:$V$33)*VLOOKUP('Données projet'!$B$9,Paramètres!$A$1:$I$89,9,0)*B6)</f>
        <v>5.2420499999999999</v>
      </c>
      <c r="K6" s="151">
        <f>J6*(100%-'Données projet'!$C$24)*(100%-'Données projet'!$C$25)*(100%-'Données projet'!$C$26)*(100%-'Données projet'!$C$27)</f>
        <v>4.7178449999999996</v>
      </c>
      <c r="L6" s="152">
        <f ca="1">G6+I6+K6</f>
        <v>57.440268720993622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Cèdre de l'Atlas</v>
      </c>
      <c r="B7" s="154">
        <f>'Données projet'!D10</f>
        <v>1.2707999999999999</v>
      </c>
      <c r="C7" s="147">
        <f ca="1">IF(OR('Données projet'!B10="",'Données projet'!C10="",'Données projet'!C10=0%),0,Calculateur!AN3)</f>
        <v>293.42903587188346</v>
      </c>
      <c r="D7" s="147">
        <f>IF(OR('Données projet'!B10="",'Données projet'!C10="",'Données projet'!C10=0%),0,Calculateur!AO3)</f>
        <v>267.80827667062124</v>
      </c>
      <c r="E7" s="147">
        <f t="shared" ref="E7:E15" ca="1" si="0">MIN(C7,D7)</f>
        <v>267.80827667062124</v>
      </c>
      <c r="F7" s="147">
        <f t="shared" ref="F7:F15" ca="1" si="1">E7*B7</f>
        <v>340.33075799302543</v>
      </c>
      <c r="G7" s="147">
        <f ca="1">F7*(100%-'Données projet'!$C$24)*(100%-'Données projet'!$C$25)*(100%-'Données projet'!$C$26)*(100%-'Données projet'!$C$27)</f>
        <v>306.29768219372289</v>
      </c>
      <c r="H7" s="155">
        <f>IF(OR('Données projet'!B10="",'Données projet'!C10="",'Données projet'!C10=0%),0,AVERAGE(Calculateur!$AX$3:$AX$33)*B7)</f>
        <v>2.0742423386967244</v>
      </c>
      <c r="I7" s="149">
        <f>H7*(100%-'Données projet'!$C$24)*(100%-'Données projet'!$C$25)*(100%-'Données projet'!$C$26)*(100%-'Données projet'!$C$27)</f>
        <v>1.866818104827052</v>
      </c>
      <c r="J7" s="150">
        <f>IF(OR('Données projet'!B10="",'Données projet'!C10="",'Données projet'!C10=0%),0,SUM(Calculateur!$AQ$3:$AQ$33)*VLOOKUP('Données projet'!$B$10,Paramètres!$A$1:$I$89,9,0)*B7)</f>
        <v>31.912329599999996</v>
      </c>
      <c r="K7" s="151">
        <f>J7*(100%-'Données projet'!$C$24)*(100%-'Données projet'!$C$25)*(100%-'Données projet'!$C$26)*(100%-'Données projet'!$C$27)</f>
        <v>28.721096639999995</v>
      </c>
      <c r="L7" s="152">
        <f t="shared" ref="L7:L15" ca="1" si="2">G7+I7+K7</f>
        <v>336.88559693854995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sessile</v>
      </c>
      <c r="B8" s="154">
        <f>'Données projet'!D11</f>
        <v>2.4709999999999996</v>
      </c>
      <c r="C8" s="147">
        <f ca="1">IF(OR('Données projet'!B11="",'Données projet'!C11="",'Données projet'!C11=0%),0,Calculateur!BI3)</f>
        <v>324.41828402031939</v>
      </c>
      <c r="D8" s="147">
        <f>IF(OR('Données projet'!B11="",'Données projet'!C11="",'Données projet'!C11=0%),0,Calculateur!BJ3)</f>
        <v>233.01060088065992</v>
      </c>
      <c r="E8" s="147">
        <f t="shared" ca="1" si="0"/>
        <v>233.01060088065992</v>
      </c>
      <c r="F8" s="147">
        <f t="shared" ca="1" si="1"/>
        <v>575.76919477611057</v>
      </c>
      <c r="G8" s="147">
        <f ca="1">F8*(100%-'Données projet'!$C$24)*(100%-'Données projet'!$C$25)*(100%-'Données projet'!$C$26)*(100%-'Données projet'!$C$27)</f>
        <v>518.19227529849957</v>
      </c>
      <c r="H8" s="155">
        <f>IF(OR('Données projet'!B11="",'Données projet'!C11="",'Données projet'!C11=0%),0,AVERAGE(Calculateur!$BS$3:$BS$33)*B8)</f>
        <v>0.74092425072629675</v>
      </c>
      <c r="I8" s="149">
        <f>H8*(100%-'Données projet'!$C$24)*(100%-'Données projet'!$C$25)*(100%-'Données projet'!$C$26)*(100%-'Données projet'!$C$27)</f>
        <v>0.66683182565366705</v>
      </c>
      <c r="J8" s="150">
        <f>IF(OR('Données projet'!B11="",'Données projet'!C11="",'Données projet'!C11=0%),0,SUM(Calculateur!$BL$3:$BL$33)*VLOOKUP('Données projet'!$B$11,Paramètres!$A$1:$I$89,9,0)*B8)</f>
        <v>17.914749999999998</v>
      </c>
      <c r="K8" s="151">
        <f>J8*(100%-'Données projet'!$C$24)*(100%-'Données projet'!$C$25)*(100%-'Données projet'!$C$26)*(100%-'Données projet'!$C$27)</f>
        <v>16.123275</v>
      </c>
      <c r="L8" s="152">
        <f t="shared" ca="1" si="2"/>
        <v>534.98238212415322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Mélèze hybride</v>
      </c>
      <c r="B9" s="154">
        <f>'Données projet'!D12</f>
        <v>1.2001999999999999</v>
      </c>
      <c r="C9" s="147">
        <f ca="1">IF(OR('Données projet'!B12="",'Données projet'!C12="",'Données projet'!C12=0%),0,Calculateur!CD3)</f>
        <v>279.00060755204919</v>
      </c>
      <c r="D9" s="147">
        <f>IF(OR('Données projet'!B12="",'Données projet'!C12="",'Données projet'!C12=0%),0,Calculateur!CE3)</f>
        <v>333.91128554211014</v>
      </c>
      <c r="E9" s="147">
        <f t="shared" ca="1" si="0"/>
        <v>279.00060755204919</v>
      </c>
      <c r="F9" s="147">
        <f t="shared" ca="1" si="1"/>
        <v>334.85652918396943</v>
      </c>
      <c r="G9" s="147">
        <f ca="1">F9*(100%-'Données projet'!$C$24)*(100%-'Données projet'!$C$25)*(100%-'Données projet'!$C$26)*(100%-'Données projet'!$C$27)</f>
        <v>301.37087626557252</v>
      </c>
      <c r="H9" s="155">
        <f>IF(OR('Données projet'!B12="",'Données projet'!C12="",'Données projet'!C12=0%),0,AVERAGE(Calculateur!$CN$3:$CN$33)*B9)</f>
        <v>11.41105759444438</v>
      </c>
      <c r="I9" s="149">
        <f>H9*(100%-'Données projet'!$C$24)*(100%-'Données projet'!$C$25)*(100%-'Données projet'!$C$26)*(100%-'Données projet'!$C$27)</f>
        <v>10.269951834999942</v>
      </c>
      <c r="J9" s="150">
        <f>IF(OR('Données projet'!B12="",'Données projet'!C12="",'Données projet'!C12=0%),0,SUM(Calculateur!$CG$3:$CG$33)*VLOOKUP('Données projet'!$B$12,Paramètres!$A$1:$I$89,9,0)*B9)</f>
        <v>85.15419</v>
      </c>
      <c r="K9" s="151">
        <f>J9*(100%-'Données projet'!$C$24)*(100%-'Données projet'!$C$25)*(100%-'Données projet'!$C$26)*(100%-'Données projet'!$C$27)</f>
        <v>76.638771000000006</v>
      </c>
      <c r="L9" s="152">
        <f t="shared" ca="1" si="2"/>
        <v>388.27959910057245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Pin laricio</v>
      </c>
      <c r="B10" s="154">
        <f>'Données projet'!D13</f>
        <v>0.91779999999999995</v>
      </c>
      <c r="C10" s="147">
        <f ca="1">IF(OR('Données projet'!B13="",'Données projet'!C13="",'Données projet'!C13=0%),0,Calculateur!CY3)</f>
        <v>380.01315081072897</v>
      </c>
      <c r="D10" s="147">
        <f>IF(OR('Données projet'!B13="",'Données projet'!C13="",'Données projet'!C13=0%),0,Calculateur!CZ3)</f>
        <v>404.90871625409181</v>
      </c>
      <c r="E10" s="147">
        <f t="shared" ca="1" si="0"/>
        <v>380.01315081072897</v>
      </c>
      <c r="F10" s="147">
        <f t="shared" ca="1" si="1"/>
        <v>348.77606981408701</v>
      </c>
      <c r="G10" s="147">
        <f ca="1">F10*(100%-'Données projet'!$C$24)*(100%-'Données projet'!$C$25)*(100%-'Données projet'!$C$26)*(100%-'Données projet'!$C$27)</f>
        <v>313.89846283267832</v>
      </c>
      <c r="H10" s="155">
        <f>IF(OR('Données projet'!B13="",'Données projet'!C13="",'Données projet'!C13=0%),0,AVERAGE(Calculateur!$DI$3:$DI$33)*B10)</f>
        <v>4.9824863681348557</v>
      </c>
      <c r="I10" s="149">
        <f>H10*(100%-'Données projet'!$C$24)*(100%-'Données projet'!$C$25)*(100%-'Données projet'!$C$26)*(100%-'Données projet'!$C$27)</f>
        <v>4.4842377313213699</v>
      </c>
      <c r="J10" s="150">
        <f>IF(OR('Données projet'!B13="",'Données projet'!C13="",'Données projet'!C13=0%),0,SUM(Calculateur!$DB$3:$DB$33)*VLOOKUP('Données projet'!$B$13,Paramètres!$A$1:$I$89,9,0)*B10)</f>
        <v>55.251559999999991</v>
      </c>
      <c r="K10" s="151">
        <f>J10*(100%-'Données projet'!$C$24)*(100%-'Données projet'!$C$25)*(100%-'Données projet'!$C$26)*(100%-'Données projet'!$C$27)</f>
        <v>49.726403999999995</v>
      </c>
      <c r="L10" s="152">
        <f t="shared" ca="1" si="2"/>
        <v>368.10910456399967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Robinier faux-acacia</v>
      </c>
      <c r="B11" s="154">
        <f>'Données projet'!D14</f>
        <v>0.42359999999999998</v>
      </c>
      <c r="C11" s="147">
        <f ca="1">IF(OR('Données projet'!B14="",'Données projet'!C14="",'Données projet'!C14=0%),0,Calculateur!DT3)</f>
        <v>320.81451813551064</v>
      </c>
      <c r="D11" s="147">
        <f>IF(OR('Données projet'!B14="",'Données projet'!C14="",'Données projet'!C14=0%),0,Calculateur!DU3)</f>
        <v>522.80818268773976</v>
      </c>
      <c r="E11" s="147">
        <f t="shared" ca="1" si="0"/>
        <v>320.81451813551064</v>
      </c>
      <c r="F11" s="147">
        <f t="shared" ca="1" si="1"/>
        <v>135.8970298822023</v>
      </c>
      <c r="G11" s="147">
        <f ca="1">F11*(100%-'Données projet'!$C$24)*(100%-'Données projet'!$C$25)*(100%-'Données projet'!$C$26)*(100%-'Données projet'!$C$27)</f>
        <v>122.30732689398208</v>
      </c>
      <c r="H11" s="155">
        <f>IF(OR('Données projet'!B14="",'Données projet'!C14="",'Données projet'!C14=0%),0,AVERAGE(Calculateur!$ED$3:$ED$33)*B11)</f>
        <v>4.0857667788812284</v>
      </c>
      <c r="I11" s="149">
        <f>H11*(100%-'Données projet'!$C$24)*(100%-'Données projet'!$C$25)*(100%-'Données projet'!$C$26)*(100%-'Données projet'!$C$27)</f>
        <v>3.6771901009931058</v>
      </c>
      <c r="J11" s="150">
        <f>IF(OR('Données projet'!B14="",'Données projet'!C14="",'Données projet'!C14=0%),0,SUM(Calculateur!$DW$3:$DW$33)*VLOOKUP('Données projet'!$B$14,Paramètres!$A$1:$I$89,9,0)*B11)</f>
        <v>16.308599999999998</v>
      </c>
      <c r="K11" s="151">
        <f>J11*(100%-'Données projet'!$C$24)*(100%-'Données projet'!$C$25)*(100%-'Données projet'!$C$26)*(100%-'Données projet'!$C$27)</f>
        <v>14.677739999999998</v>
      </c>
      <c r="L11" s="152">
        <f t="shared" ca="1" si="2"/>
        <v>140.66225699497517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Pin maritime</v>
      </c>
      <c r="B12" s="154">
        <f>'Données projet'!D15</f>
        <v>0.35299999999999998</v>
      </c>
      <c r="C12" s="147">
        <f ca="1">IF(OR('Données projet'!B15="",'Données projet'!C15="",'Données projet'!C15=0%),0,Calculateur!EO3)</f>
        <v>228.3393311631487</v>
      </c>
      <c r="D12" s="147">
        <f>IF(OR('Données projet'!B15="",'Données projet'!C15="",'Données projet'!C15=0%),0,Calculateur!EP3)</f>
        <v>266.26050497804033</v>
      </c>
      <c r="E12" s="147">
        <f t="shared" ca="1" si="0"/>
        <v>228.3393311631487</v>
      </c>
      <c r="F12" s="147">
        <f t="shared" ca="1" si="1"/>
        <v>80.60378390059148</v>
      </c>
      <c r="G12" s="147">
        <f ca="1">F12*(100%-'Données projet'!$C$24)*(100%-'Données projet'!$C$25)*(100%-'Données projet'!$C$26)*(100%-'Données projet'!$C$27)</f>
        <v>72.543405510532338</v>
      </c>
      <c r="H12" s="155">
        <f>IF(OR('Données projet'!B15="",'Données projet'!C15="",'Données projet'!C15=0%),0,AVERAGE(Calculateur!$EY$3:$EY$33)*B12)</f>
        <v>2.5702246020959811</v>
      </c>
      <c r="I12" s="149">
        <f>H12*(100%-'Données projet'!$C$24)*(100%-'Données projet'!$C$25)*(100%-'Données projet'!$C$26)*(100%-'Données projet'!$C$27)</f>
        <v>2.3132021418863831</v>
      </c>
      <c r="J12" s="150">
        <f>IF(OR('Données projet'!B15="",'Données projet'!C15="",'Données projet'!C15=0%),0,SUM(Calculateur!$ER$3:$ER$33)*VLOOKUP('Données projet'!$B$15,Paramètres!$A$1:$I$89,9,0)*B12)</f>
        <v>21.451809999999998</v>
      </c>
      <c r="K12" s="151">
        <f>J12*(100%-'Données projet'!$C$24)*(100%-'Données projet'!$C$25)*(100%-'Données projet'!$C$26)*(100%-'Données projet'!$C$27)</f>
        <v>19.306628999999997</v>
      </c>
      <c r="L12" s="152">
        <f t="shared" ca="1" si="2"/>
        <v>94.163236652418718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Pin sylvestre</v>
      </c>
      <c r="B13" s="154">
        <f>'Données projet'!D16</f>
        <v>0.21179999999999999</v>
      </c>
      <c r="C13" s="147">
        <f ca="1">IF(OR('Données projet'!B16="",'Données projet'!C16="",'Données projet'!C16=0%),0,Calculateur!FJ3)</f>
        <v>242.10913976205194</v>
      </c>
      <c r="D13" s="147">
        <f>IF(OR('Données projet'!B16="",'Données projet'!C16="",'Données projet'!C16=0%),0,Calculateur!FK3)</f>
        <v>198.24795425321133</v>
      </c>
      <c r="E13" s="147">
        <f t="shared" ca="1" si="0"/>
        <v>198.24795425321133</v>
      </c>
      <c r="F13" s="147">
        <f t="shared" ca="1" si="1"/>
        <v>41.988916710830161</v>
      </c>
      <c r="G13" s="147">
        <f ca="1">F13*(100%-'Données projet'!$C$24)*(100%-'Données projet'!$C$25)*(100%-'Données projet'!$C$26)*(100%-'Données projet'!$C$27)</f>
        <v>37.790025039747142</v>
      </c>
      <c r="H13" s="155">
        <f>IF(OR('Données projet'!B16="",'Données projet'!C16="",'Données projet'!C16=0%),0,AVERAGE(Calculateur!$FT$3:$FT$33)*B13)</f>
        <v>0.55109665940797381</v>
      </c>
      <c r="I13" s="149">
        <f>H13*(100%-'Données projet'!$C$24)*(100%-'Données projet'!$C$25)*(100%-'Données projet'!$C$26)*(100%-'Données projet'!$C$27)</f>
        <v>0.49598699346717645</v>
      </c>
      <c r="J13" s="150">
        <f>IF(OR('Données projet'!C16="",'Données projet'!C16=0%),0,SUM(Calculateur!$FM$3:$FM$33)*VLOOKUP('Données projet'!$B$16,Paramètres!$A$1:$I$89,9,0)*B13)</f>
        <v>6.1930319999999996</v>
      </c>
      <c r="K13" s="151">
        <f>J13*(100%-'Données projet'!$C$24)*(100%-'Données projet'!$C$25)*(100%-'Données projet'!$C$26)*(100%-'Données projet'!$C$27)</f>
        <v>5.5737287999999996</v>
      </c>
      <c r="L13" s="152">
        <f t="shared" ca="1" si="2"/>
        <v>43.859740833214317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1916.2339337540725</v>
      </c>
      <c r="G16" s="166">
        <f t="shared" ca="1" si="3"/>
        <v>1724.6105403786651</v>
      </c>
      <c r="H16" s="167">
        <f t="shared" si="3"/>
        <v>26.984617900235406</v>
      </c>
      <c r="I16" s="167">
        <f t="shared" si="3"/>
        <v>24.286156110211863</v>
      </c>
      <c r="J16" s="168">
        <f t="shared" si="3"/>
        <v>239.42832159999995</v>
      </c>
      <c r="K16" s="168">
        <f t="shared" si="3"/>
        <v>215.48548943999998</v>
      </c>
      <c r="L16" s="169">
        <f t="shared" ca="1" si="3"/>
        <v>1964.3821859288771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Bouleau verruqueux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Mélèze hybride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Pin laricio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Robinier faux-acacia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Pin maritime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Pin sylvestre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1" zoomScale="80" zoomScaleNormal="80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Bouleau verruqueux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-1766.522336103315</v>
      </c>
      <c r="U10" s="178">
        <f>'Données projet'!D9</f>
        <v>0.21179999999999999</v>
      </c>
      <c r="V10" s="177">
        <f>U10*T10</f>
        <v>-374.1494307866821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-3126.1532505594259</v>
      </c>
      <c r="U11" s="178">
        <f>'Données projet'!D10</f>
        <v>1.2707999999999999</v>
      </c>
      <c r="V11" s="177">
        <f t="shared" ref="V11" si="0">U11*T11</f>
        <v>-3972.7155508109181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-5336.2631989261217</v>
      </c>
      <c r="U12" s="178">
        <f>'Données projet'!D11</f>
        <v>2.4709999999999996</v>
      </c>
      <c r="V12" s="177">
        <f t="shared" ref="V12:V19" si="1">U12*T12</f>
        <v>-13185.906364546445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Mélèze hybride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-1439.0503551479924</v>
      </c>
      <c r="U13" s="178">
        <f>'Données projet'!D12</f>
        <v>1.2001999999999999</v>
      </c>
      <c r="V13" s="177">
        <f t="shared" si="1"/>
        <v>-1727.1482362486204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Bouleau verruqueux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laricio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-229.24780275343164</v>
      </c>
      <c r="U14" s="178">
        <f>'Données projet'!D13</f>
        <v>0.91779999999999995</v>
      </c>
      <c r="V14" s="177">
        <f t="shared" si="1"/>
        <v>-210.40363336709956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Robinier faux-acacia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2314.5344438235252</v>
      </c>
      <c r="U15" s="178">
        <f>'Données projet'!D14</f>
        <v>0.42359999999999998</v>
      </c>
      <c r="V15" s="177">
        <f t="shared" si="1"/>
        <v>980.4367904036452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>Pin maritime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-1065.4532890977302</v>
      </c>
      <c r="U16" s="178">
        <f>'Données projet'!D15</f>
        <v>0.35299999999999998</v>
      </c>
      <c r="V16" s="177">
        <f t="shared" si="1"/>
        <v>-376.10501105149876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3440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43.999999999999993</v>
      </c>
      <c r="O17" s="23"/>
      <c r="P17" s="23"/>
      <c r="Q17" s="234"/>
      <c r="R17" s="23"/>
      <c r="S17" s="36" t="str">
        <f>B231</f>
        <v>Pin sylvestre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-1535.2911782353481</v>
      </c>
      <c r="U17" s="178">
        <f>'Données projet'!D16</f>
        <v>0.21179999999999999</v>
      </c>
      <c r="V17" s="177">
        <f t="shared" si="1"/>
        <v>-325.17467155024673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1759.9999999999998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1500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350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350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43</v>
      </c>
      <c r="C23" s="193">
        <v>10</v>
      </c>
      <c r="D23" s="182">
        <f>B23*C23</f>
        <v>430</v>
      </c>
      <c r="E23" s="193"/>
      <c r="F23" s="230"/>
      <c r="H23" s="190">
        <v>5</v>
      </c>
      <c r="I23" s="191">
        <v>350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-36293.944853916139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56</v>
      </c>
      <c r="C24" s="193">
        <v>20</v>
      </c>
      <c r="D24" s="182">
        <f t="shared" ref="D24:D42" si="2">B24*C24</f>
        <v>1120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202.01183917072635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56</v>
      </c>
      <c r="C25" s="193">
        <v>30</v>
      </c>
      <c r="D25" s="182">
        <f t="shared" si="2"/>
        <v>1680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-36495.956693086868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39</v>
      </c>
      <c r="C26" s="193">
        <v>40</v>
      </c>
      <c r="D26" s="182">
        <f t="shared" si="2"/>
        <v>1560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25</v>
      </c>
      <c r="C27" s="193">
        <v>50</v>
      </c>
      <c r="D27" s="182">
        <f t="shared" si="2"/>
        <v>1250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21</v>
      </c>
      <c r="C28" s="193">
        <v>60</v>
      </c>
      <c r="D28" s="182">
        <f t="shared" si="2"/>
        <v>1260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284</v>
      </c>
      <c r="C29" s="193">
        <v>70</v>
      </c>
      <c r="D29" s="182">
        <f t="shared" si="2"/>
        <v>19880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4720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12.5</v>
      </c>
      <c r="C54" s="191">
        <v>8</v>
      </c>
      <c r="D54" s="179">
        <f>B54*C54</f>
        <v>100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45.9</v>
      </c>
      <c r="C55" s="191">
        <v>8</v>
      </c>
      <c r="D55" s="179">
        <f t="shared" ref="D55:D73" si="4">B55*C55</f>
        <v>367.2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83.4</v>
      </c>
      <c r="C56" s="191">
        <v>15</v>
      </c>
      <c r="D56" s="179">
        <f t="shared" si="4"/>
        <v>1251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83.4</v>
      </c>
      <c r="C57" s="191">
        <v>25</v>
      </c>
      <c r="D57" s="179">
        <f t="shared" si="4"/>
        <v>2085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83.4</v>
      </c>
      <c r="C58" s="191">
        <v>30</v>
      </c>
      <c r="D58" s="179">
        <f t="shared" si="4"/>
        <v>2502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83.4</v>
      </c>
      <c r="C59" s="191">
        <v>50</v>
      </c>
      <c r="D59" s="179">
        <f t="shared" si="4"/>
        <v>4170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83.4</v>
      </c>
      <c r="C60" s="191">
        <v>50</v>
      </c>
      <c r="D60" s="179">
        <f t="shared" si="4"/>
        <v>4170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83.4</v>
      </c>
      <c r="C61" s="191">
        <v>50</v>
      </c>
      <c r="D61" s="179">
        <f t="shared" si="4"/>
        <v>4170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726.2</v>
      </c>
      <c r="C62" s="191">
        <v>60</v>
      </c>
      <c r="D62" s="179">
        <f t="shared" si="4"/>
        <v>43572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>
        <v>61</v>
      </c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6160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>
        <v>8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29</v>
      </c>
      <c r="C86" s="191">
        <v>12</v>
      </c>
      <c r="D86" s="179">
        <f t="shared" ref="D86:D104" si="6">B86*C86</f>
        <v>348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42</v>
      </c>
      <c r="C87" s="191">
        <v>15</v>
      </c>
      <c r="D87" s="179">
        <f t="shared" si="6"/>
        <v>630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42</v>
      </c>
      <c r="C88" s="191">
        <v>20</v>
      </c>
      <c r="D88" s="179">
        <f t="shared" si="6"/>
        <v>840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42</v>
      </c>
      <c r="C89" s="191">
        <v>25</v>
      </c>
      <c r="D89" s="179">
        <f t="shared" si="6"/>
        <v>1050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42</v>
      </c>
      <c r="C90" s="191">
        <v>30</v>
      </c>
      <c r="D90" s="179">
        <f t="shared" si="6"/>
        <v>1260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42</v>
      </c>
      <c r="C91" s="191">
        <v>35</v>
      </c>
      <c r="D91" s="179">
        <f t="shared" si="6"/>
        <v>1470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42</v>
      </c>
      <c r="C92" s="191">
        <v>40</v>
      </c>
      <c r="D92" s="179">
        <f t="shared" si="6"/>
        <v>1680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42</v>
      </c>
      <c r="C93" s="191">
        <v>50</v>
      </c>
      <c r="D93" s="179">
        <f t="shared" si="6"/>
        <v>2100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110</v>
      </c>
      <c r="B94" s="181">
        <f>'Données projet'!D97</f>
        <v>39</v>
      </c>
      <c r="C94" s="191">
        <v>60</v>
      </c>
      <c r="D94" s="179">
        <f t="shared" si="6"/>
        <v>2340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120</v>
      </c>
      <c r="B95" s="181">
        <f>'Données projet'!D98</f>
        <v>303</v>
      </c>
      <c r="C95" s="191">
        <v>180</v>
      </c>
      <c r="D95" s="179">
        <f t="shared" si="6"/>
        <v>54540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Mélèze hybride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3840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>
        <v>8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81</v>
      </c>
      <c r="C117" s="191">
        <v>8</v>
      </c>
      <c r="D117" s="179">
        <f t="shared" ref="D117:D135" si="8">B117*C117</f>
        <v>648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84</v>
      </c>
      <c r="C118" s="191">
        <v>25</v>
      </c>
      <c r="D118" s="179">
        <f t="shared" si="8"/>
        <v>2100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80</v>
      </c>
      <c r="C119" s="191">
        <v>30</v>
      </c>
      <c r="D119" s="179">
        <f t="shared" si="8"/>
        <v>2400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65</v>
      </c>
      <c r="C120" s="191">
        <v>35</v>
      </c>
      <c r="D120" s="179">
        <f t="shared" si="8"/>
        <v>2275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56</v>
      </c>
      <c r="C121" s="191">
        <v>40</v>
      </c>
      <c r="D121" s="179">
        <f t="shared" si="8"/>
        <v>2240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52</v>
      </c>
      <c r="C122" s="191">
        <v>45</v>
      </c>
      <c r="D122" s="179">
        <f t="shared" si="8"/>
        <v>2340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433</v>
      </c>
      <c r="C123" s="191">
        <v>50</v>
      </c>
      <c r="D123" s="179">
        <f t="shared" si="8"/>
        <v>21650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Pin laricio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2960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42</v>
      </c>
      <c r="C147" s="191">
        <v>10</v>
      </c>
      <c r="D147" s="182">
        <f>B147*C147</f>
        <v>420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98</v>
      </c>
      <c r="C148" s="191">
        <v>15</v>
      </c>
      <c r="D148" s="182">
        <f t="shared" ref="D148:D166" si="10">B148*C148</f>
        <v>1470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98</v>
      </c>
      <c r="C149" s="191">
        <v>25</v>
      </c>
      <c r="D149" s="182">
        <f t="shared" si="10"/>
        <v>2450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94</v>
      </c>
      <c r="C150" s="191">
        <v>35</v>
      </c>
      <c r="D150" s="182">
        <f t="shared" si="10"/>
        <v>3290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71</v>
      </c>
      <c r="C151" s="191">
        <v>40</v>
      </c>
      <c r="D151" s="182">
        <f t="shared" si="10"/>
        <v>2840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55</v>
      </c>
      <c r="C152" s="191">
        <v>50</v>
      </c>
      <c r="D152" s="182">
        <f t="shared" si="10"/>
        <v>2750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592</v>
      </c>
      <c r="C153" s="191">
        <v>60</v>
      </c>
      <c r="D153" s="182">
        <f t="shared" si="10"/>
        <v>35520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Robinier faux-acacia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3360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5</v>
      </c>
      <c r="B178" s="181">
        <f>'Données projet'!D166</f>
        <v>16</v>
      </c>
      <c r="C178" s="193">
        <v>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10</v>
      </c>
      <c r="B179" s="181">
        <f>'Données projet'!D167</f>
        <v>50</v>
      </c>
      <c r="C179" s="193">
        <v>6</v>
      </c>
      <c r="D179" s="179">
        <f t="shared" ref="D179:D197" si="11">B179*C179</f>
        <v>300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15</v>
      </c>
      <c r="B180" s="181">
        <f>'Données projet'!D168</f>
        <v>34</v>
      </c>
      <c r="C180" s="193">
        <v>10</v>
      </c>
      <c r="D180" s="179">
        <f t="shared" si="11"/>
        <v>340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20</v>
      </c>
      <c r="B181" s="181">
        <f>'Données projet'!D169</f>
        <v>23</v>
      </c>
      <c r="C181" s="193">
        <v>25</v>
      </c>
      <c r="D181" s="179">
        <f t="shared" si="11"/>
        <v>575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25</v>
      </c>
      <c r="B182" s="181">
        <f>'Données projet'!D170</f>
        <v>18</v>
      </c>
      <c r="C182" s="193">
        <v>30</v>
      </c>
      <c r="D182" s="179">
        <f t="shared" si="11"/>
        <v>540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30</v>
      </c>
      <c r="B183" s="181">
        <f>'Données projet'!D171</f>
        <v>13</v>
      </c>
      <c r="C183" s="193">
        <v>60</v>
      </c>
      <c r="D183" s="179">
        <f t="shared" si="11"/>
        <v>780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35</v>
      </c>
      <c r="B184" s="181">
        <f>'Données projet'!D172</f>
        <v>273</v>
      </c>
      <c r="C184" s="193">
        <v>80</v>
      </c>
      <c r="D184" s="179">
        <f t="shared" si="11"/>
        <v>21840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Pin maritime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2800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12</v>
      </c>
      <c r="B209" s="181">
        <f>'Données projet'!D192</f>
        <v>0</v>
      </c>
      <c r="C209" s="193">
        <v>0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16</v>
      </c>
      <c r="B210" s="181">
        <f>'Données projet'!D193</f>
        <v>15</v>
      </c>
      <c r="C210" s="193">
        <v>8</v>
      </c>
      <c r="D210" s="179">
        <f t="shared" ref="D210:D228" si="12">B210*C210</f>
        <v>120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20</v>
      </c>
      <c r="B211" s="181">
        <f>'Données projet'!D194</f>
        <v>22</v>
      </c>
      <c r="C211" s="193">
        <v>8</v>
      </c>
      <c r="D211" s="179">
        <f t="shared" si="12"/>
        <v>176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24</v>
      </c>
      <c r="B212" s="181">
        <f>'Données projet'!D195</f>
        <v>31</v>
      </c>
      <c r="C212" s="193">
        <v>15</v>
      </c>
      <c r="D212" s="179">
        <f t="shared" si="12"/>
        <v>465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28</v>
      </c>
      <c r="B213" s="181">
        <f>'Données projet'!D196</f>
        <v>35</v>
      </c>
      <c r="C213" s="193">
        <v>15</v>
      </c>
      <c r="D213" s="179">
        <f t="shared" si="12"/>
        <v>525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34</v>
      </c>
      <c r="B214" s="181">
        <f>'Données projet'!D197</f>
        <v>46</v>
      </c>
      <c r="C214" s="193">
        <v>15</v>
      </c>
      <c r="D214" s="179">
        <f t="shared" si="12"/>
        <v>690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40</v>
      </c>
      <c r="B215" s="181">
        <f>'Données projet'!D198</f>
        <v>41</v>
      </c>
      <c r="C215" s="193">
        <v>20</v>
      </c>
      <c r="D215" s="179">
        <f t="shared" si="12"/>
        <v>820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46</v>
      </c>
      <c r="B216" s="181">
        <f>'Données projet'!D199</f>
        <v>29</v>
      </c>
      <c r="C216" s="193">
        <v>30</v>
      </c>
      <c r="D216" s="179">
        <f t="shared" si="12"/>
        <v>870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54</v>
      </c>
      <c r="B217" s="181">
        <f>'Données projet'!D200</f>
        <v>16</v>
      </c>
      <c r="C217" s="193">
        <v>35</v>
      </c>
      <c r="D217" s="179">
        <f t="shared" si="12"/>
        <v>560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62</v>
      </c>
      <c r="B218" s="181">
        <f>'Données projet'!D201</f>
        <v>316</v>
      </c>
      <c r="C218" s="193">
        <v>40</v>
      </c>
      <c r="D218" s="179">
        <f t="shared" si="12"/>
        <v>12640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Pin sylvestre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3280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25</v>
      </c>
      <c r="B240" s="181">
        <f>'Données projet'!D218</f>
        <v>33</v>
      </c>
      <c r="C240" s="193">
        <v>15</v>
      </c>
      <c r="D240" s="179">
        <f>B240*C240</f>
        <v>495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30</v>
      </c>
      <c r="B241" s="181">
        <f>'Données projet'!D219</f>
        <v>35</v>
      </c>
      <c r="C241" s="193">
        <v>20</v>
      </c>
      <c r="D241" s="179">
        <f t="shared" ref="D241:D259" si="13">B241*C241</f>
        <v>700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40</v>
      </c>
      <c r="B242" s="181">
        <f>'Données projet'!D220</f>
        <v>70</v>
      </c>
      <c r="C242" s="193">
        <v>27</v>
      </c>
      <c r="D242" s="179">
        <f t="shared" si="13"/>
        <v>1890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50</v>
      </c>
      <c r="B243" s="181">
        <f>'Données projet'!D221</f>
        <v>70</v>
      </c>
      <c r="C243" s="193">
        <v>32</v>
      </c>
      <c r="D243" s="179">
        <f t="shared" si="13"/>
        <v>2240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60</v>
      </c>
      <c r="B244" s="181">
        <f>'Données projet'!D222</f>
        <v>70</v>
      </c>
      <c r="C244" s="193">
        <v>35</v>
      </c>
      <c r="D244" s="179">
        <f t="shared" si="13"/>
        <v>2450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70</v>
      </c>
      <c r="B245" s="181">
        <f>'Données projet'!D223</f>
        <v>63</v>
      </c>
      <c r="C245" s="193">
        <v>38</v>
      </c>
      <c r="D245" s="179">
        <f t="shared" si="13"/>
        <v>2394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80</v>
      </c>
      <c r="B246" s="181">
        <f>'Données projet'!D224</f>
        <v>453</v>
      </c>
      <c r="C246" s="193">
        <v>40</v>
      </c>
      <c r="D246" s="179">
        <f t="shared" si="13"/>
        <v>18120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Cécile De Coincy</cp:lastModifiedBy>
  <dcterms:created xsi:type="dcterms:W3CDTF">2021-02-01T08:22:39Z</dcterms:created>
  <dcterms:modified xsi:type="dcterms:W3CDTF">2023-02-08T09:52:15Z</dcterms:modified>
</cp:coreProperties>
</file>