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LIMOUSIN\_TIERS\_PROPRIETAIRES_\GF DES BALIX--AD14403\23 CLAIRAVAUX--AD14403P2\LBC Boisement--2022-SMIN-113\LBC Montage dossier\Documents techniques\"/>
    </mc:Choice>
  </mc:AlternateContent>
  <xr:revisionPtr revIDLastSave="0" documentId="13_ncr:1_{892C1EAA-06A7-43C9-86D4-1C5F375483BA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<sst xmlns="http://schemas.openxmlformats.org/spreadsheetml/2006/main" count="1175" uniqueCount="325">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</sst>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1.798593949207703</c:v>
                </c:pt>
                <c:pt idx="2">
                  <c:v>2.2256540279235608</c:v>
                </c:pt>
                <c:pt idx="3">
                  <c:v>2.7545128358231423</c:v>
                </c:pt>
                <c:pt idx="4">
                  <c:v>3.4095257388585782</c:v>
                </c:pt>
                <c:pt idx="5">
                  <c:v>4.2208952223887648</c:v>
                </c:pt>
                <c:pt idx="6">
                  <c:v>5.2260791338936876</c:v>
                </c:pt>
                <c:pt idx="7">
                  <c:v>6.4715390940870243</c:v>
                </c:pt>
                <c:pt idx="8">
                  <c:v>8.0149114684794363</c:v>
                </c:pt>
                <c:pt idx="9">
                  <c:v>9.927703296904788</c:v>
                </c:pt>
                <c:pt idx="10">
                  <c:v>12.298640452364912</c:v>
                </c:pt>
                <c:pt idx="11">
                  <c:v>15.237826229911176</c:v>
                </c:pt>
                <c:pt idx="12">
                  <c:v>18.88190702830537</c:v>
                </c:pt>
                <c:pt idx="13">
                  <c:v>23.400489619998314</c:v>
                </c:pt>
                <c:pt idx="14">
                  <c:v>29.004113995961465</c:v>
                </c:pt>
                <c:pt idx="15">
                  <c:v>35.954159767859231</c:v>
                </c:pt>
                <c:pt idx="16">
                  <c:v>44.575156154015268</c:v>
                </c:pt>
                <c:pt idx="17">
                  <c:v>55.270080077532498</c:v>
                </c:pt>
                <c:pt idx="18">
                  <c:v>68.539369353982067</c:v>
                </c:pt>
                <c:pt idx="19">
                  <c:v>85.004555175285915</c:v>
                </c:pt>
                <c:pt idx="20">
                  <c:v>105.43763861202622</c:v>
                </c:pt>
                <c:pt idx="21">
                  <c:v>130.79761024819999</c:v>
                </c:pt>
                <c:pt idx="22">
                  <c:v>162.27585351475153</c:v>
                </c:pt>
                <c:pt idx="23">
                  <c:v>201.35259721650723</c:v>
                </c:pt>
                <c:pt idx="24">
                  <c:v>249.86711159083032</c:v>
                </c:pt>
                <c:pt idx="25">
                  <c:v>310.10500044645312</c:v>
                </c:pt>
                <c:pt idx="26">
                  <c:v>263.02087901561271</c:v>
                </c:pt>
                <c:pt idx="27">
                  <c:v>286.67021485790582</c:v>
                </c:pt>
                <c:pt idx="28">
                  <c:v>310.27590864650665</c:v>
                </c:pt>
                <c:pt idx="29">
                  <c:v>333.84174556627698</c:v>
                </c:pt>
                <c:pt idx="30">
                  <c:v>357.37093282892039</c:v>
                </c:pt>
                <c:pt idx="31">
                  <c:v>380.86622096643327</c:v>
                </c:pt>
                <c:pt idx="32">
                  <c:v>404.32999360363414</c:v>
                </c:pt>
                <c:pt idx="33">
                  <c:v>326.41748112711605</c:v>
                </c:pt>
                <c:pt idx="34">
                  <c:v>342.71196210314361</c:v>
                </c:pt>
                <c:pt idx="35">
                  <c:v>358.98941951205092</c:v>
                </c:pt>
                <c:pt idx="36">
                  <c:v>375.25073375414127</c:v>
                </c:pt>
                <c:pt idx="37">
                  <c:v>391.49670271051724</c:v>
                </c:pt>
                <c:pt idx="38">
                  <c:v>407.72805265215624</c:v>
                </c:pt>
                <c:pt idx="39">
                  <c:v>423.94544732107471</c:v>
                </c:pt>
                <c:pt idx="40">
                  <c:v>440.14949554946821</c:v>
                </c:pt>
                <c:pt idx="41">
                  <c:v>456.3407576984373</c:v>
                </c:pt>
                <c:pt idx="42">
                  <c:v>472.51975113540533</c:v>
                </c:pt>
                <c:pt idx="43">
                  <c:v>488.68695492240795</c:v>
                </c:pt>
                <c:pt idx="44">
                  <c:v>504.84281385180907</c:v>
                </c:pt>
                <c:pt idx="45">
                  <c:v>520.98774193866586</c:v>
                </c:pt>
                <c:pt idx="46">
                  <c:v>537.12212545780744</c:v>
                </c:pt>
                <c:pt idx="47">
                  <c:v>448.71292632384802</c:v>
                </c:pt>
                <c:pt idx="48">
                  <c:v>462.18691460745214</c:v>
                </c:pt>
                <c:pt idx="49">
                  <c:v>475.65252427587865</c:v>
                </c:pt>
                <c:pt idx="50">
                  <c:v>489.11002590378774</c:v>
                </c:pt>
                <c:pt idx="51">
                  <c:v>502.55967396496516</c:v>
                </c:pt>
                <c:pt idx="52">
                  <c:v>516.00170820470555</c:v>
                </c:pt>
                <c:pt idx="53">
                  <c:v>529.43635486178152</c:v>
                </c:pt>
                <c:pt idx="54">
                  <c:v>542.86382775995639</c:v>
                </c:pt>
                <c:pt idx="55">
                  <c:v>556.28432928591565</c:v>
                </c:pt>
                <c:pt idx="56">
                  <c:v>569.69805126794893</c:v>
                </c:pt>
                <c:pt idx="57">
                  <c:v>583.10517576760083</c:v>
                </c:pt>
                <c:pt idx="58">
                  <c:v>596.50587579475143</c:v>
                </c:pt>
                <c:pt idx="59">
                  <c:v>609.90031595512721</c:v>
                </c:pt>
                <c:pt idx="60">
                  <c:v>623.28865303799364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1.7215311416440164</c:v>
                </c:pt>
                <c:pt idx="2">
                  <c:v>1.994285863914679</c:v>
                </c:pt>
                <c:pt idx="3">
                  <c:v>2.3104146887052139</c:v>
                </c:pt>
                <c:pt idx="4">
                  <c:v>2.6768391168336305</c:v>
                </c:pt>
                <c:pt idx="5">
                  <c:v>3.1015887706791183</c:v>
                </c:pt>
                <c:pt idx="6">
                  <c:v>3.5939793429267972</c:v>
                </c:pt>
                <c:pt idx="7">
                  <c:v>4.1648192019386343</c:v>
                </c:pt>
                <c:pt idx="8">
                  <c:v>4.8266492805523376</c:v>
                </c:pt>
                <c:pt idx="9">
                  <c:v>5.594021623913398</c:v>
                </c:pt>
                <c:pt idx="10">
                  <c:v>6.4838228421982649</c:v>
                </c:pt>
                <c:pt idx="11">
                  <c:v>7.515649725525237</c:v>
                </c:pt>
                <c:pt idx="12">
                  <c:v>8.7122454539241598</c:v>
                </c:pt>
                <c:pt idx="13">
                  <c:v>10.100006201633169</c:v>
                </c:pt>
                <c:pt idx="14">
                  <c:v>11.709569523243969</c:v>
                </c:pt>
                <c:pt idx="15">
                  <c:v>13.576497755415547</c:v>
                </c:pt>
                <c:pt idx="16">
                  <c:v>15.742071813988943</c:v>
                </c:pt>
                <c:pt idx="17">
                  <c:v>18.254213261172577</c:v>
                </c:pt>
                <c:pt idx="18">
                  <c:v>21.168555417793865</c:v>
                </c:pt>
                <c:pt idx="19">
                  <c:v>24.549687667450598</c:v>
                </c:pt>
                <c:pt idx="20">
                  <c:v>28.472601019531467</c:v>
                </c:pt>
                <c:pt idx="21">
                  <c:v>33.024367555822643</c:v>
                </c:pt>
                <c:pt idx="22">
                  <c:v>38.306091684659577</c:v>
                </c:pt>
                <c:pt idx="23">
                  <c:v>44.435177288153852</c:v>
                </c:pt>
                <c:pt idx="24">
                  <c:v>51.547962012479651</c:v>
                </c:pt>
                <c:pt idx="25">
                  <c:v>59.802778282041977</c:v>
                </c:pt>
                <c:pt idx="26">
                  <c:v>69.383510305760453</c:v>
                </c:pt>
                <c:pt idx="27">
                  <c:v>80.503727608939599</c:v>
                </c:pt>
                <c:pt idx="28">
                  <c:v>93.411488724645153</c:v>
                </c:pt>
                <c:pt idx="29">
                  <c:v>108.39492391359521</c:v>
                </c:pt>
                <c:pt idx="30">
                  <c:v>125.78872349965967</c:v>
                </c:pt>
                <c:pt idx="31">
                  <c:v>98.583609411278431</c:v>
                </c:pt>
                <c:pt idx="32">
                  <c:v>109.00863948066892</c:v>
                </c:pt>
                <c:pt idx="33">
                  <c:v>119.40914356133429</c:v>
                </c:pt>
                <c:pt idx="34">
                  <c:v>129.78756206585908</c:v>
                </c:pt>
                <c:pt idx="35">
                  <c:v>140.14591229472146</c:v>
                </c:pt>
                <c:pt idx="36">
                  <c:v>150.4858883667271</c:v>
                </c:pt>
                <c:pt idx="37">
                  <c:v>160.80893214827483</c:v>
                </c:pt>
                <c:pt idx="38">
                  <c:v>171.1162849602724</c:v>
                </c:pt>
                <c:pt idx="39">
                  <c:v>181.40902614128959</c:v>
                </c:pt>
                <c:pt idx="40">
                  <c:v>191.68810238025526</c:v>
                </c:pt>
                <c:pt idx="41">
                  <c:v>158.32293067242841</c:v>
                </c:pt>
                <c:pt idx="42">
                  <c:v>172.10897671170002</c:v>
                </c:pt>
                <c:pt idx="43">
                  <c:v>185.86904735530945</c:v>
                </c:pt>
                <c:pt idx="44">
                  <c:v>199.6053374819264</c:v>
                </c:pt>
                <c:pt idx="45">
                  <c:v>213.31971486463684</c:v>
                </c:pt>
                <c:pt idx="46">
                  <c:v>227.01378727709903</c:v>
                </c:pt>
                <c:pt idx="47">
                  <c:v>240.6889525281625</c:v>
                </c:pt>
                <c:pt idx="48">
                  <c:v>254.34643651142051</c:v>
                </c:pt>
                <c:pt idx="49">
                  <c:v>267.98732264333535</c:v>
                </c:pt>
                <c:pt idx="50">
                  <c:v>281.61257498707738</c:v>
                </c:pt>
                <c:pt idx="51">
                  <c:v>225.53428186273894</c:v>
                </c:pt>
                <c:pt idx="52">
                  <c:v>238.3494447121202</c:v>
                </c:pt>
                <c:pt idx="53">
                  <c:v>251.14891265590609</c:v>
                </c:pt>
                <c:pt idx="54">
                  <c:v>263.93359856283195</c:v>
                </c:pt>
                <c:pt idx="55">
                  <c:v>276.7043195940293</c:v>
                </c:pt>
                <c:pt idx="56">
                  <c:v>289.46181128597169</c:v>
                </c:pt>
                <c:pt idx="57">
                  <c:v>302.20673901881219</c:v>
                </c:pt>
                <c:pt idx="58">
                  <c:v>314.93970744758695</c:v>
                </c:pt>
                <c:pt idx="59">
                  <c:v>327.66126832756265</c:v>
                </c:pt>
                <c:pt idx="60">
                  <c:v>340.37192706016123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2.6634796415657722</c:v>
                </c:pt>
                <c:pt idx="2">
                  <c:v>5.1971939612113056</c:v>
                </c:pt>
                <c:pt idx="3">
                  <c:v>7.6890005956882819</c:v>
                </c:pt>
                <c:pt idx="4">
                  <c:v>10.154974357943091</c:v>
                </c:pt>
                <c:pt idx="5">
                  <c:v>12.602400880170249</c:v>
                </c:pt>
                <c:pt idx="6">
                  <c:v>15.035436191157146</c:v>
                </c:pt>
                <c:pt idx="7">
                  <c:v>17.456759521967815</c:v>
                </c:pt>
                <c:pt idx="8">
                  <c:v>19.868237062814345</c:v>
                </c:pt>
                <c:pt idx="9">
                  <c:v>22.271240487242455</c:v>
                </c:pt>
                <c:pt idx="10">
                  <c:v>24.666818770363847</c:v>
                </c:pt>
                <c:pt idx="11">
                  <c:v>27.055798951990653</c:v>
                </c:pt>
                <c:pt idx="12">
                  <c:v>29.438849076281354</c:v>
                </c:pt>
                <c:pt idx="13">
                  <c:v>31.816519497585247</c:v>
                </c:pt>
                <c:pt idx="14">
                  <c:v>34.189271090556609</c:v>
                </c:pt>
                <c:pt idx="15">
                  <c:v>36.557495159851747</c:v>
                </c:pt>
                <c:pt idx="16">
                  <c:v>38.921527884451336</c:v>
                </c:pt>
                <c:pt idx="17">
                  <c:v>41.281661045851308</c:v>
                </c:pt>
                <c:pt idx="18">
                  <c:v>43.63815015914227</c:v>
                </c:pt>
                <c:pt idx="19">
                  <c:v>45.99122074537997</c:v>
                </c:pt>
                <c:pt idx="20">
                  <c:v>48.3410732457859</c:v>
                </c:pt>
                <c:pt idx="21">
                  <c:v>50.687886925177025</c:v>
                </c:pt>
                <c:pt idx="22">
                  <c:v>53.031823010819089</c:v>
                </c:pt>
                <c:pt idx="23">
                  <c:v>55.373027244446654</c:v>
                </c:pt>
                <c:pt idx="24">
                  <c:v>57.711631977930331</c:v>
                </c:pt>
                <c:pt idx="25">
                  <c:v>60.047757909823986</c:v>
                </c:pt>
                <c:pt idx="26">
                  <c:v>62.381515536243221</c:v>
                </c:pt>
                <c:pt idx="27">
                  <c:v>64.713006372253673</c:v>
                </c:pt>
                <c:pt idx="28">
                  <c:v>67.04232398722597</c:v>
                </c:pt>
                <c:pt idx="29">
                  <c:v>69.369554888126586</c:v>
                </c:pt>
                <c:pt idx="30">
                  <c:v>71.694779277552584</c:v>
                </c:pt>
                <c:pt idx="31">
                  <c:v>74.018071707855839</c:v>
                </c:pt>
                <c:pt idx="32">
                  <c:v>76.339501648493112</c:v>
                </c:pt>
                <c:pt idx="33">
                  <c:v>78.659133980465157</c:v>
                </c:pt>
                <c:pt idx="34">
                  <c:v>80.977029429140018</c:v>
                </c:pt>
                <c:pt idx="35">
                  <c:v>83.293244944724918</c:v>
                </c:pt>
                <c:pt idx="36">
                  <c:v>85.607834038033488</c:v>
                </c:pt>
                <c:pt idx="37">
                  <c:v>87.920847077896838</c:v>
                </c:pt>
                <c:pt idx="38">
                  <c:v>90.23233155551776</c:v>
                </c:pt>
                <c:pt idx="39">
                  <c:v>92.54233232021538</c:v>
                </c:pt>
                <c:pt idx="40">
                  <c:v>94.850891790310598</c:v>
                </c:pt>
                <c:pt idx="41">
                  <c:v>97.15805014232933</c:v>
                </c:pt>
                <c:pt idx="42">
                  <c:v>99.463845481227125</c:v>
                </c:pt>
                <c:pt idx="43">
                  <c:v>101.76831399394543</c:v>
                </c:pt>
                <c:pt idx="44">
                  <c:v>104.07149008828065</c:v>
                </c:pt>
                <c:pt idx="45">
                  <c:v>106.37340651877338</c:v>
                </c:pt>
                <c:pt idx="46">
                  <c:v>108.67409450109164</c:v>
                </c:pt>
                <c:pt idx="47">
                  <c:v>110.97358381618734</c:v>
                </c:pt>
                <c:pt idx="48">
                  <c:v>113.27190290533805</c:v>
                </c:pt>
                <c:pt idx="49">
                  <c:v>115.56907895704539</c:v>
                </c:pt>
                <c:pt idx="50">
                  <c:v>117.86513798663866</c:v>
                </c:pt>
                <c:pt idx="51">
                  <c:v>120.16010490933149</c:v>
                </c:pt>
                <c:pt idx="52">
                  <c:v>122.45400360738533</c:v>
                </c:pt>
                <c:pt idx="53">
                  <c:v>124.74685699196124</c:v>
                </c:pt>
                <c:pt idx="54">
                  <c:v>127.03868706017165</c:v>
                </c:pt>
                <c:pt idx="55">
                  <c:v>129.32951494778607</c:v>
                </c:pt>
                <c:pt idx="56">
                  <c:v>131.61936097799557</c:v>
                </c:pt>
                <c:pt idx="57">
                  <c:v>133.90824470659547</c:v>
                </c:pt>
                <c:pt idx="58">
                  <c:v>121.17258390131553</c:v>
                </c:pt>
                <c:pt idx="59">
                  <c:v>135.4172555520324</c:v>
                </c:pt>
                <c:pt idx="60">
                  <c:v>149.62583196190261</c:v>
                </c:pt>
                <c:pt idx="61">
                  <c:v>163.80222667670492</c:v>
                </c:pt>
                <c:pt idx="62">
                  <c:v>177.9496191514211</c:v>
                </c:pt>
                <c:pt idx="63">
                  <c:v>192.07064119712746</c:v>
                </c:pt>
                <c:pt idx="64">
                  <c:v>206.16750554049119</c:v>
                </c:pt>
                <c:pt idx="65">
                  <c:v>220.24209728386418</c:v>
                </c:pt>
                <c:pt idx="66">
                  <c:v>234.29604070943222</c:v>
                </c:pt>
                <c:pt idx="67">
                  <c:v>248.33074918569824</c:v>
                </c:pt>
                <c:pt idx="68">
                  <c:v>9.0069147459913104E-13</c:v>
                </c:pt>
                <c:pt idx="69">
                  <c:v>9.0069147459913104E-13</c:v>
                </c:pt>
                <c:pt idx="70">
                  <c:v>9.0069147459913104E-13</c:v>
                </c:pt>
                <c:pt idx="71">
                  <c:v>9.0069147459913104E-13</c:v>
                </c:pt>
                <c:pt idx="72">
                  <c:v>9.0069147459913104E-13</c:v>
                </c:pt>
                <c:pt idx="73">
                  <c:v>9.0069147459913104E-13</c:v>
                </c:pt>
                <c:pt idx="74">
                  <c:v>9.0069147459913104E-13</c:v>
                </c:pt>
                <c:pt idx="75">
                  <c:v>9.0069147459913104E-13</c:v>
                </c:pt>
                <c:pt idx="76">
                  <c:v>9.0069147459913104E-13</c:v>
                </c:pt>
                <c:pt idx="77">
                  <c:v>9.0069147459913104E-13</c:v>
                </c:pt>
                <c:pt idx="78">
                  <c:v>9.0069147459913104E-13</c:v>
                </c:pt>
                <c:pt idx="79">
                  <c:v>9.0069147459913104E-13</c:v>
                </c:pt>
                <c:pt idx="80">
                  <c:v>9.0069147459913104E-13</c:v>
                </c:pt>
                <c:pt idx="81">
                  <c:v>9.0069147459913104E-13</c:v>
                </c:pt>
                <c:pt idx="82">
                  <c:v>9.0069147459913104E-13</c:v>
                </c:pt>
                <c:pt idx="83">
                  <c:v>9.0069147459913104E-13</c:v>
                </c:pt>
                <c:pt idx="84">
                  <c:v>9.0069147459913104E-13</c:v>
                </c:pt>
                <c:pt idx="85">
                  <c:v>9.0069147459913104E-13</c:v>
                </c:pt>
                <c:pt idx="86">
                  <c:v>9.0069147459913104E-13</c:v>
                </c:pt>
                <c:pt idx="87">
                  <c:v>9.0069147459913104E-13</c:v>
                </c:pt>
                <c:pt idx="88">
                  <c:v>9.0069147459913104E-13</c:v>
                </c:pt>
                <c:pt idx="89">
                  <c:v>9.0069147459913104E-13</c:v>
                </c:pt>
                <c:pt idx="90">
                  <c:v>9.0069147459913104E-13</c:v>
                </c:pt>
                <c:pt idx="91">
                  <c:v>9.0069147459913104E-13</c:v>
                </c:pt>
                <c:pt idx="92">
                  <c:v>9.0069147459913104E-13</c:v>
                </c:pt>
                <c:pt idx="93">
                  <c:v>9.0069147459913104E-13</c:v>
                </c:pt>
                <c:pt idx="94">
                  <c:v>9.0069147459913104E-13</c:v>
                </c:pt>
                <c:pt idx="95">
                  <c:v>9.0069147459913104E-13</c:v>
                </c:pt>
                <c:pt idx="96">
                  <c:v>9.0069147459913104E-13</c:v>
                </c:pt>
                <c:pt idx="97">
                  <c:v>9.0069147459913104E-13</c:v>
                </c:pt>
                <c:pt idx="98">
                  <c:v>9.0069147459913104E-13</c:v>
                </c:pt>
                <c:pt idx="99">
                  <c:v>9.0069147459913104E-13</c:v>
                </c:pt>
                <c:pt idx="100">
                  <c:v>9.0069147459913104E-13</c:v>
                </c:pt>
                <c:pt idx="101">
                  <c:v>9.0069147459913104E-13</c:v>
                </c:pt>
                <c:pt idx="102">
                  <c:v>9.0069147459913104E-13</c:v>
                </c:pt>
                <c:pt idx="103">
                  <c:v>9.0069147459913104E-13</c:v>
                </c:pt>
                <c:pt idx="104">
                  <c:v>9.0069147459913104E-13</c:v>
                </c:pt>
                <c:pt idx="105">
                  <c:v>9.0069147459913104E-13</c:v>
                </c:pt>
                <c:pt idx="106">
                  <c:v>9.0069147459913104E-13</c:v>
                </c:pt>
                <c:pt idx="107">
                  <c:v>9.0069147459913104E-13</c:v>
                </c:pt>
                <c:pt idx="108">
                  <c:v>9.0069147459913104E-13</c:v>
                </c:pt>
                <c:pt idx="109">
                  <c:v>9.0069147459913104E-13</c:v>
                </c:pt>
                <c:pt idx="110">
                  <c:v>9.0069147459913104E-13</c:v>
                </c:pt>
                <c:pt idx="111">
                  <c:v>9.0069147459913104E-13</c:v>
                </c:pt>
                <c:pt idx="112">
                  <c:v>9.0069147459913104E-13</c:v>
                </c:pt>
                <c:pt idx="113">
                  <c:v>9.0069147459913104E-13</c:v>
                </c:pt>
                <c:pt idx="114">
                  <c:v>9.0069147459913104E-13</c:v>
                </c:pt>
                <c:pt idx="115">
                  <c:v>9.0069147459913104E-13</c:v>
                </c:pt>
                <c:pt idx="116">
                  <c:v>9.0069147459913104E-13</c:v>
                </c:pt>
                <c:pt idx="117">
                  <c:v>9.0069147459913104E-13</c:v>
                </c:pt>
                <c:pt idx="118">
                  <c:v>9.0069147459913104E-13</c:v>
                </c:pt>
                <c:pt idx="119">
                  <c:v>9.0069147459913104E-13</c:v>
                </c:pt>
                <c:pt idx="120">
                  <c:v>9.0069147459913104E-13</c:v>
                </c:pt>
                <c:pt idx="121">
                  <c:v>9.0069147459913104E-13</c:v>
                </c:pt>
                <c:pt idx="122">
                  <c:v>9.0069147459913104E-13</c:v>
                </c:pt>
                <c:pt idx="123">
                  <c:v>9.0069147459913104E-13</c:v>
                </c:pt>
                <c:pt idx="124">
                  <c:v>9.0069147459913104E-13</c:v>
                </c:pt>
                <c:pt idx="125">
                  <c:v>9.0069147459913104E-13</c:v>
                </c:pt>
                <c:pt idx="126">
                  <c:v>9.0069147459913104E-13</c:v>
                </c:pt>
                <c:pt idx="127">
                  <c:v>9.0069147459913104E-13</c:v>
                </c:pt>
                <c:pt idx="128">
                  <c:v>9.0069147459913104E-13</c:v>
                </c:pt>
                <c:pt idx="129">
                  <c:v>9.0069147459913104E-13</c:v>
                </c:pt>
                <c:pt idx="130">
                  <c:v>9.0069147459913104E-13</c:v>
                </c:pt>
                <c:pt idx="131">
                  <c:v>9.0069147459913104E-13</c:v>
                </c:pt>
                <c:pt idx="132">
                  <c:v>9.0069147459913104E-13</c:v>
                </c:pt>
                <c:pt idx="133">
                  <c:v>9.0069147459913104E-13</c:v>
                </c:pt>
                <c:pt idx="134">
                  <c:v>9.0069147459913104E-13</c:v>
                </c:pt>
                <c:pt idx="135">
                  <c:v>9.0069147459913104E-13</c:v>
                </c:pt>
                <c:pt idx="136">
                  <c:v>9.0069147459913104E-13</c:v>
                </c:pt>
                <c:pt idx="137">
                  <c:v>9.0069147459913104E-13</c:v>
                </c:pt>
                <c:pt idx="138">
                  <c:v>9.0069147459913104E-13</c:v>
                </c:pt>
                <c:pt idx="139">
                  <c:v>9.0069147459913104E-13</c:v>
                </c:pt>
                <c:pt idx="140">
                  <c:v>9.0069147459913104E-13</c:v>
                </c:pt>
                <c:pt idx="141">
                  <c:v>9.0069147459913104E-13</c:v>
                </c:pt>
                <c:pt idx="142">
                  <c:v>9.0069147459913104E-13</c:v>
                </c:pt>
                <c:pt idx="143">
                  <c:v>9.0069147459913104E-13</c:v>
                </c:pt>
                <c:pt idx="144">
                  <c:v>9.0069147459913104E-13</c:v>
                </c:pt>
                <c:pt idx="145">
                  <c:v>9.0069147459913104E-13</c:v>
                </c:pt>
                <c:pt idx="146">
                  <c:v>9.0069147459913104E-13</c:v>
                </c:pt>
                <c:pt idx="147">
                  <c:v>9.0069147459913104E-13</c:v>
                </c:pt>
                <c:pt idx="148">
                  <c:v>9.0069147459913104E-13</c:v>
                </c:pt>
                <c:pt idx="149">
                  <c:v>9.0069147459913104E-13</c:v>
                </c:pt>
                <c:pt idx="150">
                  <c:v>9.0069147459913104E-13</c:v>
                </c:pt>
                <c:pt idx="151">
                  <c:v>9.0069147459913104E-13</c:v>
                </c:pt>
                <c:pt idx="152">
                  <c:v>9.0069147459913104E-13</c:v>
                </c:pt>
                <c:pt idx="153">
                  <c:v>9.0069147459913104E-13</c:v>
                </c:pt>
                <c:pt idx="154">
                  <c:v>9.0069147459913104E-13</c:v>
                </c:pt>
                <c:pt idx="155">
                  <c:v>9.0069147459913104E-13</c:v>
                </c:pt>
                <c:pt idx="156">
                  <c:v>9.0069147459913104E-13</c:v>
                </c:pt>
                <c:pt idx="157">
                  <c:v>9.0069147459913104E-13</c:v>
                </c:pt>
                <c:pt idx="158">
                  <c:v>9.0069147459913104E-13</c:v>
                </c:pt>
                <c:pt idx="159">
                  <c:v>9.0069147459913104E-13</c:v>
                </c:pt>
                <c:pt idx="160">
                  <c:v>9.0069147459913104E-13</c:v>
                </c:pt>
                <c:pt idx="161">
                  <c:v>9.0069147459913104E-13</c:v>
                </c:pt>
                <c:pt idx="162">
                  <c:v>9.0069147459913104E-13</c:v>
                </c:pt>
                <c:pt idx="163">
                  <c:v>9.0069147459913104E-13</c:v>
                </c:pt>
                <c:pt idx="164">
                  <c:v>9.0069147459913104E-13</c:v>
                </c:pt>
                <c:pt idx="165">
                  <c:v>9.0069147459913104E-13</c:v>
                </c:pt>
                <c:pt idx="166">
                  <c:v>9.0069147459913104E-13</c:v>
                </c:pt>
                <c:pt idx="167">
                  <c:v>9.0069147459913104E-13</c:v>
                </c:pt>
                <c:pt idx="168">
                  <c:v>9.0069147459913104E-13</c:v>
                </c:pt>
                <c:pt idx="169">
                  <c:v>9.0069147459913104E-13</c:v>
                </c:pt>
                <c:pt idx="170">
                  <c:v>9.0069147459913104E-13</c:v>
                </c:pt>
                <c:pt idx="171">
                  <c:v>9.0069147459913104E-13</c:v>
                </c:pt>
                <c:pt idx="172">
                  <c:v>9.0069147459913104E-13</c:v>
                </c:pt>
                <c:pt idx="173">
                  <c:v>9.0069147459913104E-13</c:v>
                </c:pt>
                <c:pt idx="174">
                  <c:v>9.0069147459913104E-13</c:v>
                </c:pt>
                <c:pt idx="175">
                  <c:v>9.0069147459913104E-13</c:v>
                </c:pt>
                <c:pt idx="176">
                  <c:v>9.0069147459913104E-13</c:v>
                </c:pt>
                <c:pt idx="177">
                  <c:v>9.0069147459913104E-13</c:v>
                </c:pt>
                <c:pt idx="178">
                  <c:v>9.0069147459913104E-13</c:v>
                </c:pt>
                <c:pt idx="179">
                  <c:v>9.0069147459913104E-13</c:v>
                </c:pt>
                <c:pt idx="180">
                  <c:v>9.0069147459913104E-13</c:v>
                </c:pt>
                <c:pt idx="181">
                  <c:v>9.0069147459913104E-13</c:v>
                </c:pt>
                <c:pt idx="182">
                  <c:v>9.0069147459913104E-13</c:v>
                </c:pt>
                <c:pt idx="183">
                  <c:v>9.0069147459913104E-13</c:v>
                </c:pt>
                <c:pt idx="184">
                  <c:v>9.0069147459913104E-13</c:v>
                </c:pt>
                <c:pt idx="185">
                  <c:v>9.0069147459913104E-13</c:v>
                </c:pt>
                <c:pt idx="186">
                  <c:v>9.0069147459913104E-13</c:v>
                </c:pt>
                <c:pt idx="187">
                  <c:v>9.0069147459913104E-13</c:v>
                </c:pt>
                <c:pt idx="188">
                  <c:v>9.0069147459913104E-13</c:v>
                </c:pt>
                <c:pt idx="189">
                  <c:v>9.0069147459913104E-13</c:v>
                </c:pt>
                <c:pt idx="190">
                  <c:v>9.0069147459913104E-13</c:v>
                </c:pt>
                <c:pt idx="191">
                  <c:v>9.0069147459913104E-13</c:v>
                </c:pt>
                <c:pt idx="192">
                  <c:v>9.0069147459913104E-13</c:v>
                </c:pt>
                <c:pt idx="193">
                  <c:v>9.0069147459913104E-13</c:v>
                </c:pt>
                <c:pt idx="194">
                  <c:v>9.0069147459913104E-13</c:v>
                </c:pt>
                <c:pt idx="195">
                  <c:v>9.0069147459913104E-13</c:v>
                </c:pt>
                <c:pt idx="196">
                  <c:v>9.0069147459913104E-13</c:v>
                </c:pt>
                <c:pt idx="197">
                  <c:v>9.0069147459913104E-13</c:v>
                </c:pt>
                <c:pt idx="198">
                  <c:v>9.0069147459913104E-13</c:v>
                </c:pt>
                <c:pt idx="199">
                  <c:v>9.0069147459913104E-13</c:v>
                </c:pt>
                <c:pt idx="200">
                  <c:v>9.0069147459913104E-13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J89" sqref="J8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2.71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0.6</v>
      </c>
      <c r="D9" s="36">
        <f t="shared" ref="D9:D18" si="0">C9*$C$5</f>
        <v>1.6259999999999999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41</v>
      </c>
      <c r="C10" s="35">
        <v>0.21</v>
      </c>
      <c r="D10" s="36">
        <f t="shared" si="0"/>
        <v>0.56909999999999994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46</v>
      </c>
      <c r="C11" s="35">
        <v>0.19</v>
      </c>
      <c r="D11" s="36">
        <f t="shared" si="0"/>
        <v>0.51490000000000002</v>
      </c>
      <c r="E11" s="37">
        <v>67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2.71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253</v>
      </c>
      <c r="C36" s="63">
        <v>1</v>
      </c>
      <c r="D36" s="63">
        <v>59</v>
      </c>
      <c r="E36" s="54"/>
      <c r="F36" s="54">
        <v>0.5</v>
      </c>
      <c r="G36" s="54">
        <v>0.5</v>
      </c>
      <c r="H36" s="54"/>
      <c r="I36" s="52">
        <f>IFERROR(B36/A36,"")</f>
        <v>10.119999999999999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32</v>
      </c>
      <c r="B37" s="63">
        <v>332</v>
      </c>
      <c r="C37" s="63">
        <v>2</v>
      </c>
      <c r="D37" s="63">
        <v>79</v>
      </c>
      <c r="E37" s="54"/>
      <c r="F37" s="54"/>
      <c r="G37" s="54"/>
      <c r="H37" s="54"/>
      <c r="I37" s="56">
        <f t="shared" ref="I37:I55" si="1">IF(A37&lt;&gt;0,(B37-(B36-D36))/(A37-A36),"")</f>
        <v>19.714285714285715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46</v>
      </c>
      <c r="B38" s="63">
        <v>444</v>
      </c>
      <c r="C38" s="63">
        <v>3</v>
      </c>
      <c r="D38" s="63">
        <v>86</v>
      </c>
      <c r="E38" s="54"/>
      <c r="F38" s="54"/>
      <c r="G38" s="54"/>
      <c r="H38" s="54"/>
      <c r="I38" s="56">
        <f t="shared" si="1"/>
        <v>13.642857142857142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60</v>
      </c>
      <c r="B39" s="63">
        <v>517</v>
      </c>
      <c r="C39" s="63" t="s">
        <v>324</v>
      </c>
      <c r="D39" s="63">
        <v>517</v>
      </c>
      <c r="E39" s="54"/>
      <c r="F39" s="54"/>
      <c r="G39" s="54"/>
      <c r="H39" s="54"/>
      <c r="I39" s="52">
        <f t="shared" si="1"/>
        <v>11.357142857142858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sylvestre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3">
        <v>98</v>
      </c>
      <c r="C62" s="63">
        <v>1</v>
      </c>
      <c r="D62" s="63">
        <v>30</v>
      </c>
      <c r="E62" s="54"/>
      <c r="F62" s="54">
        <v>0.5</v>
      </c>
      <c r="G62" s="54">
        <v>0.5</v>
      </c>
      <c r="H62" s="54"/>
      <c r="I62" s="56">
        <f>IFERROR(B62/A62,"")</f>
        <v>3.2666666666666666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40</v>
      </c>
      <c r="B63" s="63">
        <v>151</v>
      </c>
      <c r="C63" s="63">
        <v>2</v>
      </c>
      <c r="D63" s="63">
        <v>38</v>
      </c>
      <c r="E63" s="54"/>
      <c r="F63" s="54"/>
      <c r="G63" s="54"/>
      <c r="H63" s="54"/>
      <c r="I63" s="52">
        <f>IF(A63&lt;&gt;0,(B63-(B62-D62))/(A63-A62),"")</f>
        <v>8.3000000000000007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50</v>
      </c>
      <c r="B64" s="63">
        <v>224</v>
      </c>
      <c r="C64" s="63">
        <v>3</v>
      </c>
      <c r="D64" s="63">
        <v>56</v>
      </c>
      <c r="E64" s="54"/>
      <c r="F64" s="54"/>
      <c r="G64" s="54"/>
      <c r="H64" s="54"/>
      <c r="I64" s="52">
        <f>IF(A64&lt;&gt;0,(B64-(B63-D63))/(A64-A63),"")</f>
        <v>11.1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63">
        <v>272</v>
      </c>
      <c r="C65" s="63" t="s">
        <v>324</v>
      </c>
      <c r="D65" s="63">
        <v>272</v>
      </c>
      <c r="E65" s="54"/>
      <c r="F65" s="54"/>
      <c r="G65" s="54"/>
      <c r="H65" s="54"/>
      <c r="I65" s="52">
        <f>IF(A65&lt;&gt;0,(B65-(B64-D64))/(A65-A64),"")</f>
        <v>10.4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Sapin pectiné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57</v>
      </c>
      <c r="B88" s="63">
        <v>121</v>
      </c>
      <c r="C88" s="63">
        <v>1</v>
      </c>
      <c r="D88" s="63">
        <v>25</v>
      </c>
      <c r="E88" s="54"/>
      <c r="F88" s="54"/>
      <c r="G88" s="54"/>
      <c r="H88" s="93"/>
      <c r="I88" s="56">
        <f>IFERROR(B88/A88,"")</f>
        <v>2.1228070175438596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67</v>
      </c>
      <c r="B89" s="63">
        <v>228</v>
      </c>
      <c r="C89" s="63" t="s">
        <v>324</v>
      </c>
      <c r="D89" s="63">
        <v>228</v>
      </c>
      <c r="E89" s="54"/>
      <c r="F89" s="54"/>
      <c r="G89" s="54"/>
      <c r="H89" s="93"/>
      <c r="I89" s="56">
        <f t="shared" ref="I89:I107" si="3">IF(A89&lt;&gt;0,(B89-(B88-D88))/(A89-A88),"")</f>
        <v>13.2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sylvestre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Sapin pectiné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313.92223852157559</v>
      </c>
      <c r="T3" s="62">
        <f>IF('Données projet'!E9&gt;30,$R$33-$H$33,LOOKUP('Données projet'!$E$9,$A$3:$A$203,R3:R203)-LOOKUP('Données projet'!$E$9,$A$3:$A$203,$H$3:$H$203))</f>
        <v>394.03759949558702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148.40707092284572</v>
      </c>
      <c r="AO3" s="62">
        <f>IF('Données projet'!E10&gt;30,$AM$33-$H$33,LOOKUP('Données projet'!$E$10,$A$3:$A$203,AM3:AM203)-LOOKUP('Données projet'!$E$10,$A$3:$A$203,$H$3:$H$203))</f>
        <v>162.45539016632631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113.38017445149029</v>
      </c>
      <c r="BJ3" s="62">
        <f>IF('Données projet'!E11&gt;30,$BH$33-$H$33,LOOKUP('Données projet'!$E$11,$A$3:$A$203,BH3:BH203)-LOOKUP('Données projet'!$E$11,$A$3:$A$203,$H$3:$H$203))</f>
        <v>108.36144594421921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10.119999999999999</v>
      </c>
      <c r="N4" s="14">
        <f>IF('Données projet'!$A$36&gt;35,N3+M4-V3,IF(A4&lt;'Données projet'!$A$36,$K$205^A4,IF(A4='Données projet'!$A$36,'Données projet'!$B$36,N3+M4-V3)))</f>
        <v>1.2477420770391454</v>
      </c>
      <c r="O4" s="14">
        <f>N4*VLOOKUP('Données projet'!$B$9,Paramètres!$A$1:$I$89,3,0)*VLOOKUP('Données projet'!$B$9,Paramètres!$A$1:$I$89,5,0)</f>
        <v>0.69748782106488227</v>
      </c>
      <c r="P4" s="14">
        <f>EXP(-1.0587+0.8836*LN(O4)+0.284)</f>
        <v>0.33519770001131083</v>
      </c>
      <c r="Q4" s="22">
        <f t="shared" ref="Q4:Q34" si="2">(O4+P4)*0.475*44/12</f>
        <v>1.798593949207703</v>
      </c>
      <c r="R4" s="62">
        <f t="shared" si="0"/>
        <v>259.68748283809657</v>
      </c>
      <c r="S4" s="62">
        <f ca="1">AVERAGE(OFFSET($R$3,0,0,'Données projet'!$E$9+1,1))-AVERAGE(OFFSET($H$3,0,0,'Données projet'!$E$9+1,1))</f>
        <v>313.92223852157559</v>
      </c>
      <c r="T4" s="62">
        <f>$T$3</f>
        <v>394.03759949558702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3.2666666666666666</v>
      </c>
      <c r="AI4" s="14">
        <f>IF('Données projet'!$A$62&gt;35,AI3+AH4-AQ3,IF(A4&lt;'Données projet'!$A$62,$AF$205^A4,IF(A4='Données projet'!$A$62,'Données projet'!$B$62,AI3+AH4-AQ3)))</f>
        <v>1.1651295112443776</v>
      </c>
      <c r="AJ4" s="14">
        <f>AI4*VLOOKUP('Données projet'!$B$10,Paramètres!$A$1:$I$89,3,0)*VLOOKUP('Données projet'!$B$10,Paramètres!$A$1:$I$89,5,0)</f>
        <v>0.666454080431784</v>
      </c>
      <c r="AK4" s="14">
        <f>EXP(-1.0587+0.8836*LN(AJ4)+0.284)</f>
        <v>0.32198485256956522</v>
      </c>
      <c r="AL4" s="22">
        <f t="shared" ref="AL4:AL67" si="4">(AJ4+AK4)*0.475*44/12</f>
        <v>1.7215311416440164</v>
      </c>
      <c r="AM4" s="62">
        <f t="shared" ref="AM4:AM67" si="5">AL4+(AD4+AE4)*44/12</f>
        <v>259.61042003053285</v>
      </c>
      <c r="AN4" s="62">
        <f ca="1">AVERAGE(OFFSET($AM$3,0,0,'Données projet'!$E$10+1,1))-AVERAGE(OFFSET($H$3,0,0,'Données projet'!$E$10+1,1))</f>
        <v>148.40707092284572</v>
      </c>
      <c r="AO4" s="62">
        <f>$AO$3</f>
        <v>162.45539016632631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2.1228070175438596</v>
      </c>
      <c r="BD4" s="13">
        <f>IF('Données projet'!$A$88&gt;35,BD3+BC4-BL3,IF(A4&lt;'Données projet'!$A$88,$BA$205^A4,IF(A4='Données projet'!$A$88,'Données projet'!$B$88,BD3+BC4-BL3)))</f>
        <v>2.1228070175438596</v>
      </c>
      <c r="BE4" s="14">
        <f>BD4*VLOOKUP('Données projet'!$B$11,Paramètres!$A$1:$I$89,3,0)*VLOOKUP('Données projet'!$B$11,Paramètres!$A$1:$I$89,5,0)</f>
        <v>1.0486666666666666</v>
      </c>
      <c r="BF4" s="14">
        <f>EXP(-1.0587+0.8836*LN(BE4)+0.284)</f>
        <v>0.48060394093090597</v>
      </c>
      <c r="BG4" s="22">
        <f t="shared" ref="BG4:BG67" si="7">(BE4+BF4)*0.475*44/12</f>
        <v>2.6634796415657722</v>
      </c>
      <c r="BH4" s="62">
        <f t="shared" ref="BH4:BH67" si="8">BG4+(AY4+AZ4)*44/12</f>
        <v>260.55236853045466</v>
      </c>
      <c r="BI4" s="62">
        <f ca="1">AVERAGE(OFFSET($BH$3,0,0,'Données projet'!$E$11+1,1))-AVERAGE(OFFSET($H$3,0,0,'Données projet'!$E$11+1,1))</f>
        <v>113.38017445149029</v>
      </c>
      <c r="BJ4" s="62">
        <f>$BJ$3</f>
        <v>108.36144594421921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10.119999999999999</v>
      </c>
      <c r="N5" s="14">
        <f>IF('Données projet'!$A$36&gt;35,N4+M5-V4,IF(A5&lt;'Données projet'!$A$36,$K$205^A5,IF(A5='Données projet'!$A$36,'Données projet'!$B$36,N4+M5-V4)))</f>
        <v>1.5568602908139606</v>
      </c>
      <c r="O5" s="14">
        <f>N5*VLOOKUP('Données projet'!$B$9,Paramètres!$A$1:$I$89,3,0)*VLOOKUP('Données projet'!$B$9,Paramètres!$A$1:$I$89,5,0)</f>
        <v>0.8702849025650039</v>
      </c>
      <c r="P5" s="14">
        <f t="shared" ref="P5:P68" si="33">EXP(-1.0587+0.8836*LN(O5)+0.284)</f>
        <v>0.40760257758249518</v>
      </c>
      <c r="Q5" s="22">
        <f t="shared" si="2"/>
        <v>2.2256540279235608</v>
      </c>
      <c r="R5" s="62">
        <f t="shared" si="0"/>
        <v>261.3367651390347</v>
      </c>
      <c r="S5" s="62">
        <f ca="1">AVERAGE(OFFSET($R$3,0,0,'Données projet'!$E$9+1,1))-AVERAGE(OFFSET($H$3,0,0,'Données projet'!$E$9+1,1))</f>
        <v>313.92223852157559</v>
      </c>
      <c r="T5" s="62">
        <f t="shared" ref="T5:T68" si="34">$T$3</f>
        <v>394.03759949558702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3.2666666666666666</v>
      </c>
      <c r="AI5" s="14">
        <f>IF('Données projet'!$A$62&gt;35,AI4+AH5-AQ4,IF(A5&lt;'Données projet'!$A$62,$AF$205^A5,IF(A5='Données projet'!$A$62,'Données projet'!$B$62,AI4+AH5-AQ4)))</f>
        <v>1.3575267779725622</v>
      </c>
      <c r="AJ5" s="14">
        <f>AI5*VLOOKUP('Données projet'!$B$10,Paramètres!$A$1:$I$89,3,0)*VLOOKUP('Données projet'!$B$10,Paramètres!$A$1:$I$89,5,0)</f>
        <v>0.77650531700030556</v>
      </c>
      <c r="AK5" s="14">
        <f t="shared" ref="AK5:AK68" si="35">EXP(-1.0587+0.8836*LN(AJ5)+0.284)</f>
        <v>0.36853919816601721</v>
      </c>
      <c r="AL5" s="22">
        <f t="shared" si="4"/>
        <v>1.994285863914679</v>
      </c>
      <c r="AM5" s="62">
        <f t="shared" si="5"/>
        <v>261.10539697502583</v>
      </c>
      <c r="AN5" s="62">
        <f ca="1">AVERAGE(OFFSET($AM$3,0,0,'Données projet'!$E$10+1,1))-AVERAGE(OFFSET($H$3,0,0,'Données projet'!$E$10+1,1))</f>
        <v>148.40707092284572</v>
      </c>
      <c r="AO5" s="62">
        <f t="shared" ref="AO5:AO68" si="36">$AO$3</f>
        <v>162.45539016632631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2.1228070175438596</v>
      </c>
      <c r="BD5" s="13">
        <f>IF('Données projet'!$A$88&gt;35,BD4+BC5-BL4,IF(A5&lt;'Données projet'!$A$88,$BA$205^A5,IF(A5='Données projet'!$A$88,'Données projet'!$B$88,BD4+BC5-BL4)))</f>
        <v>4.2456140350877192</v>
      </c>
      <c r="BE5" s="14">
        <f>BD5*VLOOKUP('Données projet'!$B$11,Paramètres!$A$1:$I$89,3,0)*VLOOKUP('Données projet'!$B$11,Paramètres!$A$1:$I$89,5,0)</f>
        <v>2.0973333333333333</v>
      </c>
      <c r="BF5" s="14">
        <f t="shared" ref="BF5:BF68" si="37">EXP(-1.0587+0.8836*LN(BE5)+0.284)</f>
        <v>0.88670147693153101</v>
      </c>
      <c r="BG5" s="22">
        <f t="shared" si="7"/>
        <v>5.1971939612113056</v>
      </c>
      <c r="BH5" s="62">
        <f t="shared" si="8"/>
        <v>264.30830507232247</v>
      </c>
      <c r="BI5" s="62">
        <f ca="1">AVERAGE(OFFSET($BH$3,0,0,'Données projet'!$E$11+1,1))-AVERAGE(OFFSET($H$3,0,0,'Données projet'!$E$11+1,1))</f>
        <v>113.38017445149029</v>
      </c>
      <c r="BJ5" s="62">
        <f t="shared" ref="BJ5:BJ68" si="38">$BJ$3</f>
        <v>108.36144594421921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10.119999999999999</v>
      </c>
      <c r="N6" s="14">
        <f>IF('Données projet'!$A$36&gt;35,N5+M6-V5,IF(A6&lt;'Données projet'!$A$36,$K$205^A6,IF(A6='Données projet'!$A$36,'Données projet'!$B$36,N5+M6-V5)))</f>
        <v>1.9425600929199791</v>
      </c>
      <c r="O6" s="14">
        <f>N6*VLOOKUP('Données projet'!$B$9,Paramètres!$A$1:$I$89,3,0)*VLOOKUP('Données projet'!$B$9,Paramètres!$A$1:$I$89,5,0)</f>
        <v>1.0858910919422684</v>
      </c>
      <c r="P6" s="14">
        <f t="shared" si="33"/>
        <v>0.49564737838680845</v>
      </c>
      <c r="Q6" s="22">
        <f t="shared" si="2"/>
        <v>2.7545128358231423</v>
      </c>
      <c r="R6" s="62">
        <f t="shared" si="0"/>
        <v>263.08784616915648</v>
      </c>
      <c r="S6" s="62">
        <f ca="1">AVERAGE(OFFSET($R$3,0,0,'Données projet'!$E$9+1,1))-AVERAGE(OFFSET($H$3,0,0,'Données projet'!$E$9+1,1))</f>
        <v>313.92223852157559</v>
      </c>
      <c r="T6" s="62">
        <f t="shared" si="34"/>
        <v>394.03759949558702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3.2666666666666666</v>
      </c>
      <c r="AI6" s="14">
        <f>IF('Données projet'!$A$62&gt;35,AI5+AH6-AQ5,IF(A6&lt;'Données projet'!$A$62,$AF$205^A6,IF(A6='Données projet'!$A$62,'Données projet'!$B$62,AI5+AH6-AQ5)))</f>
        <v>1.581694511320326</v>
      </c>
      <c r="AJ6" s="14">
        <f>AI6*VLOOKUP('Données projet'!$B$10,Paramètres!$A$1:$I$89,3,0)*VLOOKUP('Données projet'!$B$10,Paramètres!$A$1:$I$89,5,0)</f>
        <v>0.90472926047522662</v>
      </c>
      <c r="AK6" s="14">
        <f t="shared" si="35"/>
        <v>0.42182462777657093</v>
      </c>
      <c r="AL6" s="22">
        <f t="shared" si="4"/>
        <v>2.3104146887052139</v>
      </c>
      <c r="AM6" s="62">
        <f t="shared" si="5"/>
        <v>262.64374802203855</v>
      </c>
      <c r="AN6" s="62">
        <f ca="1">AVERAGE(OFFSET($AM$3,0,0,'Données projet'!$E$10+1,1))-AVERAGE(OFFSET($H$3,0,0,'Données projet'!$E$10+1,1))</f>
        <v>148.40707092284572</v>
      </c>
      <c r="AO6" s="62">
        <f t="shared" si="36"/>
        <v>162.45539016632631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2.1228070175438596</v>
      </c>
      <c r="BD6" s="13">
        <f>IF('Données projet'!$A$88&gt;35,BD5+BC6-BL5,IF(A6&lt;'Données projet'!$A$88,$BA$205^A6,IF(A6='Données projet'!$A$88,'Données projet'!$B$88,BD5+BC6-BL5)))</f>
        <v>6.3684210526315788</v>
      </c>
      <c r="BE6" s="14">
        <f>BD6*VLOOKUP('Données projet'!$B$11,Paramètres!$A$1:$I$89,3,0)*VLOOKUP('Données projet'!$B$11,Paramètres!$A$1:$I$89,5,0)</f>
        <v>3.1459999999999999</v>
      </c>
      <c r="BF6" s="14">
        <f t="shared" si="37"/>
        <v>1.2687371841272439</v>
      </c>
      <c r="BG6" s="22">
        <f t="shared" si="7"/>
        <v>7.6890005956882819</v>
      </c>
      <c r="BH6" s="62">
        <f t="shared" si="8"/>
        <v>268.02233392902161</v>
      </c>
      <c r="BI6" s="62">
        <f ca="1">AVERAGE(OFFSET($BH$3,0,0,'Données projet'!$E$11+1,1))-AVERAGE(OFFSET($H$3,0,0,'Données projet'!$E$11+1,1))</f>
        <v>113.38017445149029</v>
      </c>
      <c r="BJ6" s="62">
        <f t="shared" si="38"/>
        <v>108.36144594421921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10.119999999999999</v>
      </c>
      <c r="N7" s="14">
        <f>IF('Données projet'!$A$36&gt;35,N6+M7-V6,IF(A7&lt;'Données projet'!$A$36,$K$205^A7,IF(A7='Données projet'!$A$36,'Données projet'!$B$36,N6+M7-V6)))</f>
        <v>2.4238139651133301</v>
      </c>
      <c r="O7" s="14">
        <f>N7*VLOOKUP('Données projet'!$B$9,Paramètres!$A$1:$I$89,3,0)*VLOOKUP('Données projet'!$B$9,Paramètres!$A$1:$I$89,5,0)</f>
        <v>1.3549120064983515</v>
      </c>
      <c r="P7" s="14">
        <f t="shared" si="33"/>
        <v>0.60271042729604751</v>
      </c>
      <c r="Q7" s="22">
        <f t="shared" si="2"/>
        <v>3.4095257388585782</v>
      </c>
      <c r="R7" s="62">
        <f t="shared" si="0"/>
        <v>264.96508129441412</v>
      </c>
      <c r="S7" s="62">
        <f ca="1">AVERAGE(OFFSET($R$3,0,0,'Données projet'!$E$9+1,1))-AVERAGE(OFFSET($H$3,0,0,'Données projet'!$E$9+1,1))</f>
        <v>313.92223852157559</v>
      </c>
      <c r="T7" s="62">
        <f t="shared" si="34"/>
        <v>394.03759949558702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3.2666666666666666</v>
      </c>
      <c r="AI7" s="14">
        <f>IF('Données projet'!$A$62&gt;35,AI6+AH7-AQ6,IF(A7&lt;'Données projet'!$A$62,$AF$205^A7,IF(A7='Données projet'!$A$62,'Données projet'!$B$62,AI6+AH7-AQ6)))</f>
        <v>1.842878952912566</v>
      </c>
      <c r="AJ7" s="14">
        <f>AI7*VLOOKUP('Données projet'!$B$10,Paramètres!$A$1:$I$89,3,0)*VLOOKUP('Données projet'!$B$10,Paramètres!$A$1:$I$89,5,0)</f>
        <v>1.0541267610659879</v>
      </c>
      <c r="AK7" s="14">
        <f t="shared" si="35"/>
        <v>0.48281435864710148</v>
      </c>
      <c r="AL7" s="22">
        <f t="shared" si="4"/>
        <v>2.6768391168336305</v>
      </c>
      <c r="AM7" s="62">
        <f t="shared" si="5"/>
        <v>264.23239467238915</v>
      </c>
      <c r="AN7" s="62">
        <f ca="1">AVERAGE(OFFSET($AM$3,0,0,'Données projet'!$E$10+1,1))-AVERAGE(OFFSET($H$3,0,0,'Données projet'!$E$10+1,1))</f>
        <v>148.40707092284572</v>
      </c>
      <c r="AO7" s="62">
        <f t="shared" si="36"/>
        <v>162.45539016632631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2.1228070175438596</v>
      </c>
      <c r="BD7" s="13">
        <f>IF('Données projet'!$A$88&gt;35,BD6+BC7-BL6,IF(A7&lt;'Données projet'!$A$88,$BA$205^A7,IF(A7='Données projet'!$A$88,'Données projet'!$B$88,BD6+BC7-BL6)))</f>
        <v>8.4912280701754383</v>
      </c>
      <c r="BE7" s="14">
        <f>BD7*VLOOKUP('Données projet'!$B$11,Paramètres!$A$1:$I$89,3,0)*VLOOKUP('Données projet'!$B$11,Paramètres!$A$1:$I$89,5,0)</f>
        <v>4.1946666666666665</v>
      </c>
      <c r="BF7" s="14">
        <f t="shared" si="37"/>
        <v>1.6359406201906113</v>
      </c>
      <c r="BG7" s="22">
        <f t="shared" si="7"/>
        <v>10.154974357943091</v>
      </c>
      <c r="BH7" s="62">
        <f t="shared" si="8"/>
        <v>271.71052991349865</v>
      </c>
      <c r="BI7" s="62">
        <f ca="1">AVERAGE(OFFSET($BH$3,0,0,'Données projet'!$E$11+1,1))-AVERAGE(OFFSET($H$3,0,0,'Données projet'!$E$11+1,1))</f>
        <v>113.38017445149029</v>
      </c>
      <c r="BJ7" s="62">
        <f t="shared" si="38"/>
        <v>108.36144594421921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10.119999999999999</v>
      </c>
      <c r="N8" s="14">
        <f>IF('Données projet'!$A$36&gt;35,N7+M8-V7,IF(A8&lt;'Données projet'!$A$36,$K$205^A8,IF(A8='Données projet'!$A$36,'Données projet'!$B$36,N7+M8-V7)))</f>
        <v>3.0242946711869934</v>
      </c>
      <c r="O8" s="14">
        <f>N8*VLOOKUP('Données projet'!$B$9,Paramètres!$A$1:$I$89,3,0)*VLOOKUP('Données projet'!$B$9,Paramètres!$A$1:$I$89,5,0)</f>
        <v>1.6905807211935295</v>
      </c>
      <c r="P8" s="14">
        <f t="shared" si="33"/>
        <v>0.7328997892689193</v>
      </c>
      <c r="Q8" s="22">
        <f t="shared" si="2"/>
        <v>4.2208952223887648</v>
      </c>
      <c r="R8" s="62">
        <f t="shared" si="0"/>
        <v>266.99867300016655</v>
      </c>
      <c r="S8" s="62">
        <f ca="1">AVERAGE(OFFSET($R$3,0,0,'Données projet'!$E$9+1,1))-AVERAGE(OFFSET($H$3,0,0,'Données projet'!$E$9+1,1))</f>
        <v>313.92223852157559</v>
      </c>
      <c r="T8" s="62">
        <f t="shared" si="34"/>
        <v>394.03759949558702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3.2666666666666666</v>
      </c>
      <c r="AI8" s="14">
        <f>IF('Données projet'!$A$62&gt;35,AI7+AH8-AQ7,IF(A8&lt;'Données projet'!$A$62,$AF$205^A8,IF(A8='Données projet'!$A$62,'Données projet'!$B$62,AI7+AH8-AQ7)))</f>
        <v>2.1471926536895682</v>
      </c>
      <c r="AJ8" s="14">
        <f>AI8*VLOOKUP('Données projet'!$B$10,Paramètres!$A$1:$I$89,3,0)*VLOOKUP('Données projet'!$B$10,Paramètres!$A$1:$I$89,5,0)</f>
        <v>1.2281941979104329</v>
      </c>
      <c r="AK8" s="14">
        <f t="shared" si="35"/>
        <v>0.55262232113977872</v>
      </c>
      <c r="AL8" s="22">
        <f t="shared" si="4"/>
        <v>3.1015887706791183</v>
      </c>
      <c r="AM8" s="62">
        <f t="shared" si="5"/>
        <v>265.87936654845691</v>
      </c>
      <c r="AN8" s="62">
        <f ca="1">AVERAGE(OFFSET($AM$3,0,0,'Données projet'!$E$10+1,1))-AVERAGE(OFFSET($H$3,0,0,'Données projet'!$E$10+1,1))</f>
        <v>148.40707092284572</v>
      </c>
      <c r="AO8" s="62">
        <f t="shared" si="36"/>
        <v>162.45539016632631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2.1228070175438596</v>
      </c>
      <c r="BD8" s="13">
        <f>IF('Données projet'!$A$88&gt;35,BD7+BC8-BL7,IF(A8&lt;'Données projet'!$A$88,$BA$205^A8,IF(A8='Données projet'!$A$88,'Données projet'!$B$88,BD7+BC8-BL7)))</f>
        <v>10.614035087719298</v>
      </c>
      <c r="BE8" s="14">
        <f>BD8*VLOOKUP('Données projet'!$B$11,Paramètres!$A$1:$I$89,3,0)*VLOOKUP('Données projet'!$B$11,Paramètres!$A$1:$I$89,5,0)</f>
        <v>5.2433333333333332</v>
      </c>
      <c r="BF8" s="14">
        <f t="shared" si="37"/>
        <v>1.9924949232237481</v>
      </c>
      <c r="BG8" s="22">
        <f t="shared" si="7"/>
        <v>12.602400880170249</v>
      </c>
      <c r="BH8" s="62">
        <f t="shared" si="8"/>
        <v>275.38017865794802</v>
      </c>
      <c r="BI8" s="62">
        <f ca="1">AVERAGE(OFFSET($BH$3,0,0,'Données projet'!$E$11+1,1))-AVERAGE(OFFSET($H$3,0,0,'Données projet'!$E$11+1,1))</f>
        <v>113.38017445149029</v>
      </c>
      <c r="BJ8" s="62">
        <f t="shared" si="38"/>
        <v>108.36144594421921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10.119999999999999</v>
      </c>
      <c r="N9" s="14">
        <f>IF('Données projet'!$A$36&gt;35,N8+M9-V8,IF(A9&lt;'Données projet'!$A$36,$K$205^A9,IF(A9='Données projet'!$A$36,'Données projet'!$B$36,N8+M9-V8)))</f>
        <v>3.773539714605278</v>
      </c>
      <c r="O9" s="14">
        <f>N9*VLOOKUP('Données projet'!$B$9,Paramètres!$A$1:$I$89,3,0)*VLOOKUP('Données projet'!$B$9,Paramètres!$A$1:$I$89,5,0)</f>
        <v>2.1094087004643503</v>
      </c>
      <c r="P9" s="14">
        <f t="shared" si="33"/>
        <v>0.89121089794350827</v>
      </c>
      <c r="Q9" s="22">
        <f t="shared" si="2"/>
        <v>5.2260791338936876</v>
      </c>
      <c r="R9" s="62">
        <f t="shared" si="0"/>
        <v>269.22607913389368</v>
      </c>
      <c r="S9" s="62">
        <f ca="1">AVERAGE(OFFSET($R$3,0,0,'Données projet'!$E$9+1,1))-AVERAGE(OFFSET($H$3,0,0,'Données projet'!$E$9+1,1))</f>
        <v>313.92223852157559</v>
      </c>
      <c r="T9" s="62">
        <f t="shared" si="34"/>
        <v>394.03759949558702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3.2666666666666666</v>
      </c>
      <c r="AI9" s="14">
        <f>IF('Données projet'!$A$62&gt;35,AI8+AH9-AQ8,IF(A9&lt;'Données projet'!$A$62,$AF$205^A9,IF(A9='Données projet'!$A$62,'Données projet'!$B$62,AI8+AH9-AQ8)))</f>
        <v>2.5017575271408448</v>
      </c>
      <c r="AJ9" s="14">
        <f>AI9*VLOOKUP('Données projet'!$B$10,Paramètres!$A$1:$I$89,3,0)*VLOOKUP('Données projet'!$B$10,Paramètres!$A$1:$I$89,5,0)</f>
        <v>1.4310053055245635</v>
      </c>
      <c r="AK9" s="14">
        <f t="shared" si="35"/>
        <v>0.63252350381139666</v>
      </c>
      <c r="AL9" s="22">
        <f t="shared" si="4"/>
        <v>3.5939793429267972</v>
      </c>
      <c r="AM9" s="62">
        <f t="shared" si="5"/>
        <v>267.59397934292679</v>
      </c>
      <c r="AN9" s="62">
        <f ca="1">AVERAGE(OFFSET($AM$3,0,0,'Données projet'!$E$10+1,1))-AVERAGE(OFFSET($H$3,0,0,'Données projet'!$E$10+1,1))</f>
        <v>148.40707092284572</v>
      </c>
      <c r="AO9" s="62">
        <f t="shared" si="36"/>
        <v>162.45539016632631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2.1228070175438596</v>
      </c>
      <c r="BD9" s="13">
        <f>IF('Données projet'!$A$88&gt;35,BD8+BC9-BL8,IF(A9&lt;'Données projet'!$A$88,$BA$205^A9,IF(A9='Données projet'!$A$88,'Données projet'!$B$88,BD8+BC9-BL8)))</f>
        <v>12.736842105263158</v>
      </c>
      <c r="BE9" s="14">
        <f>BD9*VLOOKUP('Données projet'!$B$11,Paramètres!$A$1:$I$89,3,0)*VLOOKUP('Données projet'!$B$11,Paramètres!$A$1:$I$89,5,0)</f>
        <v>6.2919999999999998</v>
      </c>
      <c r="BF9" s="14">
        <f t="shared" si="37"/>
        <v>2.3407863298509932</v>
      </c>
      <c r="BG9" s="22">
        <f t="shared" si="7"/>
        <v>15.035436191157146</v>
      </c>
      <c r="BH9" s="62">
        <f t="shared" si="8"/>
        <v>279.03543619115715</v>
      </c>
      <c r="BI9" s="62">
        <f ca="1">AVERAGE(OFFSET($BH$3,0,0,'Données projet'!$E$11+1,1))-AVERAGE(OFFSET($H$3,0,0,'Données projet'!$E$11+1,1))</f>
        <v>113.38017445149029</v>
      </c>
      <c r="BJ9" s="62">
        <f t="shared" si="38"/>
        <v>108.36144594421921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10.119999999999999</v>
      </c>
      <c r="N10" s="14">
        <f>IF('Données projet'!$A$36&gt;35,N9+M10-V9,IF(A10&lt;'Données projet'!$A$36,$K$205^A10,IF(A10='Données projet'!$A$36,'Données projet'!$B$36,N9+M10-V9)))</f>
        <v>4.7084042812912932</v>
      </c>
      <c r="O10" s="14">
        <f>N10*VLOOKUP('Données projet'!$B$9,Paramètres!$A$1:$I$89,3,0)*VLOOKUP('Données projet'!$B$9,Paramètres!$A$1:$I$89,5,0)</f>
        <v>2.6319979932418329</v>
      </c>
      <c r="P10" s="14">
        <f t="shared" si="33"/>
        <v>1.0837182330282291</v>
      </c>
      <c r="Q10" s="22">
        <f t="shared" si="2"/>
        <v>6.4715390940870243</v>
      </c>
      <c r="R10" s="62">
        <f t="shared" si="0"/>
        <v>271.69376131630924</v>
      </c>
      <c r="S10" s="62">
        <f ca="1">AVERAGE(OFFSET($R$3,0,0,'Données projet'!$E$9+1,1))-AVERAGE(OFFSET($H$3,0,0,'Données projet'!$E$9+1,1))</f>
        <v>313.92223852157559</v>
      </c>
      <c r="T10" s="62">
        <f t="shared" si="34"/>
        <v>394.03759949558702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3.2666666666666666</v>
      </c>
      <c r="AI10" s="14">
        <f>IF('Données projet'!$A$62&gt;35,AI9+AH10-AQ9,IF(A10&lt;'Données projet'!$A$62,$AF$205^A10,IF(A10='Données projet'!$A$62,'Données projet'!$B$62,AI9+AH10-AQ9)))</f>
        <v>2.9148715248495551</v>
      </c>
      <c r="AJ10" s="14">
        <f>AI10*VLOOKUP('Données projet'!$B$10,Paramètres!$A$1:$I$89,3,0)*VLOOKUP('Données projet'!$B$10,Paramètres!$A$1:$I$89,5,0)</f>
        <v>1.6673065122139454</v>
      </c>
      <c r="AK10" s="14">
        <f t="shared" si="35"/>
        <v>0.72397724009531839</v>
      </c>
      <c r="AL10" s="22">
        <f t="shared" si="4"/>
        <v>4.1648192019386343</v>
      </c>
      <c r="AM10" s="62">
        <f t="shared" si="5"/>
        <v>269.38704142416088</v>
      </c>
      <c r="AN10" s="62">
        <f ca="1">AVERAGE(OFFSET($AM$3,0,0,'Données projet'!$E$10+1,1))-AVERAGE(OFFSET($H$3,0,0,'Données projet'!$E$10+1,1))</f>
        <v>148.40707092284572</v>
      </c>
      <c r="AO10" s="62">
        <f t="shared" si="36"/>
        <v>162.45539016632631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2.1228070175438596</v>
      </c>
      <c r="BD10" s="13">
        <f>IF('Données projet'!$A$88&gt;35,BD9+BC10-BL9,IF(A10&lt;'Données projet'!$A$88,$BA$205^A10,IF(A10='Données projet'!$A$88,'Données projet'!$B$88,BD9+BC10-BL9)))</f>
        <v>14.859649122807017</v>
      </c>
      <c r="BE10" s="14">
        <f>BD10*VLOOKUP('Données projet'!$B$11,Paramètres!$A$1:$I$89,3,0)*VLOOKUP('Données projet'!$B$11,Paramètres!$A$1:$I$89,5,0)</f>
        <v>7.3406666666666665</v>
      </c>
      <c r="BF10" s="14">
        <f t="shared" si="37"/>
        <v>2.6823531545588746</v>
      </c>
      <c r="BG10" s="22">
        <f t="shared" si="7"/>
        <v>17.456759521967815</v>
      </c>
      <c r="BH10" s="62">
        <f t="shared" si="8"/>
        <v>282.67898174419003</v>
      </c>
      <c r="BI10" s="62">
        <f ca="1">AVERAGE(OFFSET($BH$3,0,0,'Données projet'!$E$11+1,1))-AVERAGE(OFFSET($H$3,0,0,'Données projet'!$E$11+1,1))</f>
        <v>113.38017445149029</v>
      </c>
      <c r="BJ10" s="62">
        <f t="shared" si="38"/>
        <v>108.36144594421921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10.119999999999999</v>
      </c>
      <c r="N11" s="14">
        <f>IF('Données projet'!$A$36&gt;35,N10+M11-V10,IF(A11&lt;'Données projet'!$A$36,$K$205^A11,IF(A11='Données projet'!$A$36,'Données projet'!$B$36,N10+M11-V10)))</f>
        <v>5.8748741374784039</v>
      </c>
      <c r="O11" s="14">
        <f>N11*VLOOKUP('Données projet'!$B$9,Paramètres!$A$1:$I$89,3,0)*VLOOKUP('Données projet'!$B$9,Paramètres!$A$1:$I$89,5,0)</f>
        <v>3.2840546428504278</v>
      </c>
      <c r="P11" s="14">
        <f t="shared" si="33"/>
        <v>1.3178084012525983</v>
      </c>
      <c r="Q11" s="22">
        <f t="shared" si="2"/>
        <v>8.0149114684794363</v>
      </c>
      <c r="R11" s="62">
        <f t="shared" si="0"/>
        <v>274.45935591292391</v>
      </c>
      <c r="S11" s="62">
        <f ca="1">AVERAGE(OFFSET($R$3,0,0,'Données projet'!$E$9+1,1))-AVERAGE(OFFSET($H$3,0,0,'Données projet'!$E$9+1,1))</f>
        <v>313.92223852157559</v>
      </c>
      <c r="T11" s="62">
        <f t="shared" si="34"/>
        <v>394.03759949558702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3.2666666666666666</v>
      </c>
      <c r="AI11" s="14">
        <f>IF('Données projet'!$A$62&gt;35,AI10+AH11-AQ10,IF(A11&lt;'Données projet'!$A$62,$AF$205^A11,IF(A11='Données projet'!$A$62,'Données projet'!$B$62,AI10+AH11-AQ10)))</f>
        <v>3.3962028350881157</v>
      </c>
      <c r="AJ11" s="14">
        <f>AI11*VLOOKUP('Données projet'!$B$10,Paramètres!$A$1:$I$89,3,0)*VLOOKUP('Données projet'!$B$10,Paramètres!$A$1:$I$89,5,0)</f>
        <v>1.9426280216704022</v>
      </c>
      <c r="AK11" s="14">
        <f t="shared" si="35"/>
        <v>0.82865386190031809</v>
      </c>
      <c r="AL11" s="22">
        <f t="shared" si="4"/>
        <v>4.8266492805523376</v>
      </c>
      <c r="AM11" s="62">
        <f t="shared" si="5"/>
        <v>271.27109372499677</v>
      </c>
      <c r="AN11" s="62">
        <f ca="1">AVERAGE(OFFSET($AM$3,0,0,'Données projet'!$E$10+1,1))-AVERAGE(OFFSET($H$3,0,0,'Données projet'!$E$10+1,1))</f>
        <v>148.40707092284572</v>
      </c>
      <c r="AO11" s="62">
        <f t="shared" si="36"/>
        <v>162.45539016632631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2.1228070175438596</v>
      </c>
      <c r="BD11" s="13">
        <f>IF('Données projet'!$A$88&gt;35,BD10+BC11-BL10,IF(A11&lt;'Données projet'!$A$88,$BA$205^A11,IF(A11='Données projet'!$A$88,'Données projet'!$B$88,BD10+BC11-BL10)))</f>
        <v>16.982456140350877</v>
      </c>
      <c r="BE11" s="14">
        <f>BD11*VLOOKUP('Données projet'!$B$11,Paramètres!$A$1:$I$89,3,0)*VLOOKUP('Données projet'!$B$11,Paramètres!$A$1:$I$89,5,0)</f>
        <v>8.3893333333333331</v>
      </c>
      <c r="BF11" s="14">
        <f t="shared" si="37"/>
        <v>3.01826689411988</v>
      </c>
      <c r="BG11" s="22">
        <f t="shared" si="7"/>
        <v>19.868237062814345</v>
      </c>
      <c r="BH11" s="62">
        <f t="shared" si="8"/>
        <v>286.31268150725879</v>
      </c>
      <c r="BI11" s="62">
        <f ca="1">AVERAGE(OFFSET($BH$3,0,0,'Données projet'!$E$11+1,1))-AVERAGE(OFFSET($H$3,0,0,'Données projet'!$E$11+1,1))</f>
        <v>113.38017445149029</v>
      </c>
      <c r="BJ11" s="62">
        <f t="shared" si="38"/>
        <v>108.36144594421921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10.119999999999999</v>
      </c>
      <c r="N12" s="14">
        <f>IF('Données projet'!$A$36&gt;35,N11+M12-V11,IF(A12&lt;'Données projet'!$A$36,$K$205^A12,IF(A12='Données projet'!$A$36,'Données projet'!$B$36,N11+M12-V11)))</f>
        <v>7.3303276586408614</v>
      </c>
      <c r="O12" s="14">
        <f>N12*VLOOKUP('Données projet'!$B$9,Paramètres!$A$1:$I$89,3,0)*VLOOKUP('Données projet'!$B$9,Paramètres!$A$1:$I$89,5,0)</f>
        <v>4.0976531611802418</v>
      </c>
      <c r="P12" s="14">
        <f t="shared" si="33"/>
        <v>1.6024635643153309</v>
      </c>
      <c r="Q12" s="22">
        <f t="shared" si="2"/>
        <v>9.927703296904788</v>
      </c>
      <c r="R12" s="62">
        <f t="shared" si="0"/>
        <v>277.59436996357147</v>
      </c>
      <c r="S12" s="62">
        <f ca="1">AVERAGE(OFFSET($R$3,0,0,'Données projet'!$E$9+1,1))-AVERAGE(OFFSET($H$3,0,0,'Données projet'!$E$9+1,1))</f>
        <v>313.92223852157559</v>
      </c>
      <c r="T12" s="62">
        <f t="shared" si="34"/>
        <v>394.03759949558702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3.2666666666666666</v>
      </c>
      <c r="AI12" s="14">
        <f>IF('Données projet'!$A$62&gt;35,AI11+AH12-AQ11,IF(A12&lt;'Données projet'!$A$62,$AF$205^A12,IF(A12='Données projet'!$A$62,'Données projet'!$B$62,AI11+AH12-AQ11)))</f>
        <v>3.9570161493329858</v>
      </c>
      <c r="AJ12" s="14">
        <f>AI12*VLOOKUP('Données projet'!$B$10,Paramètres!$A$1:$I$89,3,0)*VLOOKUP('Données projet'!$B$10,Paramètres!$A$1:$I$89,5,0)</f>
        <v>2.2634132374184679</v>
      </c>
      <c r="AK12" s="14">
        <f t="shared" si="35"/>
        <v>0.9484652069337226</v>
      </c>
      <c r="AL12" s="22">
        <f t="shared" si="4"/>
        <v>5.594021623913398</v>
      </c>
      <c r="AM12" s="62">
        <f t="shared" si="5"/>
        <v>273.26068829058011</v>
      </c>
      <c r="AN12" s="62">
        <f ca="1">AVERAGE(OFFSET($AM$3,0,0,'Données projet'!$E$10+1,1))-AVERAGE(OFFSET($H$3,0,0,'Données projet'!$E$10+1,1))</f>
        <v>148.40707092284572</v>
      </c>
      <c r="AO12" s="62">
        <f t="shared" si="36"/>
        <v>162.45539016632631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2.1228070175438596</v>
      </c>
      <c r="BD12" s="13">
        <f>IF('Données projet'!$A$88&gt;35,BD11+BC12-BL11,IF(A12&lt;'Données projet'!$A$88,$BA$205^A12,IF(A12='Données projet'!$A$88,'Données projet'!$B$88,BD11+BC12-BL11)))</f>
        <v>19.105263157894736</v>
      </c>
      <c r="BE12" s="14">
        <f>BD12*VLOOKUP('Données projet'!$B$11,Paramètres!$A$1:$I$89,3,0)*VLOOKUP('Données projet'!$B$11,Paramètres!$A$1:$I$89,5,0)</f>
        <v>9.4380000000000006</v>
      </c>
      <c r="BF12" s="14">
        <f t="shared" si="37"/>
        <v>3.3493151122923184</v>
      </c>
      <c r="BG12" s="22">
        <f t="shared" si="7"/>
        <v>22.271240487242455</v>
      </c>
      <c r="BH12" s="62">
        <f t="shared" si="8"/>
        <v>289.93790715390912</v>
      </c>
      <c r="BI12" s="62">
        <f ca="1">AVERAGE(OFFSET($BH$3,0,0,'Données projet'!$E$11+1,1))-AVERAGE(OFFSET($H$3,0,0,'Données projet'!$E$11+1,1))</f>
        <v>113.38017445149029</v>
      </c>
      <c r="BJ12" s="62">
        <f t="shared" si="38"/>
        <v>108.36144594421921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10.119999999999999</v>
      </c>
      <c r="N13" s="14">
        <f>IF('Données projet'!$A$36&gt;35,N12+M13-V12,IF(A13&lt;'Données projet'!$A$36,$K$205^A13,IF(A13='Données projet'!$A$36,'Données projet'!$B$36,N12+M13-V12)))</f>
        <v>9.1463582581700447</v>
      </c>
      <c r="O13" s="14">
        <f>N13*VLOOKUP('Données projet'!$B$9,Paramètres!$A$1:$I$89,3,0)*VLOOKUP('Données projet'!$B$9,Paramètres!$A$1:$I$89,5,0)</f>
        <v>5.1128142663170548</v>
      </c>
      <c r="P13" s="14">
        <f t="shared" si="33"/>
        <v>1.9486060891077752</v>
      </c>
      <c r="Q13" s="22">
        <f t="shared" si="2"/>
        <v>12.298640452364912</v>
      </c>
      <c r="R13" s="62">
        <f t="shared" si="0"/>
        <v>281.18752934125376</v>
      </c>
      <c r="S13" s="62">
        <f ca="1">AVERAGE(OFFSET($R$3,0,0,'Données projet'!$E$9+1,1))-AVERAGE(OFFSET($H$3,0,0,'Données projet'!$E$9+1,1))</f>
        <v>313.92223852157559</v>
      </c>
      <c r="T13" s="62">
        <f t="shared" si="34"/>
        <v>394.03759949558702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3.2666666666666666</v>
      </c>
      <c r="AI13" s="14">
        <f>IF('Données projet'!$A$62&gt;35,AI12+AH13-AQ12,IF(A13&lt;'Données projet'!$A$62,$AF$205^A13,IF(A13='Données projet'!$A$62,'Données projet'!$B$62,AI12+AH13-AQ12)))</f>
        <v>4.6104362920584503</v>
      </c>
      <c r="AJ13" s="14">
        <f>AI13*VLOOKUP('Données projet'!$B$10,Paramètres!$A$1:$I$89,3,0)*VLOOKUP('Données projet'!$B$10,Paramètres!$A$1:$I$89,5,0)</f>
        <v>2.6371695590574338</v>
      </c>
      <c r="AK13" s="14">
        <f t="shared" si="35"/>
        <v>1.0855995369415701</v>
      </c>
      <c r="AL13" s="22">
        <f t="shared" si="4"/>
        <v>6.4838228421982649</v>
      </c>
      <c r="AM13" s="62">
        <f t="shared" si="5"/>
        <v>275.37271173108712</v>
      </c>
      <c r="AN13" s="62">
        <f ca="1">AVERAGE(OFFSET($AM$3,0,0,'Données projet'!$E$10+1,1))-AVERAGE(OFFSET($H$3,0,0,'Données projet'!$E$10+1,1))</f>
        <v>148.40707092284572</v>
      </c>
      <c r="AO13" s="62">
        <f t="shared" si="36"/>
        <v>162.45539016632631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2.1228070175438596</v>
      </c>
      <c r="BD13" s="13">
        <f>IF('Données projet'!$A$88&gt;35,BD12+BC13-BL12,IF(A13&lt;'Données projet'!$A$88,$BA$205^A13,IF(A13='Données projet'!$A$88,'Données projet'!$B$88,BD12+BC13-BL12)))</f>
        <v>21.228070175438596</v>
      </c>
      <c r="BE13" s="14">
        <f>BD13*VLOOKUP('Données projet'!$B$11,Paramètres!$A$1:$I$89,3,0)*VLOOKUP('Données projet'!$B$11,Paramètres!$A$1:$I$89,5,0)</f>
        <v>10.486666666666666</v>
      </c>
      <c r="BF13" s="14">
        <f t="shared" si="37"/>
        <v>3.676100091436977</v>
      </c>
      <c r="BG13" s="22">
        <f t="shared" si="7"/>
        <v>24.666818770363847</v>
      </c>
      <c r="BH13" s="62">
        <f t="shared" si="8"/>
        <v>293.55570765925268</v>
      </c>
      <c r="BI13" s="62">
        <f ca="1">AVERAGE(OFFSET($BH$3,0,0,'Données projet'!$E$11+1,1))-AVERAGE(OFFSET($H$3,0,0,'Données projet'!$E$11+1,1))</f>
        <v>113.38017445149029</v>
      </c>
      <c r="BJ13" s="62">
        <f t="shared" si="38"/>
        <v>108.36144594421921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10.119999999999999</v>
      </c>
      <c r="N14" s="14">
        <f>IF('Données projet'!$A$36&gt;35,N13+M14-V13,IF(A14&lt;'Données projet'!$A$36,$K$205^A14,IF(A14='Données projet'!$A$36,'Données projet'!$B$36,N13+M14-V13)))</f>
        <v>11.41229605039323</v>
      </c>
      <c r="O14" s="14">
        <f>N14*VLOOKUP('Données projet'!$B$9,Paramètres!$A$1:$I$89,3,0)*VLOOKUP('Données projet'!$B$9,Paramètres!$A$1:$I$89,5,0)</f>
        <v>6.379473492169816</v>
      </c>
      <c r="P14" s="14">
        <f t="shared" si="33"/>
        <v>2.3695176446212898</v>
      </c>
      <c r="Q14" s="22">
        <f t="shared" si="2"/>
        <v>15.237826229911176</v>
      </c>
      <c r="R14" s="62">
        <f t="shared" si="0"/>
        <v>285.34893734102229</v>
      </c>
      <c r="S14" s="62">
        <f ca="1">AVERAGE(OFFSET($R$3,0,0,'Données projet'!$E$9+1,1))-AVERAGE(OFFSET($H$3,0,0,'Données projet'!$E$9+1,1))</f>
        <v>313.92223852157559</v>
      </c>
      <c r="T14" s="62">
        <f t="shared" si="34"/>
        <v>394.03759949558702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3.2666666666666666</v>
      </c>
      <c r="AI14" s="14">
        <f>IF('Données projet'!$A$62&gt;35,AI13+AH14-AQ13,IF(A14&lt;'Données projet'!$A$62,$AF$205^A14,IF(A14='Données projet'!$A$62,'Données projet'!$B$62,AI13+AH14-AQ13)))</f>
        <v>5.3717553835894032</v>
      </c>
      <c r="AJ14" s="14">
        <f>AI14*VLOOKUP('Données projet'!$B$10,Paramètres!$A$1:$I$89,3,0)*VLOOKUP('Données projet'!$B$10,Paramètres!$A$1:$I$89,5,0)</f>
        <v>3.0726440794131387</v>
      </c>
      <c r="AK14" s="14">
        <f t="shared" si="35"/>
        <v>1.2425615046204908</v>
      </c>
      <c r="AL14" s="22">
        <f t="shared" si="4"/>
        <v>7.515649725525237</v>
      </c>
      <c r="AM14" s="62">
        <f t="shared" si="5"/>
        <v>277.62676083663638</v>
      </c>
      <c r="AN14" s="62">
        <f ca="1">AVERAGE(OFFSET($AM$3,0,0,'Données projet'!$E$10+1,1))-AVERAGE(OFFSET($H$3,0,0,'Données projet'!$E$10+1,1))</f>
        <v>148.40707092284572</v>
      </c>
      <c r="AO14" s="62">
        <f t="shared" si="36"/>
        <v>162.45539016632631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2.1228070175438596</v>
      </c>
      <c r="BD14" s="13">
        <f>IF('Données projet'!$A$88&gt;35,BD13+BC14-BL13,IF(A14&lt;'Données projet'!$A$88,$BA$205^A14,IF(A14='Données projet'!$A$88,'Données projet'!$B$88,BD13+BC14-BL13)))</f>
        <v>23.350877192982455</v>
      </c>
      <c r="BE14" s="14">
        <f>BD14*VLOOKUP('Données projet'!$B$11,Paramètres!$A$1:$I$89,3,0)*VLOOKUP('Données projet'!$B$11,Paramètres!$A$1:$I$89,5,0)</f>
        <v>11.535333333333334</v>
      </c>
      <c r="BF14" s="14">
        <f t="shared" si="37"/>
        <v>3.9990966869483815</v>
      </c>
      <c r="BG14" s="22">
        <f t="shared" si="7"/>
        <v>27.055798951990653</v>
      </c>
      <c r="BH14" s="62">
        <f t="shared" si="8"/>
        <v>297.1669100631018</v>
      </c>
      <c r="BI14" s="62">
        <f ca="1">AVERAGE(OFFSET($BH$3,0,0,'Données projet'!$E$11+1,1))-AVERAGE(OFFSET($H$3,0,0,'Données projet'!$E$11+1,1))</f>
        <v>113.38017445149029</v>
      </c>
      <c r="BJ14" s="62">
        <f t="shared" si="38"/>
        <v>108.36144594421921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10.119999999999999</v>
      </c>
      <c r="N15" s="14">
        <f>IF('Données projet'!$A$36&gt;35,N14+M15-V14,IF(A15&lt;'Données projet'!$A$36,$K$205^A15,IF(A15='Données projet'!$A$36,'Données projet'!$B$36,N14+M15-V14)))</f>
        <v>14.239601977703286</v>
      </c>
      <c r="O15" s="14">
        <f>N15*VLOOKUP('Données projet'!$B$9,Paramètres!$A$1:$I$89,3,0)*VLOOKUP('Données projet'!$B$9,Paramètres!$A$1:$I$89,5,0)</f>
        <v>7.9599375055361374</v>
      </c>
      <c r="P15" s="14">
        <f t="shared" si="33"/>
        <v>2.8813488265052238</v>
      </c>
      <c r="Q15" s="22">
        <f t="shared" si="2"/>
        <v>18.88190702830537</v>
      </c>
      <c r="R15" s="62">
        <f t="shared" si="0"/>
        <v>290.21524036163868</v>
      </c>
      <c r="S15" s="62">
        <f ca="1">AVERAGE(OFFSET($R$3,0,0,'Données projet'!$E$9+1,1))-AVERAGE(OFFSET($H$3,0,0,'Données projet'!$E$9+1,1))</f>
        <v>313.92223852157559</v>
      </c>
      <c r="T15" s="62">
        <f t="shared" si="34"/>
        <v>394.03759949558702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3.2666666666666666</v>
      </c>
      <c r="AI15" s="14">
        <f>IF('Données projet'!$A$62&gt;35,AI14+AH15-AQ14,IF(A15&lt;'Données projet'!$A$62,$AF$205^A15,IF(A15='Données projet'!$A$62,'Données projet'!$B$62,AI14+AH15-AQ14)))</f>
        <v>6.2587907246058743</v>
      </c>
      <c r="AJ15" s="14">
        <f>AI15*VLOOKUP('Données projet'!$B$10,Paramètres!$A$1:$I$89,3,0)*VLOOKUP('Données projet'!$B$10,Paramètres!$A$1:$I$89,5,0)</f>
        <v>3.5800282944745603</v>
      </c>
      <c r="AK15" s="14">
        <f t="shared" si="35"/>
        <v>1.4222178991661063</v>
      </c>
      <c r="AL15" s="22">
        <f t="shared" si="4"/>
        <v>8.7122454539241598</v>
      </c>
      <c r="AM15" s="62">
        <f t="shared" si="5"/>
        <v>280.04557878725745</v>
      </c>
      <c r="AN15" s="62">
        <f ca="1">AVERAGE(OFFSET($AM$3,0,0,'Données projet'!$E$10+1,1))-AVERAGE(OFFSET($H$3,0,0,'Données projet'!$E$10+1,1))</f>
        <v>148.40707092284572</v>
      </c>
      <c r="AO15" s="62">
        <f t="shared" si="36"/>
        <v>162.45539016632631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2.1228070175438596</v>
      </c>
      <c r="BD15" s="13">
        <f>IF('Données projet'!$A$88&gt;35,BD14+BC15-BL14,IF(A15&lt;'Données projet'!$A$88,$BA$205^A15,IF(A15='Données projet'!$A$88,'Données projet'!$B$88,BD14+BC15-BL14)))</f>
        <v>25.473684210526315</v>
      </c>
      <c r="BE15" s="14">
        <f>BD15*VLOOKUP('Données projet'!$B$11,Paramètres!$A$1:$I$89,3,0)*VLOOKUP('Données projet'!$B$11,Paramètres!$A$1:$I$89,5,0)</f>
        <v>12.584</v>
      </c>
      <c r="BF15" s="14">
        <f t="shared" si="37"/>
        <v>4.3186884648505384</v>
      </c>
      <c r="BG15" s="22">
        <f t="shared" si="7"/>
        <v>29.438849076281354</v>
      </c>
      <c r="BH15" s="62">
        <f t="shared" si="8"/>
        <v>300.77218240961469</v>
      </c>
      <c r="BI15" s="62">
        <f ca="1">AVERAGE(OFFSET($BH$3,0,0,'Données projet'!$E$11+1,1))-AVERAGE(OFFSET($H$3,0,0,'Données projet'!$E$11+1,1))</f>
        <v>113.38017445149029</v>
      </c>
      <c r="BJ15" s="62">
        <f t="shared" si="38"/>
        <v>108.36144594421921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10.119999999999999</v>
      </c>
      <c r="N16" s="14">
        <f>IF('Données projet'!$A$36&gt;35,N15+M16-V15,IF(A16&lt;'Données projet'!$A$36,$K$205^A16,IF(A16='Données projet'!$A$36,'Données projet'!$B$36,N15+M16-V15)))</f>
        <v>17.767350547870222</v>
      </c>
      <c r="O16" s="14">
        <f>N16*VLOOKUP('Données projet'!$B$9,Paramètres!$A$1:$I$89,3,0)*VLOOKUP('Données projet'!$B$9,Paramètres!$A$1:$I$89,5,0)</f>
        <v>9.9319489562594541</v>
      </c>
      <c r="P16" s="14">
        <f t="shared" si="33"/>
        <v>3.5037388638352742</v>
      </c>
      <c r="Q16" s="22">
        <f t="shared" si="2"/>
        <v>23.400489619998314</v>
      </c>
      <c r="R16" s="62">
        <f t="shared" si="0"/>
        <v>295.95604517555387</v>
      </c>
      <c r="S16" s="62">
        <f ca="1">AVERAGE(OFFSET($R$3,0,0,'Données projet'!$E$9+1,1))-AVERAGE(OFFSET($H$3,0,0,'Données projet'!$E$9+1,1))</f>
        <v>313.92223852157559</v>
      </c>
      <c r="T16" s="62">
        <f t="shared" si="34"/>
        <v>394.03759949558702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3.2666666666666666</v>
      </c>
      <c r="AI16" s="14">
        <f>IF('Données projet'!$A$62&gt;35,AI15+AH16-AQ15,IF(A16&lt;'Données projet'!$A$62,$AF$205^A16,IF(A16='Données projet'!$A$62,'Données projet'!$B$62,AI15+AH16-AQ15)))</f>
        <v>7.2923017779408861</v>
      </c>
      <c r="AJ16" s="14">
        <f>AI16*VLOOKUP('Données projet'!$B$10,Paramètres!$A$1:$I$89,3,0)*VLOOKUP('Données projet'!$B$10,Paramètres!$A$1:$I$89,5,0)</f>
        <v>4.1711966169821872</v>
      </c>
      <c r="AK16" s="14">
        <f t="shared" si="35"/>
        <v>1.6278500059650871</v>
      </c>
      <c r="AL16" s="22">
        <f t="shared" si="4"/>
        <v>10.100006201633169</v>
      </c>
      <c r="AM16" s="62">
        <f t="shared" si="5"/>
        <v>282.65556175718871</v>
      </c>
      <c r="AN16" s="62">
        <f ca="1">AVERAGE(OFFSET($AM$3,0,0,'Données projet'!$E$10+1,1))-AVERAGE(OFFSET($H$3,0,0,'Données projet'!$E$10+1,1))</f>
        <v>148.40707092284572</v>
      </c>
      <c r="AO16" s="62">
        <f t="shared" si="36"/>
        <v>162.45539016632631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2.1228070175438596</v>
      </c>
      <c r="BD16" s="13">
        <f>IF('Données projet'!$A$88&gt;35,BD15+BC16-BL15,IF(A16&lt;'Données projet'!$A$88,$BA$205^A16,IF(A16='Données projet'!$A$88,'Données projet'!$B$88,BD15+BC16-BL15)))</f>
        <v>27.596491228070175</v>
      </c>
      <c r="BE16" s="14">
        <f>BD16*VLOOKUP('Données projet'!$B$11,Paramètres!$A$1:$I$89,3,0)*VLOOKUP('Données projet'!$B$11,Paramètres!$A$1:$I$89,5,0)</f>
        <v>13.632666666666667</v>
      </c>
      <c r="BF16" s="14">
        <f t="shared" si="37"/>
        <v>4.6351914180712743</v>
      </c>
      <c r="BG16" s="22">
        <f t="shared" si="7"/>
        <v>31.816519497585247</v>
      </c>
      <c r="BH16" s="62">
        <f t="shared" si="8"/>
        <v>304.3720750531408</v>
      </c>
      <c r="BI16" s="62">
        <f ca="1">AVERAGE(OFFSET($BH$3,0,0,'Données projet'!$E$11+1,1))-AVERAGE(OFFSET($H$3,0,0,'Données projet'!$E$11+1,1))</f>
        <v>113.38017445149029</v>
      </c>
      <c r="BJ16" s="62">
        <f t="shared" si="38"/>
        <v>108.36144594421921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10.119999999999999</v>
      </c>
      <c r="N17" s="14">
        <f>IF('Données projet'!$A$36&gt;35,N16+M17-V16,IF(A17&lt;'Données projet'!$A$36,$K$205^A17,IF(A17='Données projet'!$A$36,'Données projet'!$B$36,N16+M17-V16)))</f>
        <v>22.169070876082184</v>
      </c>
      <c r="O17" s="14">
        <f>N17*VLOOKUP('Données projet'!$B$9,Paramètres!$A$1:$I$89,3,0)*VLOOKUP('Données projet'!$B$9,Paramètres!$A$1:$I$89,5,0)</f>
        <v>12.392510619729942</v>
      </c>
      <c r="P17" s="14">
        <f t="shared" si="33"/>
        <v>4.260569186563723</v>
      </c>
      <c r="Q17" s="22">
        <f t="shared" si="2"/>
        <v>29.004113995961465</v>
      </c>
      <c r="R17" s="62">
        <f t="shared" si="0"/>
        <v>302.78189177373923</v>
      </c>
      <c r="S17" s="62">
        <f ca="1">AVERAGE(OFFSET($R$3,0,0,'Données projet'!$E$9+1,1))-AVERAGE(OFFSET($H$3,0,0,'Données projet'!$E$9+1,1))</f>
        <v>313.92223852157559</v>
      </c>
      <c r="T17" s="62">
        <f t="shared" si="34"/>
        <v>394.03759949558702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3.2666666666666666</v>
      </c>
      <c r="AI17" s="14">
        <f>IF('Données projet'!$A$62&gt;35,AI16+AH17-AQ16,IF(A17&lt;'Données projet'!$A$62,$AF$205^A17,IF(A17='Données projet'!$A$62,'Données projet'!$B$62,AI16+AH17-AQ16)))</f>
        <v>8.4964760063787708</v>
      </c>
      <c r="AJ17" s="14">
        <f>AI17*VLOOKUP('Données projet'!$B$10,Paramètres!$A$1:$I$89,3,0)*VLOOKUP('Données projet'!$B$10,Paramètres!$A$1:$I$89,5,0)</f>
        <v>4.8599842756486566</v>
      </c>
      <c r="AK17" s="14">
        <f t="shared" si="35"/>
        <v>1.8632135367402254</v>
      </c>
      <c r="AL17" s="22">
        <f t="shared" si="4"/>
        <v>11.709569523243969</v>
      </c>
      <c r="AM17" s="62">
        <f t="shared" si="5"/>
        <v>285.48734730102171</v>
      </c>
      <c r="AN17" s="62">
        <f ca="1">AVERAGE(OFFSET($AM$3,0,0,'Données projet'!$E$10+1,1))-AVERAGE(OFFSET($H$3,0,0,'Données projet'!$E$10+1,1))</f>
        <v>148.40707092284572</v>
      </c>
      <c r="AO17" s="62">
        <f t="shared" si="36"/>
        <v>162.45539016632631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2.1228070175438596</v>
      </c>
      <c r="BD17" s="13">
        <f>IF('Données projet'!$A$88&gt;35,BD16+BC17-BL16,IF(A17&lt;'Données projet'!$A$88,$BA$205^A17,IF(A17='Données projet'!$A$88,'Données projet'!$B$88,BD16+BC17-BL16)))</f>
        <v>29.719298245614034</v>
      </c>
      <c r="BE17" s="14">
        <f>BD17*VLOOKUP('Données projet'!$B$11,Paramètres!$A$1:$I$89,3,0)*VLOOKUP('Données projet'!$B$11,Paramètres!$A$1:$I$89,5,0)</f>
        <v>14.681333333333333</v>
      </c>
      <c r="BF17" s="14">
        <f t="shared" si="37"/>
        <v>4.9488701636369701</v>
      </c>
      <c r="BG17" s="22">
        <f t="shared" si="7"/>
        <v>34.189271090556609</v>
      </c>
      <c r="BH17" s="62">
        <f t="shared" si="8"/>
        <v>307.96704886833436</v>
      </c>
      <c r="BI17" s="62">
        <f ca="1">AVERAGE(OFFSET($BH$3,0,0,'Données projet'!$E$11+1,1))-AVERAGE(OFFSET($H$3,0,0,'Données projet'!$E$11+1,1))</f>
        <v>113.38017445149029</v>
      </c>
      <c r="BJ17" s="62">
        <f t="shared" si="38"/>
        <v>108.36144594421921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10.119999999999999</v>
      </c>
      <c r="N18" s="14">
        <f>IF('Données projet'!$A$36&gt;35,N17+M18-V17,IF(A18&lt;'Données projet'!$A$36,$K$205^A18,IF(A18='Données projet'!$A$36,'Données projet'!$B$36,N17+M18-V17)))</f>
        <v>27.661282540950811</v>
      </c>
      <c r="O18" s="14">
        <f>N18*VLOOKUP('Données projet'!$B$9,Paramètres!$A$1:$I$89,3,0)*VLOOKUP('Données projet'!$B$9,Paramètres!$A$1:$I$89,5,0)</f>
        <v>15.462656940391502</v>
      </c>
      <c r="P18" s="14">
        <f t="shared" si="33"/>
        <v>5.1808797684271957</v>
      </c>
      <c r="Q18" s="22">
        <f t="shared" si="2"/>
        <v>35.954159767859231</v>
      </c>
      <c r="R18" s="62">
        <f t="shared" si="0"/>
        <v>310.95415976785921</v>
      </c>
      <c r="S18" s="62">
        <f ca="1">AVERAGE(OFFSET($R$3,0,0,'Données projet'!$E$9+1,1))-AVERAGE(OFFSET($H$3,0,0,'Données projet'!$E$9+1,1))</f>
        <v>313.92223852157559</v>
      </c>
      <c r="T18" s="62">
        <f t="shared" si="34"/>
        <v>394.03759949558702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3.2666666666666666</v>
      </c>
      <c r="AI18" s="14">
        <f>IF('Données projet'!$A$62&gt;35,AI17+AH18-AQ17,IF(A18&lt;'Données projet'!$A$62,$AF$205^A18,IF(A18='Données projet'!$A$62,'Données projet'!$B$62,AI17+AH18-AQ17)))</f>
        <v>9.8994949366116778</v>
      </c>
      <c r="AJ18" s="14">
        <f>AI18*VLOOKUP('Données projet'!$B$10,Paramètres!$A$1:$I$89,3,0)*VLOOKUP('Données projet'!$B$10,Paramètres!$A$1:$I$89,5,0)</f>
        <v>5.6625111037418803</v>
      </c>
      <c r="AK18" s="14">
        <f t="shared" si="35"/>
        <v>2.1326072247263763</v>
      </c>
      <c r="AL18" s="22">
        <f t="shared" si="4"/>
        <v>13.576497755415547</v>
      </c>
      <c r="AM18" s="62">
        <f t="shared" si="5"/>
        <v>288.57649775541557</v>
      </c>
      <c r="AN18" s="62">
        <f ca="1">AVERAGE(OFFSET($AM$3,0,0,'Données projet'!$E$10+1,1))-AVERAGE(OFFSET($H$3,0,0,'Données projet'!$E$10+1,1))</f>
        <v>148.40707092284572</v>
      </c>
      <c r="AO18" s="62">
        <f t="shared" si="36"/>
        <v>162.45539016632631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2.1228070175438596</v>
      </c>
      <c r="BD18" s="13">
        <f>IF('Données projet'!$A$88&gt;35,BD17+BC18-BL17,IF(A18&lt;'Données projet'!$A$88,$BA$205^A18,IF(A18='Données projet'!$A$88,'Données projet'!$B$88,BD17+BC18-BL17)))</f>
        <v>31.842105263157894</v>
      </c>
      <c r="BE18" s="14">
        <f>BD18*VLOOKUP('Données projet'!$B$11,Paramètres!$A$1:$I$89,3,0)*VLOOKUP('Données projet'!$B$11,Paramètres!$A$1:$I$89,5,0)</f>
        <v>15.73</v>
      </c>
      <c r="BF18" s="14">
        <f t="shared" si="37"/>
        <v>5.2599493740775589</v>
      </c>
      <c r="BG18" s="22">
        <f t="shared" si="7"/>
        <v>36.557495159851747</v>
      </c>
      <c r="BH18" s="62">
        <f t="shared" si="8"/>
        <v>311.55749515985173</v>
      </c>
      <c r="BI18" s="62">
        <f ca="1">AVERAGE(OFFSET($BH$3,0,0,'Données projet'!$E$11+1,1))-AVERAGE(OFFSET($H$3,0,0,'Données projet'!$E$11+1,1))</f>
        <v>113.38017445149029</v>
      </c>
      <c r="BJ18" s="62">
        <f t="shared" si="38"/>
        <v>108.36144594421921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10.119999999999999</v>
      </c>
      <c r="N19" s="14">
        <f>IF('Données projet'!$A$36&gt;35,N18+M19-V18,IF(A19&lt;'Données projet'!$A$36,$K$205^A19,IF(A19='Données projet'!$A$36,'Données projet'!$B$36,N18+M19-V18)))</f>
        <v>34.51414613121262</v>
      </c>
      <c r="O19" s="14">
        <f>N19*VLOOKUP('Données projet'!$B$9,Paramètres!$A$1:$I$89,3,0)*VLOOKUP('Données projet'!$B$9,Paramètres!$A$1:$I$89,5,0)</f>
        <v>19.293407687347855</v>
      </c>
      <c r="P19" s="14">
        <f t="shared" si="33"/>
        <v>6.2999834058666524</v>
      </c>
      <c r="Q19" s="22">
        <f t="shared" si="2"/>
        <v>44.575156154015268</v>
      </c>
      <c r="R19" s="62">
        <f t="shared" si="0"/>
        <v>320.79737837623748</v>
      </c>
      <c r="S19" s="62">
        <f ca="1">AVERAGE(OFFSET($R$3,0,0,'Données projet'!$E$9+1,1))-AVERAGE(OFFSET($H$3,0,0,'Données projet'!$E$9+1,1))</f>
        <v>313.92223852157559</v>
      </c>
      <c r="T19" s="62">
        <f t="shared" si="34"/>
        <v>394.03759949558702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3.2666666666666666</v>
      </c>
      <c r="AI19" s="14">
        <f>IF('Données projet'!$A$62&gt;35,AI18+AH19-AQ18,IF(A19&lt;'Données projet'!$A$62,$AF$205^A19,IF(A19='Données projet'!$A$62,'Données projet'!$B$62,AI18+AH19-AQ18)))</f>
        <v>11.534193697060555</v>
      </c>
      <c r="AJ19" s="14">
        <f>AI19*VLOOKUP('Données projet'!$B$10,Paramètres!$A$1:$I$89,3,0)*VLOOKUP('Données projet'!$B$10,Paramètres!$A$1:$I$89,5,0)</f>
        <v>6.5975587947186369</v>
      </c>
      <c r="AK19" s="14">
        <f t="shared" si="35"/>
        <v>2.440951337715207</v>
      </c>
      <c r="AL19" s="22">
        <f t="shared" si="4"/>
        <v>15.742071813988943</v>
      </c>
      <c r="AM19" s="62">
        <f t="shared" si="5"/>
        <v>291.96429403621119</v>
      </c>
      <c r="AN19" s="62">
        <f ca="1">AVERAGE(OFFSET($AM$3,0,0,'Données projet'!$E$10+1,1))-AVERAGE(OFFSET($H$3,0,0,'Données projet'!$E$10+1,1))</f>
        <v>148.40707092284572</v>
      </c>
      <c r="AO19" s="62">
        <f t="shared" si="36"/>
        <v>162.45539016632631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2.1228070175438596</v>
      </c>
      <c r="BD19" s="13">
        <f>IF('Données projet'!$A$88&gt;35,BD18+BC19-BL18,IF(A19&lt;'Données projet'!$A$88,$BA$205^A19,IF(A19='Données projet'!$A$88,'Données projet'!$B$88,BD18+BC19-BL18)))</f>
        <v>33.964912280701753</v>
      </c>
      <c r="BE19" s="14">
        <f>BD19*VLOOKUP('Données projet'!$B$11,Paramètres!$A$1:$I$89,3,0)*VLOOKUP('Données projet'!$B$11,Paramètres!$A$1:$I$89,5,0)</f>
        <v>16.778666666666666</v>
      </c>
      <c r="BF19" s="14">
        <f t="shared" si="37"/>
        <v>5.5686220708173533</v>
      </c>
      <c r="BG19" s="22">
        <f t="shared" si="7"/>
        <v>38.921527884451336</v>
      </c>
      <c r="BH19" s="62">
        <f t="shared" si="8"/>
        <v>315.14375010667356</v>
      </c>
      <c r="BI19" s="62">
        <f ca="1">AVERAGE(OFFSET($BH$3,0,0,'Données projet'!$E$11+1,1))-AVERAGE(OFFSET($H$3,0,0,'Données projet'!$E$11+1,1))</f>
        <v>113.38017445149029</v>
      </c>
      <c r="BJ19" s="62">
        <f t="shared" si="38"/>
        <v>108.36144594421921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10.119999999999999</v>
      </c>
      <c r="N20" s="14">
        <f>IF('Données projet'!$A$36&gt;35,N19+M20-V19,IF(A20&lt;'Données projet'!$A$36,$K$205^A20,IF(A20='Données projet'!$A$36,'Données projet'!$B$36,N19+M20-V19)))</f>
        <v>43.06475238099182</v>
      </c>
      <c r="O20" s="14">
        <f>N20*VLOOKUP('Données projet'!$B$9,Paramètres!$A$1:$I$89,3,0)*VLOOKUP('Données projet'!$B$9,Paramètres!$A$1:$I$89,5,0)</f>
        <v>24.073196580974429</v>
      </c>
      <c r="P20" s="14">
        <f t="shared" si="33"/>
        <v>7.6608206884222216</v>
      </c>
      <c r="Q20" s="22">
        <f t="shared" si="2"/>
        <v>55.270080077532498</v>
      </c>
      <c r="R20" s="62">
        <f t="shared" si="0"/>
        <v>332.71452452197695</v>
      </c>
      <c r="S20" s="62">
        <f ca="1">AVERAGE(OFFSET($R$3,0,0,'Données projet'!$E$9+1,1))-AVERAGE(OFFSET($H$3,0,0,'Données projet'!$E$9+1,1))</f>
        <v>313.92223852157559</v>
      </c>
      <c r="T20" s="62">
        <f t="shared" si="34"/>
        <v>394.03759949558702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3.2666666666666666</v>
      </c>
      <c r="AI20" s="14">
        <f>IF('Données projet'!$A$62&gt;35,AI19+AH20-AQ19,IF(A20&lt;'Données projet'!$A$62,$AF$205^A20,IF(A20='Données projet'!$A$62,'Données projet'!$B$62,AI19+AH20-AQ19)))</f>
        <v>13.438829464854145</v>
      </c>
      <c r="AJ20" s="14">
        <f>AI20*VLOOKUP('Données projet'!$B$10,Paramètres!$A$1:$I$89,3,0)*VLOOKUP('Données projet'!$B$10,Paramètres!$A$1:$I$89,5,0)</f>
        <v>7.6870104538965718</v>
      </c>
      <c r="AK20" s="14">
        <f t="shared" si="35"/>
        <v>2.7938775429489278</v>
      </c>
      <c r="AL20" s="22">
        <f t="shared" si="4"/>
        <v>18.254213261172577</v>
      </c>
      <c r="AM20" s="62">
        <f t="shared" si="5"/>
        <v>295.69865770561705</v>
      </c>
      <c r="AN20" s="62">
        <f ca="1">AVERAGE(OFFSET($AM$3,0,0,'Données projet'!$E$10+1,1))-AVERAGE(OFFSET($H$3,0,0,'Données projet'!$E$10+1,1))</f>
        <v>148.40707092284572</v>
      </c>
      <c r="AO20" s="62">
        <f t="shared" si="36"/>
        <v>162.45539016632631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2.1228070175438596</v>
      </c>
      <c r="BD20" s="13">
        <f>IF('Données projet'!$A$88&gt;35,BD19+BC20-BL19,IF(A20&lt;'Données projet'!$A$88,$BA$205^A20,IF(A20='Données projet'!$A$88,'Données projet'!$B$88,BD19+BC20-BL19)))</f>
        <v>36.087719298245617</v>
      </c>
      <c r="BE20" s="14">
        <f>BD20*VLOOKUP('Données projet'!$B$11,Paramètres!$A$1:$I$89,3,0)*VLOOKUP('Données projet'!$B$11,Paramètres!$A$1:$I$89,5,0)</f>
        <v>17.827333333333335</v>
      </c>
      <c r="BF20" s="14">
        <f t="shared" si="37"/>
        <v>5.8750557839018667</v>
      </c>
      <c r="BG20" s="22">
        <f t="shared" si="7"/>
        <v>41.281661045851308</v>
      </c>
      <c r="BH20" s="62">
        <f t="shared" si="8"/>
        <v>318.72610549029577</v>
      </c>
      <c r="BI20" s="62">
        <f ca="1">AVERAGE(OFFSET($BH$3,0,0,'Données projet'!$E$11+1,1))-AVERAGE(OFFSET($H$3,0,0,'Données projet'!$E$11+1,1))</f>
        <v>113.38017445149029</v>
      </c>
      <c r="BJ20" s="62">
        <f t="shared" si="38"/>
        <v>108.36144594421921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10.119999999999999</v>
      </c>
      <c r="N21" s="14">
        <f>IF('Données projet'!$A$36&gt;35,N20+M21-V20,IF(A21&lt;'Données projet'!$A$36,$K$205^A21,IF(A21='Données projet'!$A$36,'Données projet'!$B$36,N20+M21-V20)))</f>
        <v>53.733703583035215</v>
      </c>
      <c r="O21" s="14">
        <f>N21*VLOOKUP('Données projet'!$B$9,Paramètres!$A$1:$I$89,3,0)*VLOOKUP('Données projet'!$B$9,Paramètres!$A$1:$I$89,5,0)</f>
        <v>30.037140302916686</v>
      </c>
      <c r="P21" s="14">
        <f t="shared" si="33"/>
        <v>9.315607651522777</v>
      </c>
      <c r="Q21" s="22">
        <f t="shared" si="2"/>
        <v>68.539369353982067</v>
      </c>
      <c r="R21" s="62">
        <f t="shared" si="0"/>
        <v>347.20603602064875</v>
      </c>
      <c r="S21" s="62">
        <f ca="1">AVERAGE(OFFSET($R$3,0,0,'Données projet'!$E$9+1,1))-AVERAGE(OFFSET($H$3,0,0,'Données projet'!$E$9+1,1))</f>
        <v>313.92223852157559</v>
      </c>
      <c r="T21" s="62">
        <f t="shared" si="34"/>
        <v>394.03759949558702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3.2666666666666666</v>
      </c>
      <c r="AI21" s="14">
        <f>IF('Données projet'!$A$62&gt;35,AI20+AH21-AQ20,IF(A21&lt;'Données projet'!$A$62,$AF$205^A21,IF(A21='Données projet'!$A$62,'Données projet'!$B$62,AI20+AH21-AQ20)))</f>
        <v>15.657976806082051</v>
      </c>
      <c r="AJ21" s="14">
        <f>AI21*VLOOKUP('Données projet'!$B$10,Paramètres!$A$1:$I$89,3,0)*VLOOKUP('Données projet'!$B$10,Paramètres!$A$1:$I$89,5,0)</f>
        <v>8.956362733078933</v>
      </c>
      <c r="AK21" s="14">
        <f t="shared" si="35"/>
        <v>3.1978317651759176</v>
      </c>
      <c r="AL21" s="22">
        <f t="shared" si="4"/>
        <v>21.168555417793865</v>
      </c>
      <c r="AM21" s="62">
        <f t="shared" si="5"/>
        <v>299.83522208446055</v>
      </c>
      <c r="AN21" s="62">
        <f ca="1">AVERAGE(OFFSET($AM$3,0,0,'Données projet'!$E$10+1,1))-AVERAGE(OFFSET($H$3,0,0,'Données projet'!$E$10+1,1))</f>
        <v>148.40707092284572</v>
      </c>
      <c r="AO21" s="62">
        <f t="shared" si="36"/>
        <v>162.45539016632631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2.1228070175438596</v>
      </c>
      <c r="BD21" s="13">
        <f>IF('Données projet'!$A$88&gt;35,BD20+BC21-BL20,IF(A21&lt;'Données projet'!$A$88,$BA$205^A21,IF(A21='Données projet'!$A$88,'Données projet'!$B$88,BD20+BC21-BL20)))</f>
        <v>38.21052631578948</v>
      </c>
      <c r="BE21" s="14">
        <f>BD21*VLOOKUP('Données projet'!$B$11,Paramètres!$A$1:$I$89,3,0)*VLOOKUP('Données projet'!$B$11,Paramètres!$A$1:$I$89,5,0)</f>
        <v>18.876000000000005</v>
      </c>
      <c r="BF21" s="14">
        <f t="shared" si="37"/>
        <v>6.1793972205601504</v>
      </c>
      <c r="BG21" s="22">
        <f t="shared" si="7"/>
        <v>43.63815015914227</v>
      </c>
      <c r="BH21" s="62">
        <f t="shared" si="8"/>
        <v>322.30481682580898</v>
      </c>
      <c r="BI21" s="62">
        <f ca="1">AVERAGE(OFFSET($BH$3,0,0,'Données projet'!$E$11+1,1))-AVERAGE(OFFSET($H$3,0,0,'Données projet'!$E$11+1,1))</f>
        <v>113.38017445149029</v>
      </c>
      <c r="BJ21" s="62">
        <f t="shared" si="38"/>
        <v>108.36144594421921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10.119999999999999</v>
      </c>
      <c r="N22" s="14">
        <f>IF('Données projet'!$A$36&gt;35,N21+M22-V21,IF(A22&lt;'Données projet'!$A$36,$K$205^A22,IF(A22='Données projet'!$A$36,'Données projet'!$B$36,N21+M22-V21)))</f>
        <v>67.045802915702126</v>
      </c>
      <c r="O22" s="14">
        <f>N22*VLOOKUP('Données projet'!$B$9,Paramètres!$A$1:$I$89,3,0)*VLOOKUP('Données projet'!$B$9,Paramètres!$A$1:$I$89,5,0)</f>
        <v>37.478603829877493</v>
      </c>
      <c r="P22" s="14">
        <f t="shared" si="33"/>
        <v>11.3278393329661</v>
      </c>
      <c r="Q22" s="22">
        <f t="shared" si="2"/>
        <v>85.004555175285915</v>
      </c>
      <c r="R22" s="62">
        <f t="shared" si="0"/>
        <v>364.89344406417479</v>
      </c>
      <c r="S22" s="62">
        <f ca="1">AVERAGE(OFFSET($R$3,0,0,'Données projet'!$E$9+1,1))-AVERAGE(OFFSET($H$3,0,0,'Données projet'!$E$9+1,1))</f>
        <v>313.92223852157559</v>
      </c>
      <c r="T22" s="62">
        <f t="shared" si="34"/>
        <v>394.03759949558702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3.2666666666666666</v>
      </c>
      <c r="AI22" s="14">
        <f>IF('Données projet'!$A$62&gt;35,AI21+AH22-AQ21,IF(A22&lt;'Données projet'!$A$62,$AF$205^A22,IF(A22='Données projet'!$A$62,'Données projet'!$B$62,AI21+AH22-AQ21)))</f>
        <v>18.243570863146179</v>
      </c>
      <c r="AJ22" s="14">
        <f>AI22*VLOOKUP('Données projet'!$B$10,Paramètres!$A$1:$I$89,3,0)*VLOOKUP('Données projet'!$B$10,Paramètres!$A$1:$I$89,5,0)</f>
        <v>10.435322533719614</v>
      </c>
      <c r="AK22" s="14">
        <f t="shared" si="35"/>
        <v>3.6601919164912569</v>
      </c>
      <c r="AL22" s="22">
        <f t="shared" si="4"/>
        <v>24.549687667450598</v>
      </c>
      <c r="AM22" s="62">
        <f t="shared" si="5"/>
        <v>304.43857655633946</v>
      </c>
      <c r="AN22" s="62">
        <f ca="1">AVERAGE(OFFSET($AM$3,0,0,'Données projet'!$E$10+1,1))-AVERAGE(OFFSET($H$3,0,0,'Données projet'!$E$10+1,1))</f>
        <v>148.40707092284572</v>
      </c>
      <c r="AO22" s="62">
        <f t="shared" si="36"/>
        <v>162.45539016632631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2.1228070175438596</v>
      </c>
      <c r="BD22" s="13">
        <f>IF('Données projet'!$A$88&gt;35,BD21+BC22-BL21,IF(A22&lt;'Données projet'!$A$88,$BA$205^A22,IF(A22='Données projet'!$A$88,'Données projet'!$B$88,BD21+BC22-BL21)))</f>
        <v>40.333333333333343</v>
      </c>
      <c r="BE22" s="14">
        <f>BD22*VLOOKUP('Données projet'!$B$11,Paramètres!$A$1:$I$89,3,0)*VLOOKUP('Données projet'!$B$11,Paramètres!$A$1:$I$89,5,0)</f>
        <v>19.924666666666671</v>
      </c>
      <c r="BF22" s="14">
        <f t="shared" si="37"/>
        <v>6.4817758665658465</v>
      </c>
      <c r="BG22" s="22">
        <f t="shared" si="7"/>
        <v>45.99122074537997</v>
      </c>
      <c r="BH22" s="62">
        <f t="shared" si="8"/>
        <v>325.88010963426882</v>
      </c>
      <c r="BI22" s="62">
        <f ca="1">AVERAGE(OFFSET($BH$3,0,0,'Données projet'!$E$11+1,1))-AVERAGE(OFFSET($H$3,0,0,'Données projet'!$E$11+1,1))</f>
        <v>113.38017445149029</v>
      </c>
      <c r="BJ22" s="62">
        <f t="shared" si="38"/>
        <v>108.36144594421921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10.119999999999999</v>
      </c>
      <c r="N23" s="14">
        <f>IF('Données projet'!$A$36&gt;35,N22+M23-V22,IF(A23&lt;'Données projet'!$A$36,$K$205^A23,IF(A23='Données projet'!$A$36,'Données projet'!$B$36,N22+M23-V22)))</f>
        <v>83.655869386795359</v>
      </c>
      <c r="O23" s="14">
        <f>N23*VLOOKUP('Données projet'!$B$9,Paramètres!$A$1:$I$89,3,0)*VLOOKUP('Données projet'!$B$9,Paramètres!$A$1:$I$89,5,0)</f>
        <v>46.763630987218605</v>
      </c>
      <c r="P23" s="14">
        <f t="shared" si="33"/>
        <v>13.774726110595493</v>
      </c>
      <c r="Q23" s="22">
        <f t="shared" si="2"/>
        <v>105.43763861202622</v>
      </c>
      <c r="R23" s="62">
        <f t="shared" si="0"/>
        <v>386.54874972313735</v>
      </c>
      <c r="S23" s="62">
        <f ca="1">AVERAGE(OFFSET($R$3,0,0,'Données projet'!$E$9+1,1))-AVERAGE(OFFSET($H$3,0,0,'Données projet'!$E$9+1,1))</f>
        <v>313.92223852157559</v>
      </c>
      <c r="T23" s="62">
        <f t="shared" si="34"/>
        <v>394.03759949558702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3.2666666666666666</v>
      </c>
      <c r="AI23" s="14">
        <f>IF('Données projet'!$A$62&gt;35,AI22+AH23-AQ22,IF(A23&lt;'Données projet'!$A$62,$AF$205^A23,IF(A23='Données projet'!$A$62,'Données projet'!$B$62,AI22+AH23-AQ22)))</f>
        <v>21.256122803129674</v>
      </c>
      <c r="AJ23" s="14">
        <f>AI23*VLOOKUP('Données projet'!$B$10,Paramètres!$A$1:$I$89,3,0)*VLOOKUP('Données projet'!$B$10,Paramètres!$A$1:$I$89,5,0)</f>
        <v>12.158502243390174</v>
      </c>
      <c r="AK23" s="14">
        <f t="shared" si="35"/>
        <v>4.1894026482068405</v>
      </c>
      <c r="AL23" s="22">
        <f t="shared" si="4"/>
        <v>28.472601019531467</v>
      </c>
      <c r="AM23" s="62">
        <f t="shared" si="5"/>
        <v>309.5837121306426</v>
      </c>
      <c r="AN23" s="62">
        <f ca="1">AVERAGE(OFFSET($AM$3,0,0,'Données projet'!$E$10+1,1))-AVERAGE(OFFSET($H$3,0,0,'Données projet'!$E$10+1,1))</f>
        <v>148.40707092284572</v>
      </c>
      <c r="AO23" s="62">
        <f t="shared" si="36"/>
        <v>162.45539016632631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2.1228070175438596</v>
      </c>
      <c r="BD23" s="13">
        <f>IF('Données projet'!$A$88&gt;35,BD22+BC23-BL22,IF(A23&lt;'Données projet'!$A$88,$BA$205^A23,IF(A23='Données projet'!$A$88,'Données projet'!$B$88,BD22+BC23-BL22)))</f>
        <v>42.456140350877206</v>
      </c>
      <c r="BE23" s="14">
        <f>BD23*VLOOKUP('Données projet'!$B$11,Paramètres!$A$1:$I$89,3,0)*VLOOKUP('Données projet'!$B$11,Paramètres!$A$1:$I$89,5,0)</f>
        <v>20.973333333333343</v>
      </c>
      <c r="BF23" s="14">
        <f t="shared" si="37"/>
        <v>6.7823068077877489</v>
      </c>
      <c r="BG23" s="22">
        <f t="shared" si="7"/>
        <v>48.3410732457859</v>
      </c>
      <c r="BH23" s="62">
        <f t="shared" si="8"/>
        <v>329.45218435689702</v>
      </c>
      <c r="BI23" s="62">
        <f ca="1">AVERAGE(OFFSET($BH$3,0,0,'Données projet'!$E$11+1,1))-AVERAGE(OFFSET($H$3,0,0,'Données projet'!$E$11+1,1))</f>
        <v>113.38017445149029</v>
      </c>
      <c r="BJ23" s="62">
        <f t="shared" si="38"/>
        <v>108.36144594421921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10.119999999999999</v>
      </c>
      <c r="N24" s="14">
        <f>IF('Données projet'!$A$36&gt;35,N23+M24-V23,IF(A24&lt;'Données projet'!$A$36,$K$205^A24,IF(A24='Données projet'!$A$36,'Données projet'!$B$36,N23+M24-V23)))</f>
        <v>104.38094822519551</v>
      </c>
      <c r="O24" s="14">
        <f>N24*VLOOKUP('Données projet'!$B$9,Paramètres!$A$1:$I$89,3,0)*VLOOKUP('Données projet'!$B$9,Paramètres!$A$1:$I$89,5,0)</f>
        <v>58.348950057884295</v>
      </c>
      <c r="P24" s="14">
        <f t="shared" si="33"/>
        <v>16.750156304718573</v>
      </c>
      <c r="Q24" s="22">
        <f t="shared" si="2"/>
        <v>130.79761024819999</v>
      </c>
      <c r="R24" s="62">
        <f t="shared" si="0"/>
        <v>413.1309435815333</v>
      </c>
      <c r="S24" s="62">
        <f ca="1">AVERAGE(OFFSET($R$3,0,0,'Données projet'!$E$9+1,1))-AVERAGE(OFFSET($H$3,0,0,'Données projet'!$E$9+1,1))</f>
        <v>313.92223852157559</v>
      </c>
      <c r="T24" s="62">
        <f t="shared" si="34"/>
        <v>394.03759949558702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3.2666666666666666</v>
      </c>
      <c r="AI24" s="14">
        <f>IF('Données projet'!$A$62&gt;35,AI23+AH24-AQ23,IF(A24&lt;'Données projet'!$A$62,$AF$205^A24,IF(A24='Données projet'!$A$62,'Données projet'!$B$62,AI23+AH24-AQ23)))</f>
        <v>24.766135972560946</v>
      </c>
      <c r="AJ24" s="14">
        <f>AI24*VLOOKUP('Données projet'!$B$10,Paramètres!$A$1:$I$89,3,0)*VLOOKUP('Données projet'!$B$10,Paramètres!$A$1:$I$89,5,0)</f>
        <v>14.166229776304862</v>
      </c>
      <c r="AK24" s="14">
        <f t="shared" si="35"/>
        <v>4.795129585889959</v>
      </c>
      <c r="AL24" s="22">
        <f t="shared" si="4"/>
        <v>33.024367555822643</v>
      </c>
      <c r="AM24" s="62">
        <f t="shared" si="5"/>
        <v>315.35770088915598</v>
      </c>
      <c r="AN24" s="62">
        <f ca="1">AVERAGE(OFFSET($AM$3,0,0,'Données projet'!$E$10+1,1))-AVERAGE(OFFSET($H$3,0,0,'Données projet'!$E$10+1,1))</f>
        <v>148.40707092284572</v>
      </c>
      <c r="AO24" s="62">
        <f t="shared" si="36"/>
        <v>162.45539016632631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2.1228070175438596</v>
      </c>
      <c r="BD24" s="13">
        <f>IF('Données projet'!$A$88&gt;35,BD23+BC24-BL23,IF(A24&lt;'Données projet'!$A$88,$BA$205^A24,IF(A24='Données projet'!$A$88,'Données projet'!$B$88,BD23+BC24-BL23)))</f>
        <v>44.578947368421069</v>
      </c>
      <c r="BE24" s="14">
        <f>BD24*VLOOKUP('Données projet'!$B$11,Paramètres!$A$1:$I$89,3,0)*VLOOKUP('Données projet'!$B$11,Paramètres!$A$1:$I$89,5,0)</f>
        <v>22.022000000000006</v>
      </c>
      <c r="BF24" s="14">
        <f t="shared" si="37"/>
        <v>7.0810929713935051</v>
      </c>
      <c r="BG24" s="22">
        <f t="shared" si="7"/>
        <v>50.687886925177025</v>
      </c>
      <c r="BH24" s="62">
        <f t="shared" si="8"/>
        <v>333.02122025851031</v>
      </c>
      <c r="BI24" s="62">
        <f ca="1">AVERAGE(OFFSET($BH$3,0,0,'Données projet'!$E$11+1,1))-AVERAGE(OFFSET($H$3,0,0,'Données projet'!$E$11+1,1))</f>
        <v>113.38017445149029</v>
      </c>
      <c r="BJ24" s="62">
        <f t="shared" si="38"/>
        <v>108.36144594421921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10.119999999999999</v>
      </c>
      <c r="N25" s="14">
        <f>IF('Données projet'!$A$36&gt;35,N24+M25-V24,IF(A25&lt;'Données projet'!$A$36,$K$205^A25,IF(A25='Données projet'!$A$36,'Données projet'!$B$36,N24+M25-V24)))</f>
        <v>130.24050114182094</v>
      </c>
      <c r="O25" s="14">
        <f>N25*VLOOKUP('Données projet'!$B$9,Paramètres!$A$1:$I$89,3,0)*VLOOKUP('Données projet'!$B$9,Paramètres!$A$1:$I$89,5,0)</f>
        <v>72.804440138277911</v>
      </c>
      <c r="P25" s="14">
        <f t="shared" si="33"/>
        <v>20.368298721866509</v>
      </c>
      <c r="Q25" s="22">
        <f t="shared" si="2"/>
        <v>162.27585351475153</v>
      </c>
      <c r="R25" s="62">
        <f t="shared" si="0"/>
        <v>445.83140907030707</v>
      </c>
      <c r="S25" s="62">
        <f ca="1">AVERAGE(OFFSET($R$3,0,0,'Données projet'!$E$9+1,1))-AVERAGE(OFFSET($H$3,0,0,'Données projet'!$E$9+1,1))</f>
        <v>313.92223852157559</v>
      </c>
      <c r="T25" s="62">
        <f t="shared" si="34"/>
        <v>394.03759949558702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3.2666666666666666</v>
      </c>
      <c r="AI25" s="14">
        <f>IF('Données projet'!$A$62&gt;35,AI24+AH25-AQ24,IF(A25&lt;'Données projet'!$A$62,$AF$205^A25,IF(A25='Données projet'!$A$62,'Données projet'!$B$62,AI24+AH25-AQ24)))</f>
        <v>28.855755901121732</v>
      </c>
      <c r="AJ25" s="14">
        <f>AI25*VLOOKUP('Données projet'!$B$10,Paramètres!$A$1:$I$89,3,0)*VLOOKUP('Données projet'!$B$10,Paramètres!$A$1:$I$89,5,0)</f>
        <v>16.50549237544163</v>
      </c>
      <c r="AK25" s="14">
        <f t="shared" si="35"/>
        <v>5.4884358645543028</v>
      </c>
      <c r="AL25" s="22">
        <f t="shared" si="4"/>
        <v>38.306091684659577</v>
      </c>
      <c r="AM25" s="62">
        <f t="shared" si="5"/>
        <v>321.86164724021512</v>
      </c>
      <c r="AN25" s="62">
        <f ca="1">AVERAGE(OFFSET($AM$3,0,0,'Données projet'!$E$10+1,1))-AVERAGE(OFFSET($H$3,0,0,'Données projet'!$E$10+1,1))</f>
        <v>148.40707092284572</v>
      </c>
      <c r="AO25" s="62">
        <f t="shared" si="36"/>
        <v>162.45539016632631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2.1228070175438596</v>
      </c>
      <c r="BD25" s="13">
        <f>IF('Données projet'!$A$88&gt;35,BD24+BC25-BL24,IF(A25&lt;'Données projet'!$A$88,$BA$205^A25,IF(A25='Données projet'!$A$88,'Données projet'!$B$88,BD24+BC25-BL24)))</f>
        <v>46.701754385964932</v>
      </c>
      <c r="BE25" s="14">
        <f>BD25*VLOOKUP('Données projet'!$B$11,Paramètres!$A$1:$I$89,3,0)*VLOOKUP('Données projet'!$B$11,Paramètres!$A$1:$I$89,5,0)</f>
        <v>23.070666666666675</v>
      </c>
      <c r="BF25" s="14">
        <f t="shared" si="37"/>
        <v>7.3782269280619888</v>
      </c>
      <c r="BG25" s="22">
        <f t="shared" si="7"/>
        <v>53.031823010819089</v>
      </c>
      <c r="BH25" s="62">
        <f t="shared" si="8"/>
        <v>336.58737856637464</v>
      </c>
      <c r="BI25" s="62">
        <f ca="1">AVERAGE(OFFSET($BH$3,0,0,'Données projet'!$E$11+1,1))-AVERAGE(OFFSET($H$3,0,0,'Données projet'!$E$11+1,1))</f>
        <v>113.38017445149029</v>
      </c>
      <c r="BJ25" s="62">
        <f t="shared" si="38"/>
        <v>108.36144594421921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10.119999999999999</v>
      </c>
      <c r="N26" s="14">
        <f>IF('Données projet'!$A$36&gt;35,N25+M26-V25,IF(A26&lt;'Données projet'!$A$36,$K$205^A26,IF(A26='Données projet'!$A$36,'Données projet'!$B$36,N25+M26-V25)))</f>
        <v>162.50655340931482</v>
      </c>
      <c r="O26" s="14">
        <f>N26*VLOOKUP('Données projet'!$B$9,Paramètres!$A$1:$I$89,3,0)*VLOOKUP('Données projet'!$B$9,Paramètres!$A$1:$I$89,5,0)</f>
        <v>90.841163355806984</v>
      </c>
      <c r="P26" s="14">
        <f t="shared" si="33"/>
        <v>24.767983371374214</v>
      </c>
      <c r="Q26" s="22">
        <f t="shared" si="2"/>
        <v>201.35259721650723</v>
      </c>
      <c r="R26" s="62">
        <f t="shared" si="0"/>
        <v>486.13037499428503</v>
      </c>
      <c r="S26" s="62">
        <f ca="1">AVERAGE(OFFSET($R$3,0,0,'Données projet'!$E$9+1,1))-AVERAGE(OFFSET($H$3,0,0,'Données projet'!$E$9+1,1))</f>
        <v>313.92223852157559</v>
      </c>
      <c r="T26" s="62">
        <f t="shared" si="34"/>
        <v>394.03759949558702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3.2666666666666666</v>
      </c>
      <c r="AI26" s="14">
        <f>IF('Données projet'!$A$62&gt;35,AI25+AH26-AQ25,IF(A26&lt;'Données projet'!$A$62,$AF$205^A26,IF(A26='Données projet'!$A$62,'Données projet'!$B$62,AI25+AH26-AQ25)))</f>
        <v>33.620692769661026</v>
      </c>
      <c r="AJ26" s="14">
        <f>AI26*VLOOKUP('Données projet'!$B$10,Paramètres!$A$1:$I$89,3,0)*VLOOKUP('Données projet'!$B$10,Paramètres!$A$1:$I$89,5,0)</f>
        <v>19.231036264246107</v>
      </c>
      <c r="AK26" s="14">
        <f t="shared" si="35"/>
        <v>6.2819841882824177</v>
      </c>
      <c r="AL26" s="22">
        <f t="shared" si="4"/>
        <v>44.435177288153852</v>
      </c>
      <c r="AM26" s="62">
        <f t="shared" si="5"/>
        <v>329.21295506593162</v>
      </c>
      <c r="AN26" s="62">
        <f ca="1">AVERAGE(OFFSET($AM$3,0,0,'Données projet'!$E$10+1,1))-AVERAGE(OFFSET($H$3,0,0,'Données projet'!$E$10+1,1))</f>
        <v>148.40707092284572</v>
      </c>
      <c r="AO26" s="62">
        <f t="shared" si="36"/>
        <v>162.45539016632631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2.1228070175438596</v>
      </c>
      <c r="BD26" s="13">
        <f>IF('Données projet'!$A$88&gt;35,BD25+BC26-BL25,IF(A26&lt;'Données projet'!$A$88,$BA$205^A26,IF(A26='Données projet'!$A$88,'Données projet'!$B$88,BD25+BC26-BL25)))</f>
        <v>48.824561403508795</v>
      </c>
      <c r="BE26" s="14">
        <f>BD26*VLOOKUP('Données projet'!$B$11,Paramètres!$A$1:$I$89,3,0)*VLOOKUP('Données projet'!$B$11,Paramètres!$A$1:$I$89,5,0)</f>
        <v>24.119333333333344</v>
      </c>
      <c r="BF26" s="14">
        <f t="shared" si="37"/>
        <v>7.6737923572580362</v>
      </c>
      <c r="BG26" s="22">
        <f t="shared" si="7"/>
        <v>55.373027244446654</v>
      </c>
      <c r="BH26" s="62">
        <f t="shared" si="8"/>
        <v>340.1508050222244</v>
      </c>
      <c r="BI26" s="62">
        <f ca="1">AVERAGE(OFFSET($BH$3,0,0,'Données projet'!$E$11+1,1))-AVERAGE(OFFSET($H$3,0,0,'Données projet'!$E$11+1,1))</f>
        <v>113.38017445149029</v>
      </c>
      <c r="BJ26" s="62">
        <f t="shared" si="38"/>
        <v>108.36144594421921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10.119999999999999</v>
      </c>
      <c r="N27" s="14">
        <f>IF('Données projet'!$A$36&gt;35,N26+M27-V26,IF(A27&lt;'Données projet'!$A$36,$K$205^A27,IF(A27='Données projet'!$A$36,'Données projet'!$B$36,N26+M27-V26)))</f>
        <v>202.76626448341133</v>
      </c>
      <c r="O27" s="14">
        <f>N27*VLOOKUP('Données projet'!$B$9,Paramètres!$A$1:$I$89,3,0)*VLOOKUP('Données projet'!$B$9,Paramètres!$A$1:$I$89,5,0)</f>
        <v>113.34634184622693</v>
      </c>
      <c r="P27" s="14">
        <f t="shared" si="33"/>
        <v>30.118028445158924</v>
      </c>
      <c r="Q27" s="22">
        <f t="shared" si="2"/>
        <v>249.86711159083032</v>
      </c>
      <c r="R27" s="62">
        <f t="shared" si="0"/>
        <v>535.86711159083029</v>
      </c>
      <c r="S27" s="62">
        <f ca="1">AVERAGE(OFFSET($R$3,0,0,'Données projet'!$E$9+1,1))-AVERAGE(OFFSET($H$3,0,0,'Données projet'!$E$9+1,1))</f>
        <v>313.92223852157559</v>
      </c>
      <c r="T27" s="62">
        <f t="shared" si="34"/>
        <v>394.03759949558702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3.2666666666666666</v>
      </c>
      <c r="AI27" s="14">
        <f>IF('Données projet'!$A$62&gt;35,AI26+AH27-AQ26,IF(A27&lt;'Données projet'!$A$62,$AF$205^A27,IF(A27='Données projet'!$A$62,'Données projet'!$B$62,AI26+AH27-AQ26)))</f>
        <v>39.172461334412532</v>
      </c>
      <c r="AJ27" s="14">
        <f>AI27*VLOOKUP('Données projet'!$B$10,Paramètres!$A$1:$I$89,3,0)*VLOOKUP('Données projet'!$B$10,Paramètres!$A$1:$I$89,5,0)</f>
        <v>22.40664788328397</v>
      </c>
      <c r="AK27" s="14">
        <f t="shared" si="35"/>
        <v>7.1902681047426267</v>
      </c>
      <c r="AL27" s="22">
        <f t="shared" si="4"/>
        <v>51.547962012479651</v>
      </c>
      <c r="AM27" s="62">
        <f t="shared" si="5"/>
        <v>337.54796201247967</v>
      </c>
      <c r="AN27" s="62">
        <f ca="1">AVERAGE(OFFSET($AM$3,0,0,'Données projet'!$E$10+1,1))-AVERAGE(OFFSET($H$3,0,0,'Données projet'!$E$10+1,1))</f>
        <v>148.40707092284572</v>
      </c>
      <c r="AO27" s="62">
        <f t="shared" si="36"/>
        <v>162.45539016632631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2.1228070175438596</v>
      </c>
      <c r="BD27" s="13">
        <f>IF('Données projet'!$A$88&gt;35,BD26+BC27-BL26,IF(A27&lt;'Données projet'!$A$88,$BA$205^A27,IF(A27='Données projet'!$A$88,'Données projet'!$B$88,BD26+BC27-BL26)))</f>
        <v>50.947368421052659</v>
      </c>
      <c r="BE27" s="14">
        <f>BD27*VLOOKUP('Données projet'!$B$11,Paramètres!$A$1:$I$89,3,0)*VLOOKUP('Données projet'!$B$11,Paramètres!$A$1:$I$89,5,0)</f>
        <v>25.168000000000013</v>
      </c>
      <c r="BF27" s="14">
        <f t="shared" si="37"/>
        <v>7.9678652504863061</v>
      </c>
      <c r="BG27" s="22">
        <f t="shared" si="7"/>
        <v>57.711631977930331</v>
      </c>
      <c r="BH27" s="62">
        <f t="shared" si="8"/>
        <v>343.71163197793032</v>
      </c>
      <c r="BI27" s="62">
        <f ca="1">AVERAGE(OFFSET($BH$3,0,0,'Données projet'!$E$11+1,1))-AVERAGE(OFFSET($H$3,0,0,'Données projet'!$E$11+1,1))</f>
        <v>113.38017445149029</v>
      </c>
      <c r="BJ27" s="62">
        <f t="shared" si="38"/>
        <v>108.36144594421921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253</v>
      </c>
      <c r="L28" s="13">
        <f>VLOOKUP(A28,'Données projet'!$A$35:$I$55,9,0)</f>
        <v>10.119999999999999</v>
      </c>
      <c r="M28" s="13">
        <f t="array" ref="M28">INDEX(L:L,MIN(IF(ISNUMBER(L28:L224),ROW(L28:L224),"")))</f>
        <v>10.119999999999999</v>
      </c>
      <c r="N28" s="14">
        <f>IF('Données projet'!$A$36&gt;35,N27+M28-V27,IF(A28&lt;'Données projet'!$A$36,$K$205^A28,IF(A28='Données projet'!$A$36,'Données projet'!$B$36,N27+M28-V27)))</f>
        <v>253</v>
      </c>
      <c r="O28" s="14">
        <f>N28*VLOOKUP('Données projet'!$B$9,Paramètres!$A$1:$I$89,3,0)*VLOOKUP('Données projet'!$B$9,Paramètres!$A$1:$I$89,5,0)</f>
        <v>141.42699999999999</v>
      </c>
      <c r="P28" s="14">
        <f t="shared" si="33"/>
        <v>36.623717959686019</v>
      </c>
      <c r="Q28" s="22">
        <f t="shared" si="2"/>
        <v>310.10500044645312</v>
      </c>
      <c r="R28" s="62">
        <f t="shared" si="0"/>
        <v>597.3272226686754</v>
      </c>
      <c r="S28" s="62">
        <f ca="1">AVERAGE(OFFSET($R$3,0,0,'Données projet'!$E$9+1,1))-AVERAGE(OFFSET($H$3,0,0,'Données projet'!$E$9+1,1))</f>
        <v>313.92223852157559</v>
      </c>
      <c r="T28" s="62">
        <f t="shared" si="34"/>
        <v>394.03759949558702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59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0.27500000000000002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11.984267978275566</v>
      </c>
      <c r="AB28" s="23">
        <f>EXP(-LN(2)/2)*AB27+(1-EXP(-LN(2)/2))/(LN(2)/2)*V28*Y28*VLOOKUP('Données projet'!$B$9,Paramètres!$A$1:$I$89,3,0)*0.475*44/12</f>
        <v>18.671076702360185</v>
      </c>
      <c r="AC28" s="24">
        <f t="shared" si="3"/>
        <v>30.65534468063575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3.2666666666666666</v>
      </c>
      <c r="AI28" s="14">
        <f>IF('Données projet'!$A$62&gt;35,AI27+AH28-AQ27,IF(A28&lt;'Données projet'!$A$62,$AF$205^A28,IF(A28='Données projet'!$A$62,'Données projet'!$B$62,AI27+AH28-AQ27)))</f>
        <v>45.640990728803352</v>
      </c>
      <c r="AJ28" s="14">
        <f>AI28*VLOOKUP('Données projet'!$B$10,Paramètres!$A$1:$I$89,3,0)*VLOOKUP('Données projet'!$B$10,Paramètres!$A$1:$I$89,5,0)</f>
        <v>26.106646696875519</v>
      </c>
      <c r="AK28" s="14">
        <f t="shared" si="35"/>
        <v>8.2298767186509831</v>
      </c>
      <c r="AL28" s="22">
        <f t="shared" si="4"/>
        <v>59.802778282041977</v>
      </c>
      <c r="AM28" s="62">
        <f t="shared" si="5"/>
        <v>347.0250005042642</v>
      </c>
      <c r="AN28" s="62">
        <f ca="1">AVERAGE(OFFSET($AM$3,0,0,'Données projet'!$E$10+1,1))-AVERAGE(OFFSET($H$3,0,0,'Données projet'!$E$10+1,1))</f>
        <v>148.40707092284572</v>
      </c>
      <c r="AO28" s="62">
        <f t="shared" si="36"/>
        <v>162.45539016632631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2.1228070175438596</v>
      </c>
      <c r="BD28" s="13">
        <f>IF('Données projet'!$A$88&gt;35,BD27+BC28-BL27,IF(A28&lt;'Données projet'!$A$88,$BA$205^A28,IF(A28='Données projet'!$A$88,'Données projet'!$B$88,BD27+BC28-BL27)))</f>
        <v>53.070175438596522</v>
      </c>
      <c r="BE28" s="14">
        <f>BD28*VLOOKUP('Données projet'!$B$11,Paramètres!$A$1:$I$89,3,0)*VLOOKUP('Données projet'!$B$11,Paramètres!$A$1:$I$89,5,0)</f>
        <v>26.216666666666683</v>
      </c>
      <c r="BF28" s="14">
        <f t="shared" si="37"/>
        <v>8.2605149083518725</v>
      </c>
      <c r="BG28" s="22">
        <f t="shared" si="7"/>
        <v>60.047757909823986</v>
      </c>
      <c r="BH28" s="62">
        <f t="shared" si="8"/>
        <v>347.26998013204621</v>
      </c>
      <c r="BI28" s="62">
        <f ca="1">AVERAGE(OFFSET($BH$3,0,0,'Données projet'!$E$11+1,1))-AVERAGE(OFFSET($H$3,0,0,'Données projet'!$E$11+1,1))</f>
        <v>113.38017445149029</v>
      </c>
      <c r="BJ28" s="62">
        <f t="shared" si="38"/>
        <v>108.36144594421921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19.714285714285715</v>
      </c>
      <c r="N29" s="14">
        <f>IF('Données projet'!$A$36&gt;35,N28+M29-V28,IF(A29&lt;'Données projet'!$A$36,$K$205^A29,IF(A29='Données projet'!$A$36,'Données projet'!$B$36,N28+M29-V28)))</f>
        <v>213.71428571428572</v>
      </c>
      <c r="O29" s="14">
        <f>N29*VLOOKUP('Données projet'!$B$9,Paramètres!$A$1:$I$89,3,0)*VLOOKUP('Données projet'!$B$9,Paramètres!$A$1:$I$89,5,0)</f>
        <v>119.46628571428572</v>
      </c>
      <c r="P29" s="14">
        <f t="shared" si="33"/>
        <v>31.550486926257484</v>
      </c>
      <c r="Q29" s="22">
        <f t="shared" si="2"/>
        <v>263.02087901561271</v>
      </c>
      <c r="R29" s="62">
        <f t="shared" si="0"/>
        <v>551.46532346005711</v>
      </c>
      <c r="S29" s="62">
        <f ca="1">AVERAGE(OFFSET($R$3,0,0,'Données projet'!$E$9+1,1))-AVERAGE(OFFSET($H$3,0,0,'Données projet'!$E$9+1,1))</f>
        <v>313.92223852157559</v>
      </c>
      <c r="T29" s="62">
        <f t="shared" si="34"/>
        <v>394.03759949558702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11.656557540184359</v>
      </c>
      <c r="AB29" s="23">
        <f>EXP(-LN(2)/2)*AB28+(1-EXP(-LN(2)/2))/(LN(2)/2)*V29*Y29*VLOOKUP('Données projet'!$B$9,Paramètres!$A$1:$I$89,3,0)*0.475*44/12</f>
        <v>13.202444948293049</v>
      </c>
      <c r="AC29" s="24">
        <f t="shared" si="3"/>
        <v>24.859002488477408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3.2666666666666666</v>
      </c>
      <c r="AI29" s="14">
        <f>IF('Données projet'!$A$62&gt;35,AI28+AH29-AQ28,IF(A29&lt;'Données projet'!$A$62,$AF$205^A29,IF(A29='Données projet'!$A$62,'Données projet'!$B$62,AI28+AH29-AQ28)))</f>
        <v>53.177665220559817</v>
      </c>
      <c r="AJ29" s="14">
        <f>AI29*VLOOKUP('Données projet'!$B$10,Paramètres!$A$1:$I$89,3,0)*VLOOKUP('Données projet'!$B$10,Paramètres!$A$1:$I$89,5,0)</f>
        <v>30.417624506160216</v>
      </c>
      <c r="AK29" s="14">
        <f t="shared" si="35"/>
        <v>9.4197976789654003</v>
      </c>
      <c r="AL29" s="22">
        <f t="shared" si="4"/>
        <v>69.383510305760453</v>
      </c>
      <c r="AM29" s="62">
        <f t="shared" si="5"/>
        <v>357.82795475020492</v>
      </c>
      <c r="AN29" s="62">
        <f ca="1">AVERAGE(OFFSET($AM$3,0,0,'Données projet'!$E$10+1,1))-AVERAGE(OFFSET($H$3,0,0,'Données projet'!$E$10+1,1))</f>
        <v>148.40707092284572</v>
      </c>
      <c r="AO29" s="62">
        <f t="shared" si="36"/>
        <v>162.45539016632631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2.1228070175438596</v>
      </c>
      <c r="BD29" s="13">
        <f>IF('Données projet'!$A$88&gt;35,BD28+BC29-BL28,IF(A29&lt;'Données projet'!$A$88,$BA$205^A29,IF(A29='Données projet'!$A$88,'Données projet'!$B$88,BD28+BC29-BL28)))</f>
        <v>55.192982456140385</v>
      </c>
      <c r="BE29" s="14">
        <f>BD29*VLOOKUP('Données projet'!$B$11,Paramètres!$A$1:$I$89,3,0)*VLOOKUP('Données projet'!$B$11,Paramètres!$A$1:$I$89,5,0)</f>
        <v>27.265333333333352</v>
      </c>
      <c r="BF29" s="14">
        <f t="shared" si="37"/>
        <v>8.5518047736005514</v>
      </c>
      <c r="BG29" s="22">
        <f t="shared" si="7"/>
        <v>62.381515536243221</v>
      </c>
      <c r="BH29" s="62">
        <f t="shared" si="8"/>
        <v>350.82595998068768</v>
      </c>
      <c r="BI29" s="62">
        <f ca="1">AVERAGE(OFFSET($BH$3,0,0,'Données projet'!$E$11+1,1))-AVERAGE(OFFSET($H$3,0,0,'Données projet'!$E$11+1,1))</f>
        <v>113.38017445149029</v>
      </c>
      <c r="BJ29" s="62">
        <f t="shared" si="38"/>
        <v>108.36144594421921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19.714285714285715</v>
      </c>
      <c r="N30" s="14">
        <f>IF('Données projet'!$A$36&gt;35,N29+M30-V29,IF(A30&lt;'Données projet'!$A$36,$K$205^A30,IF(A30='Données projet'!$A$36,'Données projet'!$B$36,N29+M30-V29)))</f>
        <v>233.42857142857144</v>
      </c>
      <c r="O30" s="14">
        <f>N30*VLOOKUP('Données projet'!$B$9,Paramètres!$A$1:$I$89,3,0)*VLOOKUP('Données projet'!$B$9,Paramètres!$A$1:$I$89,5,0)</f>
        <v>130.48657142857144</v>
      </c>
      <c r="P30" s="14">
        <f t="shared" si="33"/>
        <v>34.108767245824239</v>
      </c>
      <c r="Q30" s="22">
        <f t="shared" si="2"/>
        <v>286.67021485790582</v>
      </c>
      <c r="R30" s="62">
        <f t="shared" si="0"/>
        <v>576.3368815245725</v>
      </c>
      <c r="S30" s="62">
        <f ca="1">AVERAGE(OFFSET($R$3,0,0,'Données projet'!$E$9+1,1))-AVERAGE(OFFSET($H$3,0,0,'Données projet'!$E$9+1,1))</f>
        <v>313.92223852157559</v>
      </c>
      <c r="T30" s="62">
        <f t="shared" si="34"/>
        <v>394.03759949558702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11.337808361256299</v>
      </c>
      <c r="AB30" s="23">
        <f>EXP(-LN(2)/2)*AB29+(1-EXP(-LN(2)/2))/(LN(2)/2)*V30*Y30*VLOOKUP('Données projet'!$B$9,Paramètres!$A$1:$I$89,3,0)*0.475*44/12</f>
        <v>9.3355383511800945</v>
      </c>
      <c r="AC30" s="24">
        <f t="shared" si="3"/>
        <v>20.673346712436391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3.2666666666666666</v>
      </c>
      <c r="AI30" s="14">
        <f>IF('Données projet'!$A$62&gt;35,AI29+AH30-AQ29,IF(A30&lt;'Données projet'!$A$62,$AF$205^A30,IF(A30='Données projet'!$A$62,'Données projet'!$B$62,AI29+AH30-AQ29)))</f>
        <v>61.958867087548001</v>
      </c>
      <c r="AJ30" s="14">
        <f>AI30*VLOOKUP('Données projet'!$B$10,Paramètres!$A$1:$I$89,3,0)*VLOOKUP('Données projet'!$B$10,Paramètres!$A$1:$I$89,5,0)</f>
        <v>35.440471974077461</v>
      </c>
      <c r="AK30" s="14">
        <f t="shared" si="35"/>
        <v>10.781763973639048</v>
      </c>
      <c r="AL30" s="22">
        <f t="shared" si="4"/>
        <v>80.503727608939599</v>
      </c>
      <c r="AM30" s="62">
        <f t="shared" si="5"/>
        <v>370.17039427560627</v>
      </c>
      <c r="AN30" s="62">
        <f ca="1">AVERAGE(OFFSET($AM$3,0,0,'Données projet'!$E$10+1,1))-AVERAGE(OFFSET($H$3,0,0,'Données projet'!$E$10+1,1))</f>
        <v>148.40707092284572</v>
      </c>
      <c r="AO30" s="62">
        <f t="shared" si="36"/>
        <v>162.45539016632631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2.1228070175438596</v>
      </c>
      <c r="BD30" s="13">
        <f>IF('Données projet'!$A$88&gt;35,BD29+BC30-BL29,IF(A30&lt;'Données projet'!$A$88,$BA$205^A30,IF(A30='Données projet'!$A$88,'Données projet'!$B$88,BD29+BC30-BL29)))</f>
        <v>57.315789473684248</v>
      </c>
      <c r="BE30" s="14">
        <f>BD30*VLOOKUP('Données projet'!$B$11,Paramètres!$A$1:$I$89,3,0)*VLOOKUP('Données projet'!$B$11,Paramètres!$A$1:$I$89,5,0)</f>
        <v>28.314000000000021</v>
      </c>
      <c r="BF30" s="14">
        <f t="shared" si="37"/>
        <v>8.8417931323944288</v>
      </c>
      <c r="BG30" s="22">
        <f t="shared" si="7"/>
        <v>64.713006372253673</v>
      </c>
      <c r="BH30" s="62">
        <f t="shared" si="8"/>
        <v>354.37967303892037</v>
      </c>
      <c r="BI30" s="62">
        <f ca="1">AVERAGE(OFFSET($BH$3,0,0,'Données projet'!$E$11+1,1))-AVERAGE(OFFSET($H$3,0,0,'Données projet'!$E$11+1,1))</f>
        <v>113.38017445149029</v>
      </c>
      <c r="BJ30" s="62">
        <f t="shared" si="38"/>
        <v>108.36144594421921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19.714285714285715</v>
      </c>
      <c r="N31" s="14">
        <f>IF('Données projet'!$A$36&gt;35,N30+M31-V30,IF(A31&lt;'Données projet'!$A$36,$K$205^A31,IF(A31='Données projet'!$A$36,'Données projet'!$B$36,N30+M31-V30)))</f>
        <v>253.14285714285717</v>
      </c>
      <c r="O31" s="14">
        <f>N31*VLOOKUP('Données projet'!$B$9,Paramètres!$A$1:$I$89,3,0)*VLOOKUP('Données projet'!$B$9,Paramètres!$A$1:$I$89,5,0)</f>
        <v>141.50685714285717</v>
      </c>
      <c r="P31" s="14">
        <f t="shared" si="33"/>
        <v>36.641989926907435</v>
      </c>
      <c r="Q31" s="22">
        <f t="shared" si="2"/>
        <v>310.27590864650665</v>
      </c>
      <c r="R31" s="62">
        <f t="shared" si="0"/>
        <v>601.16479753539556</v>
      </c>
      <c r="S31" s="62">
        <f ca="1">AVERAGE(OFFSET($R$3,0,0,'Données projet'!$E$9+1,1))-AVERAGE(OFFSET($H$3,0,0,'Données projet'!$E$9+1,1))</f>
        <v>313.92223852157559</v>
      </c>
      <c r="T31" s="62">
        <f t="shared" si="34"/>
        <v>394.03759949558702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11.027775395388316</v>
      </c>
      <c r="AB31" s="23">
        <f>EXP(-LN(2)/2)*AB30+(1-EXP(-LN(2)/2))/(LN(2)/2)*V31*Y31*VLOOKUP('Données projet'!$B$9,Paramètres!$A$1:$I$89,3,0)*0.475*44/12</f>
        <v>6.6012224741465264</v>
      </c>
      <c r="AC31" s="24">
        <f t="shared" si="3"/>
        <v>17.628997869534842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3.2666666666666666</v>
      </c>
      <c r="AI31" s="14">
        <f>IF('Données projet'!$A$62&gt;35,AI30+AH31-AQ30,IF(A31&lt;'Données projet'!$A$62,$AF$205^A31,IF(A31='Données projet'!$A$62,'Données projet'!$B$62,AI30+AH31-AQ30)))</f>
        <v>72.190104526970146</v>
      </c>
      <c r="AJ31" s="14">
        <f>AI31*VLOOKUP('Données projet'!$B$10,Paramètres!$A$1:$I$89,3,0)*VLOOKUP('Données projet'!$B$10,Paramètres!$A$1:$I$89,5,0)</f>
        <v>41.292739789426925</v>
      </c>
      <c r="AK31" s="14">
        <f t="shared" si="35"/>
        <v>12.34065086587173</v>
      </c>
      <c r="AL31" s="22">
        <f t="shared" si="4"/>
        <v>93.411488724645153</v>
      </c>
      <c r="AM31" s="62">
        <f t="shared" si="5"/>
        <v>384.30037761353401</v>
      </c>
      <c r="AN31" s="62">
        <f ca="1">AVERAGE(OFFSET($AM$3,0,0,'Données projet'!$E$10+1,1))-AVERAGE(OFFSET($H$3,0,0,'Données projet'!$E$10+1,1))</f>
        <v>148.40707092284572</v>
      </c>
      <c r="AO31" s="62">
        <f t="shared" si="36"/>
        <v>162.45539016632631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2.1228070175438596</v>
      </c>
      <c r="BD31" s="13">
        <f>IF('Données projet'!$A$88&gt;35,BD30+BC31-BL30,IF(A31&lt;'Données projet'!$A$88,$BA$205^A31,IF(A31='Données projet'!$A$88,'Données projet'!$B$88,BD30+BC31-BL30)))</f>
        <v>59.438596491228111</v>
      </c>
      <c r="BE31" s="14">
        <f>BD31*VLOOKUP('Données projet'!$B$11,Paramètres!$A$1:$I$89,3,0)*VLOOKUP('Données projet'!$B$11,Paramètres!$A$1:$I$89,5,0)</f>
        <v>29.362666666666691</v>
      </c>
      <c r="BF31" s="14">
        <f t="shared" si="37"/>
        <v>9.1305337087740543</v>
      </c>
      <c r="BG31" s="22">
        <f t="shared" si="7"/>
        <v>67.04232398722597</v>
      </c>
      <c r="BH31" s="62">
        <f t="shared" si="8"/>
        <v>357.93121287611484</v>
      </c>
      <c r="BI31" s="62">
        <f ca="1">AVERAGE(OFFSET($BH$3,0,0,'Données projet'!$E$11+1,1))-AVERAGE(OFFSET($H$3,0,0,'Données projet'!$E$11+1,1))</f>
        <v>113.38017445149029</v>
      </c>
      <c r="BJ31" s="62">
        <f t="shared" si="38"/>
        <v>108.36144594421921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19.714285714285715</v>
      </c>
      <c r="N32" s="14">
        <f>IF('Données projet'!$A$36&gt;35,N31+M32-V31,IF(A32&lt;'Données projet'!$A$36,$K$205^A32,IF(A32='Données projet'!$A$36,'Données projet'!$B$36,N31+M32-V31)))</f>
        <v>272.85714285714289</v>
      </c>
      <c r="O32" s="14">
        <f>N32*VLOOKUP('Données projet'!$B$9,Paramètres!$A$1:$I$89,3,0)*VLOOKUP('Données projet'!$B$9,Paramètres!$A$1:$I$89,5,0)</f>
        <v>152.52714285714288</v>
      </c>
      <c r="P32" s="14">
        <f t="shared" si="33"/>
        <v>39.152328281389373</v>
      </c>
      <c r="Q32" s="22">
        <f t="shared" si="2"/>
        <v>333.84174556627698</v>
      </c>
      <c r="R32" s="62">
        <f t="shared" si="0"/>
        <v>625.95285667738813</v>
      </c>
      <c r="S32" s="62">
        <f ca="1">AVERAGE(OFFSET($R$3,0,0,'Données projet'!$E$9+1,1))-AVERAGE(OFFSET($H$3,0,0,'Données projet'!$E$9+1,1))</f>
        <v>313.92223852157559</v>
      </c>
      <c r="T32" s="62">
        <f t="shared" si="34"/>
        <v>394.03759949558702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10.726220297275919</v>
      </c>
      <c r="AB32" s="23">
        <f>EXP(-LN(2)/2)*AB31+(1-EXP(-LN(2)/2))/(LN(2)/2)*V32*Y32*VLOOKUP('Données projet'!$B$9,Paramètres!$A$1:$I$89,3,0)*0.475*44/12</f>
        <v>4.6677691755900481</v>
      </c>
      <c r="AC32" s="24">
        <f t="shared" si="3"/>
        <v>15.393989472865968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3.2666666666666666</v>
      </c>
      <c r="AI32" s="14">
        <f>IF('Données projet'!$A$62&gt;35,AI31+AH32-AQ31,IF(A32&lt;'Données projet'!$A$62,$AF$205^A32,IF(A32='Données projet'!$A$62,'Données projet'!$B$62,AI31+AH32-AQ31)))</f>
        <v>84.11082120418925</v>
      </c>
      <c r="AJ32" s="14">
        <f>AI32*VLOOKUP('Données projet'!$B$10,Paramètres!$A$1:$I$89,3,0)*VLOOKUP('Données projet'!$B$10,Paramètres!$A$1:$I$89,5,0)</f>
        <v>48.111389728796247</v>
      </c>
      <c r="AK32" s="14">
        <f t="shared" si="35"/>
        <v>14.124930221593356</v>
      </c>
      <c r="AL32" s="22">
        <f t="shared" si="4"/>
        <v>108.39492391359521</v>
      </c>
      <c r="AM32" s="62">
        <f t="shared" si="5"/>
        <v>400.50603502470636</v>
      </c>
      <c r="AN32" s="62">
        <f ca="1">AVERAGE(OFFSET($AM$3,0,0,'Données projet'!$E$10+1,1))-AVERAGE(OFFSET($H$3,0,0,'Données projet'!$E$10+1,1))</f>
        <v>148.40707092284572</v>
      </c>
      <c r="AO32" s="62">
        <f t="shared" si="36"/>
        <v>162.45539016632631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2.1228070175438596</v>
      </c>
      <c r="BD32" s="13">
        <f>IF('Données projet'!$A$88&gt;35,BD31+BC32-BL31,IF(A32&lt;'Données projet'!$A$88,$BA$205^A32,IF(A32='Données projet'!$A$88,'Données projet'!$B$88,BD31+BC32-BL31)))</f>
        <v>61.561403508771974</v>
      </c>
      <c r="BE32" s="14">
        <f>BD32*VLOOKUP('Données projet'!$B$11,Paramètres!$A$1:$I$89,3,0)*VLOOKUP('Données projet'!$B$11,Paramètres!$A$1:$I$89,5,0)</f>
        <v>30.41133333333336</v>
      </c>
      <c r="BF32" s="14">
        <f t="shared" si="37"/>
        <v>9.4180761718110926</v>
      </c>
      <c r="BG32" s="22">
        <f t="shared" si="7"/>
        <v>69.369554888126586</v>
      </c>
      <c r="BH32" s="62">
        <f t="shared" si="8"/>
        <v>361.48066599923771</v>
      </c>
      <c r="BI32" s="62">
        <f ca="1">AVERAGE(OFFSET($BH$3,0,0,'Données projet'!$E$11+1,1))-AVERAGE(OFFSET($H$3,0,0,'Données projet'!$E$11+1,1))</f>
        <v>113.38017445149029</v>
      </c>
      <c r="BJ32" s="62">
        <f t="shared" si="38"/>
        <v>108.36144594421921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19.714285714285715</v>
      </c>
      <c r="N33" s="14">
        <f>IF('Données projet'!$A$36&gt;35,N32+M33-V32,IF(A33&lt;'Données projet'!$A$36,$K$205^A33,IF(A33='Données projet'!$A$36,'Données projet'!$B$36,N32+M33-V32)))</f>
        <v>292.57142857142861</v>
      </c>
      <c r="O33" s="14">
        <f>N33*VLOOKUP('Données projet'!$B$9,Paramètres!$A$1:$I$89,3,0)*VLOOKUP('Données projet'!$B$9,Paramètres!$A$1:$I$89,5,0)</f>
        <v>163.54742857142861</v>
      </c>
      <c r="P33" s="14">
        <f t="shared" si="33"/>
        <v>41.641623770535254</v>
      </c>
      <c r="Q33" s="22">
        <f t="shared" si="2"/>
        <v>357.37093282892039</v>
      </c>
      <c r="R33" s="62">
        <f t="shared" si="0"/>
        <v>650.7042661622537</v>
      </c>
      <c r="S33" s="62">
        <f ca="1">AVERAGE(OFFSET($R$3,0,0,'Données projet'!$E$9+1,1))-AVERAGE(OFFSET($H$3,0,0,'Données projet'!$E$9+1,1))</f>
        <v>313.92223852157559</v>
      </c>
      <c r="T33" s="62">
        <f t="shared" si="34"/>
        <v>394.03759949558702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10.432911239179498</v>
      </c>
      <c r="AB33" s="23">
        <f>EXP(-LN(2)/2)*AB32+(1-EXP(-LN(2)/2))/(LN(2)/2)*V33*Y33*VLOOKUP('Données projet'!$B$9,Paramètres!$A$1:$I$89,3,0)*0.475*44/12</f>
        <v>3.3006112370732636</v>
      </c>
      <c r="AC33" s="24">
        <f t="shared" si="3"/>
        <v>13.733522476252762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3.2666666666666666</v>
      </c>
      <c r="AH33" s="13">
        <f t="array" ref="AH33">INDEX(AG:AG,MIN(IF(ISNUMBER(AG33:AG229),ROW(AG33:AG229),"")))</f>
        <v>3.2666666666666666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56.055999999999997</v>
      </c>
      <c r="AK33" s="14">
        <f t="shared" si="35"/>
        <v>16.167190526120397</v>
      </c>
      <c r="AL33" s="22">
        <f t="shared" si="4"/>
        <v>125.78872349965967</v>
      </c>
      <c r="AM33" s="62">
        <f t="shared" si="5"/>
        <v>419.122056832993</v>
      </c>
      <c r="AN33" s="62">
        <f ca="1">AVERAGE(OFFSET($AM$3,0,0,'Données projet'!$E$10+1,1))-AVERAGE(OFFSET($H$3,0,0,'Données projet'!$E$10+1,1))</f>
        <v>148.40707092284572</v>
      </c>
      <c r="AO33" s="62">
        <f t="shared" si="36"/>
        <v>162.45539016632631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30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0.22500000000000001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5.1016986269363862</v>
      </c>
      <c r="AW33" s="23">
        <f>EXP(-LN(2)/2)*AW32+(1-EXP(-LN(2)/2))/(LN(2)/2)*AQ33*AT33*VLOOKUP('Données projet'!$B$10,Paramètres!$A$1:$I$89,3,0)*0.475*44/12</f>
        <v>9.714553112777077</v>
      </c>
      <c r="AX33" s="23">
        <f t="shared" si="6"/>
        <v>14.816251739713463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2.1228070175438596</v>
      </c>
      <c r="BD33" s="13">
        <f>IF('Données projet'!$A$88&gt;35,BD32+BC33-BL32,IF(A33&lt;'Données projet'!$A$88,$BA$205^A33,IF(A33='Données projet'!$A$88,'Données projet'!$B$88,BD32+BC33-BL32)))</f>
        <v>63.684210526315837</v>
      </c>
      <c r="BE33" s="14">
        <f>BD33*VLOOKUP('Données projet'!$B$11,Paramètres!$A$1:$I$89,3,0)*VLOOKUP('Données projet'!$B$11,Paramètres!$A$1:$I$89,5,0)</f>
        <v>31.460000000000022</v>
      </c>
      <c r="BF33" s="14">
        <f t="shared" si="37"/>
        <v>9.7044665708435733</v>
      </c>
      <c r="BG33" s="22">
        <f t="shared" si="7"/>
        <v>71.694779277552584</v>
      </c>
      <c r="BH33" s="62">
        <f t="shared" si="8"/>
        <v>365.0281126108859</v>
      </c>
      <c r="BI33" s="62">
        <f ca="1">AVERAGE(OFFSET($BH$3,0,0,'Données projet'!$E$11+1,1))-AVERAGE(OFFSET($H$3,0,0,'Données projet'!$E$11+1,1))</f>
        <v>113.38017445149029</v>
      </c>
      <c r="BJ33" s="62">
        <f t="shared" si="38"/>
        <v>108.36144594421921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19.714285714285715</v>
      </c>
      <c r="N34" s="14">
        <f>IF('Données projet'!$A$36&gt;35,N33+M34-V33,IF(A34&lt;'Données projet'!$A$36,$K$205^A34,IF(A34='Données projet'!$A$36,'Données projet'!$B$36,N33+M34-V33)))</f>
        <v>312.28571428571433</v>
      </c>
      <c r="O34" s="14">
        <f>N34*VLOOKUP('Données projet'!$B$9,Paramètres!$A$1:$I$89,3,0)*VLOOKUP('Données projet'!$B$9,Paramètres!$A$1:$I$89,5,0)</f>
        <v>174.56771428571432</v>
      </c>
      <c r="P34" s="14">
        <f t="shared" si="33"/>
        <v>44.111455647166053</v>
      </c>
      <c r="Q34" s="22">
        <f t="shared" si="2"/>
        <v>380.86622096643327</v>
      </c>
      <c r="R34" s="62">
        <f t="shared" si="0"/>
        <v>674.19955429976653</v>
      </c>
      <c r="S34" s="62">
        <f ca="1">AVERAGE(OFFSET($R$3,0,0,'Données projet'!$E$9+1,1))-AVERAGE(OFFSET($H$3,0,0,'Données projet'!$E$9+1,1))</f>
        <v>313.92223852157559</v>
      </c>
      <c r="T34" s="62">
        <f t="shared" si="34"/>
        <v>394.03759949558702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10.147622732701178</v>
      </c>
      <c r="AB34" s="23">
        <f>EXP(-LN(2)/2)*AB33+(1-EXP(-LN(2)/2))/(LN(2)/2)*V34*Y34*VLOOKUP('Données projet'!$B$9,Paramètres!$A$1:$I$89,3,0)*0.475*44/12</f>
        <v>2.3338845877950245</v>
      </c>
      <c r="AC34" s="24">
        <f t="shared" si="3"/>
        <v>12.481507320496203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8.3000000000000007</v>
      </c>
      <c r="AI34" s="14">
        <f>IF('Données projet'!$A$62&gt;35,AI33+AH34-AQ33,IF(A34&lt;'Données projet'!$A$62,$AF$205^A34,IF(A34='Données projet'!$A$62,'Données projet'!$B$62,AI33+AH34-AQ33)))</f>
        <v>76.3</v>
      </c>
      <c r="AJ34" s="14">
        <f>AI34*VLOOKUP('Données projet'!$B$10,Paramètres!$A$1:$I$89,3,0)*VLOOKUP('Données projet'!$B$10,Paramètres!$A$1:$I$89,5,0)</f>
        <v>43.643599999999999</v>
      </c>
      <c r="AK34" s="14">
        <f t="shared" si="35"/>
        <v>12.959429327049824</v>
      </c>
      <c r="AL34" s="22">
        <f t="shared" si="4"/>
        <v>98.583609411278431</v>
      </c>
      <c r="AM34" s="62">
        <f t="shared" si="5"/>
        <v>391.91694274461173</v>
      </c>
      <c r="AN34" s="62">
        <f ca="1">AVERAGE(OFFSET($AM$3,0,0,'Données projet'!$E$10+1,1))-AVERAGE(OFFSET($H$3,0,0,'Données projet'!$E$10+1,1))</f>
        <v>148.40707092284572</v>
      </c>
      <c r="AO34" s="62">
        <f t="shared" si="36"/>
        <v>162.45539016632631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4.9621924096961401</v>
      </c>
      <c r="AW34" s="23">
        <f>EXP(-LN(2)/2)*AW33+(1-EXP(-LN(2)/2))/(LN(2)/2)*AQ34*AT34*VLOOKUP('Données projet'!$B$10,Paramètres!$A$1:$I$89,3,0)*0.475*44/12</f>
        <v>6.8692263822415551</v>
      </c>
      <c r="AX34" s="23">
        <f t="shared" si="6"/>
        <v>11.831418791937695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2.1228070175438596</v>
      </c>
      <c r="BD34" s="13">
        <f>IF('Données projet'!$A$88&gt;35,BD33+BC34-BL33,IF(A34&lt;'Données projet'!$A$88,$BA$205^A34,IF(A34='Données projet'!$A$88,'Données projet'!$B$88,BD33+BC34-BL33)))</f>
        <v>65.8070175438597</v>
      </c>
      <c r="BE34" s="14">
        <f>BD34*VLOOKUP('Données projet'!$B$11,Paramètres!$A$1:$I$89,3,0)*VLOOKUP('Données projet'!$B$11,Paramètres!$A$1:$I$89,5,0)</f>
        <v>32.508666666666691</v>
      </c>
      <c r="BF34" s="14">
        <f t="shared" si="37"/>
        <v>9.9897477110495849</v>
      </c>
      <c r="BG34" s="22">
        <f t="shared" si="7"/>
        <v>74.018071707855839</v>
      </c>
      <c r="BH34" s="62">
        <f t="shared" si="8"/>
        <v>367.35140504118914</v>
      </c>
      <c r="BI34" s="62">
        <f ca="1">AVERAGE(OFFSET($BH$3,0,0,'Données projet'!$E$11+1,1))-AVERAGE(OFFSET($H$3,0,0,'Données projet'!$E$11+1,1))</f>
        <v>113.38017445149029</v>
      </c>
      <c r="BJ34" s="62">
        <f t="shared" si="38"/>
        <v>108.36144594421921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332</v>
      </c>
      <c r="L35" s="13">
        <f>VLOOKUP(A35,'Données projet'!$A$35:$I$55,9,0)</f>
        <v>19.714285714285715</v>
      </c>
      <c r="M35" s="13">
        <f t="array" ref="M35">INDEX(L:L,MIN(IF(ISNUMBER(L35:L231),ROW(L35:L231),"")))</f>
        <v>19.714285714285715</v>
      </c>
      <c r="N35" s="14">
        <f>IF('Données projet'!$A$36&gt;35,N34+M35-V34,IF(A35&lt;'Données projet'!$A$36,$K$205^A35,IF(A35='Données projet'!$A$36,'Données projet'!$B$36,N34+M35-V34)))</f>
        <v>332.00000000000006</v>
      </c>
      <c r="O35" s="14">
        <f>N35*VLOOKUP('Données projet'!$B$9,Paramètres!$A$1:$I$89,3,0)*VLOOKUP('Données projet'!$B$9,Paramètres!$A$1:$I$89,5,0)</f>
        <v>185.58800000000002</v>
      </c>
      <c r="P35" s="14">
        <f t="shared" si="33"/>
        <v>46.563192499694225</v>
      </c>
      <c r="Q35" s="22">
        <f t="shared" ref="Q35:Q66" si="53">(O35+P35)*0.475*44/12</f>
        <v>404.32999360363414</v>
      </c>
      <c r="R35" s="62">
        <f t="shared" si="0"/>
        <v>697.66332693696745</v>
      </c>
      <c r="S35" s="62">
        <f ca="1">AVERAGE(OFFSET($R$3,0,0,'Données projet'!$E$9+1,1))-AVERAGE(OFFSET($H$3,0,0,'Données projet'!$E$9+1,1))</f>
        <v>313.92223852157559</v>
      </c>
      <c r="T35" s="62">
        <f t="shared" si="34"/>
        <v>394.03759949558702</v>
      </c>
      <c r="U35" s="16">
        <f>IF(ISNA(VLOOKUP(A35,'Données projet'!$A$35:$I$55,3,0)),0,VLOOKUP(A35,'Données projet'!$A$35:$I$55,3,0))</f>
        <v>2</v>
      </c>
      <c r="V35" s="16">
        <f>IF(ISNA(VLOOKUP(A35,'Données projet'!$A$35:$I$55,4,0)),0,VLOOKUP(A35,'Données projet'!$A$35:$I$55,4,0))</f>
        <v>79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9.870135455435177</v>
      </c>
      <c r="AB35" s="23">
        <f>EXP(-LN(2)/2)*AB34+(1-EXP(-LN(2)/2))/(LN(2)/2)*V35*Y35*VLOOKUP('Données projet'!$B$9,Paramètres!$A$1:$I$89,3,0)*0.475*44/12</f>
        <v>1.6503056185366323</v>
      </c>
      <c r="AC35" s="24">
        <f t="shared" si="3"/>
        <v>11.52044107397181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8.3000000000000007</v>
      </c>
      <c r="AI35" s="14">
        <f>IF('Données projet'!$A$62&gt;35,AI34+AH35-AQ34,IF(A35&lt;'Données projet'!$A$62,$AF$205^A35,IF(A35='Données projet'!$A$62,'Données projet'!$B$62,AI34+AH35-AQ34)))</f>
        <v>84.6</v>
      </c>
      <c r="AJ35" s="14">
        <f>AI35*VLOOKUP('Données projet'!$B$10,Paramètres!$A$1:$I$89,3,0)*VLOOKUP('Données projet'!$B$10,Paramètres!$A$1:$I$89,5,0)</f>
        <v>48.391199999999998</v>
      </c>
      <c r="AK35" s="14">
        <f t="shared" si="35"/>
        <v>14.197492524785988</v>
      </c>
      <c r="AL35" s="22">
        <f t="shared" si="4"/>
        <v>109.00863948066892</v>
      </c>
      <c r="AM35" s="62">
        <f t="shared" si="5"/>
        <v>402.34197281400225</v>
      </c>
      <c r="AN35" s="62">
        <f ca="1">AVERAGE(OFFSET($AM$3,0,0,'Données projet'!$E$10+1,1))-AVERAGE(OFFSET($H$3,0,0,'Données projet'!$E$10+1,1))</f>
        <v>148.40707092284572</v>
      </c>
      <c r="AO35" s="62">
        <f t="shared" si="36"/>
        <v>162.45539016632631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4.8265009973026416</v>
      </c>
      <c r="AW35" s="23">
        <f>EXP(-LN(2)/2)*AW34+(1-EXP(-LN(2)/2))/(LN(2)/2)*AQ35*AT35*VLOOKUP('Données projet'!$B$10,Paramètres!$A$1:$I$89,3,0)*0.475*44/12</f>
        <v>4.8572765563885394</v>
      </c>
      <c r="AX35" s="23">
        <f t="shared" si="6"/>
        <v>9.683777553691181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2.1228070175438596</v>
      </c>
      <c r="BD35" s="13">
        <f>IF('Données projet'!$A$88&gt;35,BD34+BC35-BL34,IF(A35&lt;'Données projet'!$A$88,$BA$205^A35,IF(A35='Données projet'!$A$88,'Données projet'!$B$88,BD34+BC35-BL34)))</f>
        <v>67.929824561403564</v>
      </c>
      <c r="BE35" s="14">
        <f>BD35*VLOOKUP('Données projet'!$B$11,Paramètres!$A$1:$I$89,3,0)*VLOOKUP('Données projet'!$B$11,Paramètres!$A$1:$I$89,5,0)</f>
        <v>33.557333333333361</v>
      </c>
      <c r="BF35" s="14">
        <f t="shared" si="37"/>
        <v>10.273959479198565</v>
      </c>
      <c r="BG35" s="22">
        <f t="shared" si="7"/>
        <v>76.339501648493112</v>
      </c>
      <c r="BH35" s="62">
        <f t="shared" si="8"/>
        <v>369.67283498182644</v>
      </c>
      <c r="BI35" s="62">
        <f ca="1">AVERAGE(OFFSET($BH$3,0,0,'Données projet'!$E$11+1,1))-AVERAGE(OFFSET($H$3,0,0,'Données projet'!$E$11+1,1))</f>
        <v>113.38017445149029</v>
      </c>
      <c r="BJ35" s="62">
        <f t="shared" si="38"/>
        <v>108.36144594421921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13.642857142857142</v>
      </c>
      <c r="N36" s="14">
        <f>IF('Données projet'!$A$36&gt;35,N35+M36-V35,IF(A36&lt;'Données projet'!$A$36,$K$205^A36,IF(A36='Données projet'!$A$36,'Données projet'!$B$36,N35+M36-V35)))</f>
        <v>266.64285714285722</v>
      </c>
      <c r="O36" s="14">
        <f>N36*VLOOKUP('Données projet'!$B$9,Paramètres!$A$1:$I$89,3,0)*VLOOKUP('Données projet'!$B$9,Paramètres!$A$1:$I$89,5,0)</f>
        <v>149.05335714285718</v>
      </c>
      <c r="P36" s="14">
        <f t="shared" si="33"/>
        <v>38.363378432520456</v>
      </c>
      <c r="Q36" s="22">
        <f t="shared" si="53"/>
        <v>326.41748112711605</v>
      </c>
      <c r="R36" s="62">
        <f t="shared" si="0"/>
        <v>619.75081446044942</v>
      </c>
      <c r="S36" s="62">
        <f ca="1">AVERAGE(OFFSET($R$3,0,0,'Données projet'!$E$9+1,1))-AVERAGE(OFFSET($H$3,0,0,'Données projet'!$E$9+1,1))</f>
        <v>313.92223852157559</v>
      </c>
      <c r="T36" s="62">
        <f t="shared" si="34"/>
        <v>394.03759949558702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9.6002360823584372</v>
      </c>
      <c r="AB36" s="23">
        <f>EXP(-LN(2)/2)*AB35+(1-EXP(-LN(2)/2))/(LN(2)/2)*V36*Y36*VLOOKUP('Données projet'!$B$9,Paramètres!$A$1:$I$89,3,0)*0.475*44/12</f>
        <v>1.1669422938975125</v>
      </c>
      <c r="AC36" s="24">
        <f t="shared" si="3"/>
        <v>10.76717837625595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8.3000000000000007</v>
      </c>
      <c r="AI36" s="14">
        <f>IF('Données projet'!$A$62&gt;35,AI35+AH36-AQ35,IF(A36&lt;'Données projet'!$A$62,$AF$205^A36,IF(A36='Données projet'!$A$62,'Données projet'!$B$62,AI35+AH36-AQ35)))</f>
        <v>92.899999999999991</v>
      </c>
      <c r="AJ36" s="14">
        <f>AI36*VLOOKUP('Données projet'!$B$10,Paramètres!$A$1:$I$89,3,0)*VLOOKUP('Données projet'!$B$10,Paramètres!$A$1:$I$89,5,0)</f>
        <v>53.138799999999996</v>
      </c>
      <c r="AK36" s="14">
        <f t="shared" si="35"/>
        <v>15.421473815120175</v>
      </c>
      <c r="AL36" s="22">
        <f t="shared" si="4"/>
        <v>119.40914356133429</v>
      </c>
      <c r="AM36" s="62">
        <f t="shared" si="5"/>
        <v>412.74247689466762</v>
      </c>
      <c r="AN36" s="62">
        <f ca="1">AVERAGE(OFFSET($AM$3,0,0,'Données projet'!$E$10+1,1))-AVERAGE(OFFSET($H$3,0,0,'Données projet'!$E$10+1,1))</f>
        <v>148.40707092284572</v>
      </c>
      <c r="AO36" s="62">
        <f t="shared" si="36"/>
        <v>162.45539016632631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4.6945200737167445</v>
      </c>
      <c r="AW36" s="23">
        <f>EXP(-LN(2)/2)*AW35+(1-EXP(-LN(2)/2))/(LN(2)/2)*AQ36*AT36*VLOOKUP('Données projet'!$B$10,Paramètres!$A$1:$I$89,3,0)*0.475*44/12</f>
        <v>3.434613191120778</v>
      </c>
      <c r="AX36" s="23">
        <f t="shared" si="6"/>
        <v>8.1291332648375221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2.1228070175438596</v>
      </c>
      <c r="BD36" s="13">
        <f>IF('Données projet'!$A$88&gt;35,BD35+BC36-BL35,IF(A36&lt;'Données projet'!$A$88,$BA$205^A36,IF(A36='Données projet'!$A$88,'Données projet'!$B$88,BD35+BC36-BL35)))</f>
        <v>70.052631578947427</v>
      </c>
      <c r="BE36" s="14">
        <f>BD36*VLOOKUP('Données projet'!$B$11,Paramètres!$A$1:$I$89,3,0)*VLOOKUP('Données projet'!$B$11,Paramètres!$A$1:$I$89,5,0)</f>
        <v>34.60600000000003</v>
      </c>
      <c r="BF36" s="14">
        <f t="shared" si="37"/>
        <v>10.557139127539775</v>
      </c>
      <c r="BG36" s="22">
        <f t="shared" si="7"/>
        <v>78.659133980465157</v>
      </c>
      <c r="BH36" s="62">
        <f t="shared" si="8"/>
        <v>371.99246731379844</v>
      </c>
      <c r="BI36" s="62">
        <f ca="1">AVERAGE(OFFSET($BH$3,0,0,'Données projet'!$E$11+1,1))-AVERAGE(OFFSET($H$3,0,0,'Données projet'!$E$11+1,1))</f>
        <v>113.38017445149029</v>
      </c>
      <c r="BJ36" s="62">
        <f t="shared" si="38"/>
        <v>108.36144594421921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13.642857142857142</v>
      </c>
      <c r="N37" s="14">
        <f>IF('Données projet'!$A$36&gt;35,N36+M37-V36,IF(A37&lt;'Données projet'!$A$36,$K$205^A37,IF(A37='Données projet'!$A$36,'Données projet'!$B$36,N36+M37-V36)))</f>
        <v>280.28571428571439</v>
      </c>
      <c r="O37" s="14">
        <f>N37*VLOOKUP('Données projet'!$B$9,Paramètres!$A$1:$I$89,3,0)*VLOOKUP('Données projet'!$B$9,Paramètres!$A$1:$I$89,5,0)</f>
        <v>156.67971428571434</v>
      </c>
      <c r="P37" s="14">
        <f t="shared" si="33"/>
        <v>40.092704146712641</v>
      </c>
      <c r="Q37" s="22">
        <f t="shared" si="53"/>
        <v>342.71196210314361</v>
      </c>
      <c r="R37" s="62">
        <f t="shared" si="0"/>
        <v>636.04529543647686</v>
      </c>
      <c r="S37" s="62">
        <f ca="1">AVERAGE(OFFSET($R$3,0,0,'Données projet'!$E$9+1,1))-AVERAGE(OFFSET($H$3,0,0,'Données projet'!$E$9+1,1))</f>
        <v>313.92223852157559</v>
      </c>
      <c r="T37" s="62">
        <f t="shared" si="34"/>
        <v>394.03759949558702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9.3377171218318722</v>
      </c>
      <c r="AB37" s="23">
        <f>EXP(-LN(2)/2)*AB36+(1-EXP(-LN(2)/2))/(LN(2)/2)*V37*Y37*VLOOKUP('Données projet'!$B$9,Paramètres!$A$1:$I$89,3,0)*0.475*44/12</f>
        <v>0.82515280926831625</v>
      </c>
      <c r="AC37" s="24">
        <f t="shared" si="3"/>
        <v>10.162869931100188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8.3000000000000007</v>
      </c>
      <c r="AI37" s="14">
        <f>IF('Données projet'!$A$62&gt;35,AI36+AH37-AQ36,IF(A37&lt;'Données projet'!$A$62,$AF$205^A37,IF(A37='Données projet'!$A$62,'Données projet'!$B$62,AI36+AH37-AQ36)))</f>
        <v>101.19999999999999</v>
      </c>
      <c r="AJ37" s="14">
        <f>AI37*VLOOKUP('Données projet'!$B$10,Paramètres!$A$1:$I$89,3,0)*VLOOKUP('Données projet'!$B$10,Paramètres!$A$1:$I$89,5,0)</f>
        <v>57.886400000000002</v>
      </c>
      <c r="AK37" s="14">
        <f t="shared" si="35"/>
        <v>16.632774391880822</v>
      </c>
      <c r="AL37" s="22">
        <f t="shared" si="4"/>
        <v>129.78756206585908</v>
      </c>
      <c r="AM37" s="62">
        <f t="shared" si="5"/>
        <v>423.12089539919236</v>
      </c>
      <c r="AN37" s="62">
        <f ca="1">AVERAGE(OFFSET($AM$3,0,0,'Données projet'!$E$10+1,1))-AVERAGE(OFFSET($H$3,0,0,'Données projet'!$E$10+1,1))</f>
        <v>148.40707092284572</v>
      </c>
      <c r="AO37" s="62">
        <f t="shared" si="36"/>
        <v>162.45539016632631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4.5661481754268793</v>
      </c>
      <c r="AW37" s="23">
        <f>EXP(-LN(2)/2)*AW36+(1-EXP(-LN(2)/2))/(LN(2)/2)*AQ37*AT37*VLOOKUP('Données projet'!$B$10,Paramètres!$A$1:$I$89,3,0)*0.475*44/12</f>
        <v>2.4286382781942697</v>
      </c>
      <c r="AX37" s="23">
        <f t="shared" si="6"/>
        <v>6.994786453621149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2.1228070175438596</v>
      </c>
      <c r="BD37" s="13">
        <f>IF('Données projet'!$A$88&gt;35,BD36+BC37-BL36,IF(A37&lt;'Données projet'!$A$88,$BA$205^A37,IF(A37='Données projet'!$A$88,'Données projet'!$B$88,BD36+BC37-BL36)))</f>
        <v>72.17543859649129</v>
      </c>
      <c r="BE37" s="14">
        <f>BD37*VLOOKUP('Données projet'!$B$11,Paramètres!$A$1:$I$89,3,0)*VLOOKUP('Données projet'!$B$11,Paramètres!$A$1:$I$89,5,0)</f>
        <v>35.654666666666699</v>
      </c>
      <c r="BF37" s="14">
        <f t="shared" si="37"/>
        <v>10.839321522313218</v>
      </c>
      <c r="BG37" s="22">
        <f t="shared" si="7"/>
        <v>80.977029429140018</v>
      </c>
      <c r="BH37" s="62">
        <f t="shared" si="8"/>
        <v>374.31036276247335</v>
      </c>
      <c r="BI37" s="62">
        <f ca="1">AVERAGE(OFFSET($BH$3,0,0,'Données projet'!$E$11+1,1))-AVERAGE(OFFSET($H$3,0,0,'Données projet'!$E$11+1,1))</f>
        <v>113.38017445149029</v>
      </c>
      <c r="BJ37" s="62">
        <f t="shared" si="38"/>
        <v>108.36144594421921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13.642857142857142</v>
      </c>
      <c r="N38" s="14">
        <f>IF('Données projet'!$A$36&gt;35,N37+M38-V37,IF(A38&lt;'Données projet'!$A$36,$K$205^A38,IF(A38='Données projet'!$A$36,'Données projet'!$B$36,N37+M38-V37)))</f>
        <v>293.92857142857156</v>
      </c>
      <c r="O38" s="14">
        <f>N38*VLOOKUP('Données projet'!$B$9,Paramètres!$A$1:$I$89,3,0)*VLOOKUP('Données projet'!$B$9,Paramètres!$A$1:$I$89,5,0)</f>
        <v>164.3060714285715</v>
      </c>
      <c r="P38" s="14">
        <f t="shared" si="33"/>
        <v>41.812255563993602</v>
      </c>
      <c r="Q38" s="22">
        <f t="shared" si="53"/>
        <v>358.98941951205092</v>
      </c>
      <c r="R38" s="62">
        <f t="shared" si="0"/>
        <v>652.32275284538423</v>
      </c>
      <c r="S38" s="62">
        <f ca="1">AVERAGE(OFFSET($R$3,0,0,'Données projet'!$E$9+1,1))-AVERAGE(OFFSET($H$3,0,0,'Données projet'!$E$9+1,1))</f>
        <v>313.92223852157559</v>
      </c>
      <c r="T38" s="62">
        <f t="shared" si="34"/>
        <v>394.03759949558702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9.0823767560861786</v>
      </c>
      <c r="AB38" s="23">
        <f>EXP(-LN(2)/2)*AB37+(1-EXP(-LN(2)/2))/(LN(2)/2)*V38*Y38*VLOOKUP('Données projet'!$B$9,Paramètres!$A$1:$I$89,3,0)*0.475*44/12</f>
        <v>0.58347114694875635</v>
      </c>
      <c r="AC38" s="24">
        <f t="shared" si="3"/>
        <v>9.6658479030349351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8.3000000000000007</v>
      </c>
      <c r="AI38" s="14">
        <f>IF('Données projet'!$A$62&gt;35,AI37+AH38-AQ37,IF(A38&lt;'Données projet'!$A$62,$AF$205^A38,IF(A38='Données projet'!$A$62,'Données projet'!$B$62,AI37+AH38-AQ37)))</f>
        <v>109.49999999999999</v>
      </c>
      <c r="AJ38" s="14">
        <f>AI38*VLOOKUP('Données projet'!$B$10,Paramètres!$A$1:$I$89,3,0)*VLOOKUP('Données projet'!$B$10,Paramètres!$A$1:$I$89,5,0)</f>
        <v>62.633999999999993</v>
      </c>
      <c r="AK38" s="14">
        <f t="shared" si="35"/>
        <v>17.832552513715669</v>
      </c>
      <c r="AL38" s="22">
        <f t="shared" si="4"/>
        <v>140.14591229472146</v>
      </c>
      <c r="AM38" s="62">
        <f t="shared" si="5"/>
        <v>433.47924562805474</v>
      </c>
      <c r="AN38" s="62">
        <f ca="1">AVERAGE(OFFSET($AM$3,0,0,'Données projet'!$E$10+1,1))-AVERAGE(OFFSET($H$3,0,0,'Données projet'!$E$10+1,1))</f>
        <v>148.40707092284572</v>
      </c>
      <c r="AO38" s="62">
        <f t="shared" si="36"/>
        <v>162.45539016632631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4.4412866134465352</v>
      </c>
      <c r="AW38" s="23">
        <f>EXP(-LN(2)/2)*AW37+(1-EXP(-LN(2)/2))/(LN(2)/2)*AQ38*AT38*VLOOKUP('Données projet'!$B$10,Paramètres!$A$1:$I$89,3,0)*0.475*44/12</f>
        <v>1.717306595560389</v>
      </c>
      <c r="AX38" s="23">
        <f t="shared" si="6"/>
        <v>6.1585932090069244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2.1228070175438596</v>
      </c>
      <c r="BD38" s="13">
        <f>IF('Données projet'!$A$88&gt;35,BD37+BC38-BL37,IF(A38&lt;'Données projet'!$A$88,$BA$205^A38,IF(A38='Données projet'!$A$88,'Données projet'!$B$88,BD37+BC38-BL37)))</f>
        <v>74.298245614035153</v>
      </c>
      <c r="BE38" s="14">
        <f>BD38*VLOOKUP('Données projet'!$B$11,Paramètres!$A$1:$I$89,3,0)*VLOOKUP('Données projet'!$B$11,Paramètres!$A$1:$I$89,5,0)</f>
        <v>36.703333333333369</v>
      </c>
      <c r="BF38" s="14">
        <f t="shared" si="37"/>
        <v>11.120539362202464</v>
      </c>
      <c r="BG38" s="22">
        <f t="shared" si="7"/>
        <v>83.293244944724918</v>
      </c>
      <c r="BH38" s="62">
        <f t="shared" si="8"/>
        <v>376.62657827805822</v>
      </c>
      <c r="BI38" s="62">
        <f ca="1">AVERAGE(OFFSET($BH$3,0,0,'Données projet'!$E$11+1,1))-AVERAGE(OFFSET($H$3,0,0,'Données projet'!$E$11+1,1))</f>
        <v>113.38017445149029</v>
      </c>
      <c r="BJ38" s="62">
        <f t="shared" si="38"/>
        <v>108.36144594421921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13.642857142857142</v>
      </c>
      <c r="N39" s="14">
        <f>IF('Données projet'!$A$36&gt;35,N38+M39-V38,IF(A39&lt;'Données projet'!$A$36,$K$205^A39,IF(A39='Données projet'!$A$36,'Données projet'!$B$36,N38+M39-V38)))</f>
        <v>307.57142857142873</v>
      </c>
      <c r="O39" s="14">
        <f>N39*VLOOKUP('Données projet'!$B$9,Paramètres!$A$1:$I$89,3,0)*VLOOKUP('Données projet'!$B$9,Paramètres!$A$1:$I$89,5,0)</f>
        <v>171.93242857142869</v>
      </c>
      <c r="P39" s="14">
        <f t="shared" si="33"/>
        <v>43.522538177360559</v>
      </c>
      <c r="Q39" s="22">
        <f t="shared" si="53"/>
        <v>375.25073375414127</v>
      </c>
      <c r="R39" s="62">
        <f t="shared" si="0"/>
        <v>668.58406708747452</v>
      </c>
      <c r="S39" s="62">
        <f ca="1">AVERAGE(OFFSET($R$3,0,0,'Données projet'!$E$9+1,1))-AVERAGE(OFFSET($H$3,0,0,'Données projet'!$E$9+1,1))</f>
        <v>313.92223852157559</v>
      </c>
      <c r="T39" s="62">
        <f t="shared" si="34"/>
        <v>394.03759949558702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8.834018686069566</v>
      </c>
      <c r="AB39" s="23">
        <f>EXP(-LN(2)/2)*AB38+(1-EXP(-LN(2)/2))/(LN(2)/2)*V39*Y39*VLOOKUP('Données projet'!$B$9,Paramètres!$A$1:$I$89,3,0)*0.475*44/12</f>
        <v>0.41257640463415818</v>
      </c>
      <c r="AC39" s="24">
        <f t="shared" si="3"/>
        <v>9.2465950907037247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8.3000000000000007</v>
      </c>
      <c r="AI39" s="14">
        <f>IF('Données projet'!$A$62&gt;35,AI38+AH39-AQ38,IF(A39&lt;'Données projet'!$A$62,$AF$205^A39,IF(A39='Données projet'!$A$62,'Données projet'!$B$62,AI38+AH39-AQ38)))</f>
        <v>117.79999999999998</v>
      </c>
      <c r="AJ39" s="14">
        <f>AI39*VLOOKUP('Données projet'!$B$10,Paramètres!$A$1:$I$89,3,0)*VLOOKUP('Données projet'!$B$10,Paramètres!$A$1:$I$89,5,0)</f>
        <v>67.381599999999992</v>
      </c>
      <c r="AK39" s="14">
        <f t="shared" si="35"/>
        <v>19.021780880417477</v>
      </c>
      <c r="AL39" s="22">
        <f t="shared" si="4"/>
        <v>150.4858883667271</v>
      </c>
      <c r="AM39" s="62">
        <f t="shared" si="5"/>
        <v>443.81922170006044</v>
      </c>
      <c r="AN39" s="62">
        <f ca="1">AVERAGE(OFFSET($AM$3,0,0,'Données projet'!$E$10+1,1))-AVERAGE(OFFSET($H$3,0,0,'Données projet'!$E$10+1,1))</f>
        <v>148.40707092284572</v>
      </c>
      <c r="AO39" s="62">
        <f t="shared" si="36"/>
        <v>162.45539016632631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4.3198393974447278</v>
      </c>
      <c r="AW39" s="23">
        <f>EXP(-LN(2)/2)*AW38+(1-EXP(-LN(2)/2))/(LN(2)/2)*AQ39*AT39*VLOOKUP('Données projet'!$B$10,Paramètres!$A$1:$I$89,3,0)*0.475*44/12</f>
        <v>1.2143191390971348</v>
      </c>
      <c r="AX39" s="23">
        <f t="shared" si="6"/>
        <v>5.5341585365418631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2.1228070175438596</v>
      </c>
      <c r="BD39" s="13">
        <f>IF('Données projet'!$A$88&gt;35,BD38+BC39-BL38,IF(A39&lt;'Données projet'!$A$88,$BA$205^A39,IF(A39='Données projet'!$A$88,'Données projet'!$B$88,BD38+BC39-BL38)))</f>
        <v>76.421052631579016</v>
      </c>
      <c r="BE39" s="14">
        <f>BD39*VLOOKUP('Données projet'!$B$11,Paramètres!$A$1:$I$89,3,0)*VLOOKUP('Données projet'!$B$11,Paramètres!$A$1:$I$89,5,0)</f>
        <v>37.752000000000038</v>
      </c>
      <c r="BF39" s="14">
        <f t="shared" si="37"/>
        <v>11.400823371119662</v>
      </c>
      <c r="BG39" s="22">
        <f t="shared" si="7"/>
        <v>85.607834038033488</v>
      </c>
      <c r="BH39" s="62">
        <f t="shared" si="8"/>
        <v>378.94116737136682</v>
      </c>
      <c r="BI39" s="62">
        <f ca="1">AVERAGE(OFFSET($BH$3,0,0,'Données projet'!$E$11+1,1))-AVERAGE(OFFSET($H$3,0,0,'Données projet'!$E$11+1,1))</f>
        <v>113.38017445149029</v>
      </c>
      <c r="BJ39" s="62">
        <f t="shared" si="38"/>
        <v>108.36144594421921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13.642857142857142</v>
      </c>
      <c r="N40" s="14">
        <f>IF('Données projet'!$A$36&gt;35,N39+M40-V39,IF(A40&lt;'Données projet'!$A$36,$K$205^A40,IF(A40='Données projet'!$A$36,'Données projet'!$B$36,N39+M40-V39)))</f>
        <v>321.21428571428589</v>
      </c>
      <c r="O40" s="14">
        <f>N40*VLOOKUP('Données projet'!$B$9,Paramètres!$A$1:$I$89,3,0)*VLOOKUP('Données projet'!$B$9,Paramètres!$A$1:$I$89,5,0)</f>
        <v>179.55878571428582</v>
      </c>
      <c r="P40" s="14">
        <f t="shared" si="33"/>
        <v>45.224010100365234</v>
      </c>
      <c r="Q40" s="22">
        <f t="shared" si="53"/>
        <v>391.49670271051724</v>
      </c>
      <c r="R40" s="62">
        <f t="shared" si="0"/>
        <v>684.83003604385055</v>
      </c>
      <c r="S40" s="62">
        <f ca="1">AVERAGE(OFFSET($R$3,0,0,'Données projet'!$E$9+1,1))-AVERAGE(OFFSET($H$3,0,0,'Données projet'!$E$9+1,1))</f>
        <v>313.92223852157559</v>
      </c>
      <c r="T40" s="62">
        <f t="shared" si="34"/>
        <v>394.03759949558702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8.5924519805381419</v>
      </c>
      <c r="AB40" s="23">
        <f>EXP(-LN(2)/2)*AB39+(1-EXP(-LN(2)/2))/(LN(2)/2)*V40*Y40*VLOOKUP('Données projet'!$B$9,Paramètres!$A$1:$I$89,3,0)*0.475*44/12</f>
        <v>0.29173557347437817</v>
      </c>
      <c r="AC40" s="24">
        <f t="shared" si="3"/>
        <v>8.8841875540125201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8.3000000000000007</v>
      </c>
      <c r="AI40" s="14">
        <f>IF('Données projet'!$A$62&gt;35,AI39+AH40-AQ39,IF(A40&lt;'Données projet'!$A$62,$AF$205^A40,IF(A40='Données projet'!$A$62,'Données projet'!$B$62,AI39+AH40-AQ39)))</f>
        <v>126.09999999999998</v>
      </c>
      <c r="AJ40" s="14">
        <f>AI40*VLOOKUP('Données projet'!$B$10,Paramètres!$A$1:$I$89,3,0)*VLOOKUP('Données projet'!$B$10,Paramètres!$A$1:$I$89,5,0)</f>
        <v>72.129199999999997</v>
      </c>
      <c r="AK40" s="14">
        <f t="shared" si="35"/>
        <v>20.201287357861165</v>
      </c>
      <c r="AL40" s="22">
        <f t="shared" si="4"/>
        <v>160.80893214827483</v>
      </c>
      <c r="AM40" s="62">
        <f t="shared" si="5"/>
        <v>454.14226548160815</v>
      </c>
      <c r="AN40" s="62">
        <f ca="1">AVERAGE(OFFSET($AM$3,0,0,'Données projet'!$E$10+1,1))-AVERAGE(OFFSET($H$3,0,0,'Données projet'!$E$10+1,1))</f>
        <v>148.40707092284572</v>
      </c>
      <c r="AO40" s="62">
        <f t="shared" si="36"/>
        <v>162.45539016632631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4.2017131619511208</v>
      </c>
      <c r="AW40" s="23">
        <f>EXP(-LN(2)/2)*AW39+(1-EXP(-LN(2)/2))/(LN(2)/2)*AQ40*AT40*VLOOKUP('Données projet'!$B$10,Paramètres!$A$1:$I$89,3,0)*0.475*44/12</f>
        <v>0.8586532977801945</v>
      </c>
      <c r="AX40" s="23">
        <f t="shared" si="6"/>
        <v>5.0603664597313154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2.1228070175438596</v>
      </c>
      <c r="BD40" s="13">
        <f>IF('Données projet'!$A$88&gt;35,BD39+BC40-BL39,IF(A40&lt;'Données projet'!$A$88,$BA$205^A40,IF(A40='Données projet'!$A$88,'Données projet'!$B$88,BD39+BC40-BL39)))</f>
        <v>78.543859649122879</v>
      </c>
      <c r="BE40" s="14">
        <f>BD40*VLOOKUP('Données projet'!$B$11,Paramètres!$A$1:$I$89,3,0)*VLOOKUP('Données projet'!$B$11,Paramètres!$A$1:$I$89,5,0)</f>
        <v>38.800666666666707</v>
      </c>
      <c r="BF40" s="14">
        <f t="shared" si="37"/>
        <v>11.68020246896784</v>
      </c>
      <c r="BG40" s="22">
        <f t="shared" si="7"/>
        <v>87.920847077896838</v>
      </c>
      <c r="BH40" s="62">
        <f t="shared" si="8"/>
        <v>381.25418041123015</v>
      </c>
      <c r="BI40" s="62">
        <f ca="1">AVERAGE(OFFSET($BH$3,0,0,'Données projet'!$E$11+1,1))-AVERAGE(OFFSET($H$3,0,0,'Données projet'!$E$11+1,1))</f>
        <v>113.38017445149029</v>
      </c>
      <c r="BJ40" s="62">
        <f t="shared" si="38"/>
        <v>108.36144594421921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13.642857142857142</v>
      </c>
      <c r="N41" s="14">
        <f>IF('Données projet'!$A$36&gt;35,N40+M41-V40,IF(A41&lt;'Données projet'!$A$36,$K$205^A41,IF(A41='Données projet'!$A$36,'Données projet'!$B$36,N40+M41-V40)))</f>
        <v>334.85714285714306</v>
      </c>
      <c r="O41" s="14">
        <f>N41*VLOOKUP('Données projet'!$B$9,Paramètres!$A$1:$I$89,3,0)*VLOOKUP('Données projet'!$B$9,Paramètres!$A$1:$I$89,5,0)</f>
        <v>187.18514285714295</v>
      </c>
      <c r="P41" s="14">
        <f t="shared" si="33"/>
        <v>46.917088330697965</v>
      </c>
      <c r="Q41" s="22">
        <f t="shared" si="53"/>
        <v>407.72805265215624</v>
      </c>
      <c r="R41" s="62">
        <f t="shared" si="0"/>
        <v>701.06138598548955</v>
      </c>
      <c r="S41" s="62">
        <f ca="1">AVERAGE(OFFSET($R$3,0,0,'Données projet'!$E$9+1,1))-AVERAGE(OFFSET($H$3,0,0,'Données projet'!$E$9+1,1))</f>
        <v>313.92223852157559</v>
      </c>
      <c r="T41" s="62">
        <f t="shared" si="34"/>
        <v>394.03759949558702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8.3574909292729149</v>
      </c>
      <c r="AB41" s="23">
        <f>EXP(-LN(2)/2)*AB40+(1-EXP(-LN(2)/2))/(LN(2)/2)*V41*Y41*VLOOKUP('Données projet'!$B$9,Paramètres!$A$1:$I$89,3,0)*0.475*44/12</f>
        <v>0.20628820231707909</v>
      </c>
      <c r="AC41" s="24">
        <f t="shared" si="3"/>
        <v>8.5637791315899943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8.3000000000000007</v>
      </c>
      <c r="AI41" s="14">
        <f>IF('Données projet'!$A$62&gt;35,AI40+AH41-AQ40,IF(A41&lt;'Données projet'!$A$62,$AF$205^A41,IF(A41='Données projet'!$A$62,'Données projet'!$B$62,AI40+AH41-AQ40)))</f>
        <v>134.39999999999998</v>
      </c>
      <c r="AJ41" s="14">
        <f>AI41*VLOOKUP('Données projet'!$B$10,Paramètres!$A$1:$I$89,3,0)*VLOOKUP('Données projet'!$B$10,Paramètres!$A$1:$I$89,5,0)</f>
        <v>76.876799999999989</v>
      </c>
      <c r="AK41" s="14">
        <f t="shared" si="35"/>
        <v>21.371784666185118</v>
      </c>
      <c r="AL41" s="22">
        <f t="shared" si="4"/>
        <v>171.1162849602724</v>
      </c>
      <c r="AM41" s="62">
        <f t="shared" si="5"/>
        <v>464.44961829360568</v>
      </c>
      <c r="AN41" s="62">
        <f ca="1">AVERAGE(OFFSET($AM$3,0,0,'Données projet'!$E$10+1,1))-AVERAGE(OFFSET($H$3,0,0,'Données projet'!$E$10+1,1))</f>
        <v>148.40707092284572</v>
      </c>
      <c r="AO41" s="62">
        <f t="shared" si="36"/>
        <v>162.45539016632631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4.0868170945790752</v>
      </c>
      <c r="AW41" s="23">
        <f>EXP(-LN(2)/2)*AW40+(1-EXP(-LN(2)/2))/(LN(2)/2)*AQ41*AT41*VLOOKUP('Données projet'!$B$10,Paramètres!$A$1:$I$89,3,0)*0.475*44/12</f>
        <v>0.60715956954856742</v>
      </c>
      <c r="AX41" s="23">
        <f t="shared" si="6"/>
        <v>4.6939766641276428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2.1228070175438596</v>
      </c>
      <c r="BD41" s="13">
        <f>IF('Données projet'!$A$88&gt;35,BD40+BC41-BL40,IF(A41&lt;'Données projet'!$A$88,$BA$205^A41,IF(A41='Données projet'!$A$88,'Données projet'!$B$88,BD40+BC41-BL40)))</f>
        <v>80.666666666666742</v>
      </c>
      <c r="BE41" s="14">
        <f>BD41*VLOOKUP('Données projet'!$B$11,Paramètres!$A$1:$I$89,3,0)*VLOOKUP('Données projet'!$B$11,Paramètres!$A$1:$I$89,5,0)</f>
        <v>39.849333333333369</v>
      </c>
      <c r="BF41" s="14">
        <f t="shared" si="37"/>
        <v>11.958703923423235</v>
      </c>
      <c r="BG41" s="22">
        <f t="shared" si="7"/>
        <v>90.23233155551776</v>
      </c>
      <c r="BH41" s="62">
        <f t="shared" si="8"/>
        <v>383.56566488885107</v>
      </c>
      <c r="BI41" s="62">
        <f ca="1">AVERAGE(OFFSET($BH$3,0,0,'Données projet'!$E$11+1,1))-AVERAGE(OFFSET($H$3,0,0,'Données projet'!$E$11+1,1))</f>
        <v>113.38017445149029</v>
      </c>
      <c r="BJ41" s="62">
        <f t="shared" si="38"/>
        <v>108.36144594421921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13.642857142857142</v>
      </c>
      <c r="N42" s="14">
        <f>IF('Données projet'!$A$36&gt;35,N41+M42-V41,IF(A42&lt;'Données projet'!$A$36,$K$205^A42,IF(A42='Données projet'!$A$36,'Données projet'!$B$36,N41+M42-V41)))</f>
        <v>348.50000000000023</v>
      </c>
      <c r="O42" s="14">
        <f>N42*VLOOKUP('Données projet'!$B$9,Paramètres!$A$1:$I$89,3,0)*VLOOKUP('Données projet'!$B$9,Paramètres!$A$1:$I$89,5,0)</f>
        <v>194.81150000000014</v>
      </c>
      <c r="P42" s="14">
        <f t="shared" si="33"/>
        <v>48.602153964253326</v>
      </c>
      <c r="Q42" s="22">
        <f t="shared" si="53"/>
        <v>423.94544732107471</v>
      </c>
      <c r="R42" s="62">
        <f t="shared" si="0"/>
        <v>717.27878065440802</v>
      </c>
      <c r="S42" s="62">
        <f ca="1">AVERAGE(OFFSET($R$3,0,0,'Données projet'!$E$9+1,1))-AVERAGE(OFFSET($H$3,0,0,'Données projet'!$E$9+1,1))</f>
        <v>313.92223852157559</v>
      </c>
      <c r="T42" s="62">
        <f t="shared" si="34"/>
        <v>394.03759949558702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8.1289549003105996</v>
      </c>
      <c r="AB42" s="23">
        <f>EXP(-LN(2)/2)*AB41+(1-EXP(-LN(2)/2))/(LN(2)/2)*V42*Y42*VLOOKUP('Données projet'!$B$9,Paramètres!$A$1:$I$89,3,0)*0.475*44/12</f>
        <v>0.14586778673718909</v>
      </c>
      <c r="AC42" s="24">
        <f t="shared" si="3"/>
        <v>8.2748226870477879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8.3000000000000007</v>
      </c>
      <c r="AI42" s="14">
        <f>IF('Données projet'!$A$62&gt;35,AI41+AH42-AQ41,IF(A42&lt;'Données projet'!$A$62,$AF$205^A42,IF(A42='Données projet'!$A$62,'Données projet'!$B$62,AI41+AH42-AQ41)))</f>
        <v>142.69999999999999</v>
      </c>
      <c r="AJ42" s="14">
        <f>AI42*VLOOKUP('Données projet'!$B$10,Paramètres!$A$1:$I$89,3,0)*VLOOKUP('Données projet'!$B$10,Paramètres!$A$1:$I$89,5,0)</f>
        <v>81.624399999999994</v>
      </c>
      <c r="AK42" s="14">
        <f t="shared" si="35"/>
        <v>22.533892521314591</v>
      </c>
      <c r="AL42" s="22">
        <f t="shared" si="4"/>
        <v>181.40902614128959</v>
      </c>
      <c r="AM42" s="62">
        <f t="shared" si="5"/>
        <v>474.7423594746229</v>
      </c>
      <c r="AN42" s="62">
        <f ca="1">AVERAGE(OFFSET($AM$3,0,0,'Données projet'!$E$10+1,1))-AVERAGE(OFFSET($H$3,0,0,'Données projet'!$E$10+1,1))</f>
        <v>148.40707092284572</v>
      </c>
      <c r="AO42" s="62">
        <f t="shared" si="36"/>
        <v>162.45539016632631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3.9750628662114398</v>
      </c>
      <c r="AW42" s="23">
        <f>EXP(-LN(2)/2)*AW41+(1-EXP(-LN(2)/2))/(LN(2)/2)*AQ42*AT42*VLOOKUP('Données projet'!$B$10,Paramètres!$A$1:$I$89,3,0)*0.475*44/12</f>
        <v>0.42932664889009725</v>
      </c>
      <c r="AX42" s="23">
        <f t="shared" si="6"/>
        <v>4.4043895151015366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2.1228070175438596</v>
      </c>
      <c r="BD42" s="13">
        <f>IF('Données projet'!$A$88&gt;35,BD41+BC42-BL41,IF(A42&lt;'Données projet'!$A$88,$BA$205^A42,IF(A42='Données projet'!$A$88,'Données projet'!$B$88,BD41+BC42-BL41)))</f>
        <v>82.789473684210606</v>
      </c>
      <c r="BE42" s="14">
        <f>BD42*VLOOKUP('Données projet'!$B$11,Paramètres!$A$1:$I$89,3,0)*VLOOKUP('Données projet'!$B$11,Paramètres!$A$1:$I$89,5,0)</f>
        <v>40.898000000000039</v>
      </c>
      <c r="BF42" s="14">
        <f t="shared" si="37"/>
        <v>12.236353485291083</v>
      </c>
      <c r="BG42" s="22">
        <f t="shared" si="7"/>
        <v>92.54233232021538</v>
      </c>
      <c r="BH42" s="62">
        <f t="shared" si="8"/>
        <v>385.87566565354871</v>
      </c>
      <c r="BI42" s="62">
        <f ca="1">AVERAGE(OFFSET($BH$3,0,0,'Données projet'!$E$11+1,1))-AVERAGE(OFFSET($H$3,0,0,'Données projet'!$E$11+1,1))</f>
        <v>113.38017445149029</v>
      </c>
      <c r="BJ42" s="62">
        <f t="shared" si="38"/>
        <v>108.36144594421921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13.642857142857142</v>
      </c>
      <c r="N43" s="14">
        <f>IF('Données projet'!$A$36&gt;35,N42+M43-V42,IF(A43&lt;'Données projet'!$A$36,$K$205^A43,IF(A43='Données projet'!$A$36,'Données projet'!$B$36,N42+M43-V42)))</f>
        <v>362.14285714285739</v>
      </c>
      <c r="O43" s="14">
        <f>N43*VLOOKUP('Données projet'!$B$9,Paramètres!$A$1:$I$89,3,0)*VLOOKUP('Données projet'!$B$9,Paramètres!$A$1:$I$89,5,0)</f>
        <v>202.4378571428573</v>
      </c>
      <c r="P43" s="14">
        <f t="shared" si="33"/>
        <v>50.279556569756075</v>
      </c>
      <c r="Q43" s="22">
        <f t="shared" si="53"/>
        <v>440.14949554946821</v>
      </c>
      <c r="R43" s="62">
        <f t="shared" si="0"/>
        <v>733.48282888280153</v>
      </c>
      <c r="S43" s="62">
        <f ca="1">AVERAGE(OFFSET($R$3,0,0,'Données projet'!$E$9+1,1))-AVERAGE(OFFSET($H$3,0,0,'Données projet'!$E$9+1,1))</f>
        <v>313.92223852157559</v>
      </c>
      <c r="T43" s="62">
        <f t="shared" si="34"/>
        <v>394.03759949558702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7.906668201078447</v>
      </c>
      <c r="AB43" s="23">
        <f>EXP(-LN(2)/2)*AB42+(1-EXP(-LN(2)/2))/(LN(2)/2)*V43*Y43*VLOOKUP('Données projet'!$B$9,Paramètres!$A$1:$I$89,3,0)*0.475*44/12</f>
        <v>0.10314410115853954</v>
      </c>
      <c r="AC43" s="24">
        <f t="shared" si="3"/>
        <v>8.0098123022369858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151</v>
      </c>
      <c r="AG43" s="13">
        <f>VLOOKUP(A43,'Données projet'!$A$61:$I$81,9,0)</f>
        <v>8.3000000000000007</v>
      </c>
      <c r="AH43" s="13">
        <f t="array" ref="AH43">INDEX(AG:AG,MIN(IF(ISNUMBER(AG43:AG239),ROW(AG43:AG239),"")))</f>
        <v>8.3000000000000007</v>
      </c>
      <c r="AI43" s="14">
        <f>IF('Données projet'!$A$62&gt;35,AI42+AH43-AQ42,IF(A43&lt;'Données projet'!$A$62,$AF$205^A43,IF(A43='Données projet'!$A$62,'Données projet'!$B$62,AI42+AH43-AQ42)))</f>
        <v>151</v>
      </c>
      <c r="AJ43" s="14">
        <f>AI43*VLOOKUP('Données projet'!$B$10,Paramètres!$A$1:$I$89,3,0)*VLOOKUP('Données projet'!$B$10,Paramètres!$A$1:$I$89,5,0)</f>
        <v>86.372</v>
      </c>
      <c r="AK43" s="14">
        <f t="shared" si="35"/>
        <v>23.688154476701591</v>
      </c>
      <c r="AL43" s="22">
        <f t="shared" si="4"/>
        <v>191.68810238025526</v>
      </c>
      <c r="AM43" s="62">
        <f t="shared" si="5"/>
        <v>485.02143571358857</v>
      </c>
      <c r="AN43" s="62">
        <f ca="1">AVERAGE(OFFSET($AM$3,0,0,'Données projet'!$E$10+1,1))-AVERAGE(OFFSET($H$3,0,0,'Données projet'!$E$10+1,1))</f>
        <v>148.40707092284572</v>
      </c>
      <c r="AO43" s="62">
        <f t="shared" si="36"/>
        <v>162.45539016632631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38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3.8663645630954169</v>
      </c>
      <c r="AW43" s="23">
        <f>EXP(-LN(2)/2)*AW42+(1-EXP(-LN(2)/2))/(LN(2)/2)*AQ43*AT43*VLOOKUP('Données projet'!$B$10,Paramètres!$A$1:$I$89,3,0)*0.475*44/12</f>
        <v>0.30357978477428371</v>
      </c>
      <c r="AX43" s="23">
        <f t="shared" si="6"/>
        <v>4.1699443478697003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2.1228070175438596</v>
      </c>
      <c r="BD43" s="13">
        <f>IF('Données projet'!$A$88&gt;35,BD42+BC43-BL42,IF(A43&lt;'Données projet'!$A$88,$BA$205^A43,IF(A43='Données projet'!$A$88,'Données projet'!$B$88,BD42+BC43-BL42)))</f>
        <v>84.912280701754469</v>
      </c>
      <c r="BE43" s="14">
        <f>BD43*VLOOKUP('Données projet'!$B$11,Paramètres!$A$1:$I$89,3,0)*VLOOKUP('Données projet'!$B$11,Paramètres!$A$1:$I$89,5,0)</f>
        <v>41.946666666666715</v>
      </c>
      <c r="BF43" s="14">
        <f t="shared" si="37"/>
        <v>12.513175509588178</v>
      </c>
      <c r="BG43" s="22">
        <f t="shared" si="7"/>
        <v>94.850891790310598</v>
      </c>
      <c r="BH43" s="62">
        <f t="shared" si="8"/>
        <v>388.1842251236439</v>
      </c>
      <c r="BI43" s="62">
        <f ca="1">AVERAGE(OFFSET($BH$3,0,0,'Données projet'!$E$11+1,1))-AVERAGE(OFFSET($H$3,0,0,'Données projet'!$E$11+1,1))</f>
        <v>113.38017445149029</v>
      </c>
      <c r="BJ43" s="62">
        <f t="shared" si="38"/>
        <v>108.36144594421921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13.642857142857142</v>
      </c>
      <c r="N44" s="14">
        <f>IF('Données projet'!$A$36&gt;35,N43+M44-V43,IF(A44&lt;'Données projet'!$A$36,$K$205^A44,IF(A44='Données projet'!$A$36,'Données projet'!$B$36,N43+M44-V43)))</f>
        <v>375.78571428571456</v>
      </c>
      <c r="O44" s="14">
        <f>N44*VLOOKUP('Données projet'!$B$9,Paramètres!$A$1:$I$89,3,0)*VLOOKUP('Données projet'!$B$9,Paramètres!$A$1:$I$89,5,0)</f>
        <v>210.06421428571443</v>
      </c>
      <c r="P44" s="14">
        <f t="shared" si="33"/>
        <v>51.949617885637146</v>
      </c>
      <c r="Q44" s="22">
        <f t="shared" si="53"/>
        <v>456.3407576984373</v>
      </c>
      <c r="R44" s="62">
        <f t="shared" si="0"/>
        <v>749.67409103177056</v>
      </c>
      <c r="S44" s="62">
        <f ca="1">AVERAGE(OFFSET($R$3,0,0,'Données projet'!$E$9+1,1))-AVERAGE(OFFSET($H$3,0,0,'Données projet'!$E$9+1,1))</f>
        <v>313.92223852157559</v>
      </c>
      <c r="T44" s="62">
        <f t="shared" si="34"/>
        <v>394.03759949558702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7.6904599433263474</v>
      </c>
      <c r="AB44" s="23">
        <f>EXP(-LN(2)/2)*AB43+(1-EXP(-LN(2)/2))/(LN(2)/2)*V44*Y44*VLOOKUP('Données projet'!$B$9,Paramètres!$A$1:$I$89,3,0)*0.475*44/12</f>
        <v>7.2933893368594543E-2</v>
      </c>
      <c r="AC44" s="24">
        <f t="shared" si="3"/>
        <v>7.7633938366949415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</v>
      </c>
      <c r="AI44" s="14">
        <f>IF('Données projet'!$A$62&gt;35,AI43+AH44-AQ43,IF(A44&lt;'Données projet'!$A$62,$AF$205^A44,IF(A44='Données projet'!$A$62,'Données projet'!$B$62,AI43+AH44-AQ43)))</f>
        <v>124.1</v>
      </c>
      <c r="AJ44" s="14">
        <f>AI44*VLOOKUP('Données projet'!$B$10,Paramètres!$A$1:$I$89,3,0)*VLOOKUP('Données projet'!$B$10,Paramètres!$A$1:$I$89,5,0)</f>
        <v>70.985200000000006</v>
      </c>
      <c r="AK44" s="14">
        <f t="shared" si="35"/>
        <v>19.917918089432575</v>
      </c>
      <c r="AL44" s="22">
        <f t="shared" si="4"/>
        <v>158.32293067242841</v>
      </c>
      <c r="AM44" s="62">
        <f t="shared" si="5"/>
        <v>451.65626400576173</v>
      </c>
      <c r="AN44" s="62">
        <f ca="1">AVERAGE(OFFSET($AM$3,0,0,'Données projet'!$E$10+1,1))-AVERAGE(OFFSET($H$3,0,0,'Données projet'!$E$10+1,1))</f>
        <v>148.40707092284572</v>
      </c>
      <c r="AO44" s="62">
        <f t="shared" si="36"/>
        <v>162.45539016632631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3.760638620794297</v>
      </c>
      <c r="AW44" s="23">
        <f>EXP(-LN(2)/2)*AW43+(1-EXP(-LN(2)/2))/(LN(2)/2)*AQ44*AT44*VLOOKUP('Données projet'!$B$10,Paramètres!$A$1:$I$89,3,0)*0.475*44/12</f>
        <v>0.21466332444504863</v>
      </c>
      <c r="AX44" s="23">
        <f t="shared" si="6"/>
        <v>3.9753019452393454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2.1228070175438596</v>
      </c>
      <c r="BD44" s="13">
        <f>IF('Données projet'!$A$88&gt;35,BD43+BC44-BL43,IF(A44&lt;'Données projet'!$A$88,$BA$205^A44,IF(A44='Données projet'!$A$88,'Données projet'!$B$88,BD43+BC44-BL43)))</f>
        <v>87.035087719298332</v>
      </c>
      <c r="BE44" s="14">
        <f>BD44*VLOOKUP('Données projet'!$B$11,Paramètres!$A$1:$I$89,3,0)*VLOOKUP('Données projet'!$B$11,Paramètres!$A$1:$I$89,5,0)</f>
        <v>42.995333333333377</v>
      </c>
      <c r="BF44" s="14">
        <f t="shared" si="37"/>
        <v>12.789193064176281</v>
      </c>
      <c r="BG44" s="22">
        <f t="shared" si="7"/>
        <v>97.15805014232933</v>
      </c>
      <c r="BH44" s="62">
        <f t="shared" si="8"/>
        <v>390.49138347566264</v>
      </c>
      <c r="BI44" s="62">
        <f ca="1">AVERAGE(OFFSET($BH$3,0,0,'Données projet'!$E$11+1,1))-AVERAGE(OFFSET($H$3,0,0,'Données projet'!$E$11+1,1))</f>
        <v>113.38017445149029</v>
      </c>
      <c r="BJ44" s="62">
        <f t="shared" si="38"/>
        <v>108.36144594421921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13.642857142857142</v>
      </c>
      <c r="N45" s="14">
        <f>IF('Données projet'!$A$36&gt;35,N44+M45-V44,IF(A45&lt;'Données projet'!$A$36,$K$205^A45,IF(A45='Données projet'!$A$36,'Données projet'!$B$36,N44+M45-V44)))</f>
        <v>389.42857142857173</v>
      </c>
      <c r="O45" s="14">
        <f>N45*VLOOKUP('Données projet'!$B$9,Paramètres!$A$1:$I$89,3,0)*VLOOKUP('Données projet'!$B$9,Paramètres!$A$1:$I$89,5,0)</f>
        <v>217.69057142857162</v>
      </c>
      <c r="P45" s="14">
        <f t="shared" si="33"/>
        <v>53.612634964962567</v>
      </c>
      <c r="Q45" s="22">
        <f t="shared" si="53"/>
        <v>472.51975113540533</v>
      </c>
      <c r="R45" s="62">
        <f t="shared" si="0"/>
        <v>765.85308446873864</v>
      </c>
      <c r="S45" s="62">
        <f ca="1">AVERAGE(OFFSET($R$3,0,0,'Données projet'!$E$9+1,1))-AVERAGE(OFFSET($H$3,0,0,'Données projet'!$E$9+1,1))</f>
        <v>313.92223852157559</v>
      </c>
      <c r="T45" s="62">
        <f t="shared" si="34"/>
        <v>394.03759949558702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7.4801639117523768</v>
      </c>
      <c r="AB45" s="23">
        <f>EXP(-LN(2)/2)*AB44+(1-EXP(-LN(2)/2))/(LN(2)/2)*V45*Y45*VLOOKUP('Données projet'!$B$9,Paramètres!$A$1:$I$89,3,0)*0.475*44/12</f>
        <v>5.1572050579269772E-2</v>
      </c>
      <c r="AC45" s="24">
        <f t="shared" si="3"/>
        <v>7.5317359623316467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</v>
      </c>
      <c r="AI45" s="14">
        <f>IF('Données projet'!$A$62&gt;35,AI44+AH45-AQ44,IF(A45&lt;'Données projet'!$A$62,$AF$205^A45,IF(A45='Données projet'!$A$62,'Données projet'!$B$62,AI44+AH45-AQ44)))</f>
        <v>135.19999999999999</v>
      </c>
      <c r="AJ45" s="14">
        <f>AI45*VLOOKUP('Données projet'!$B$10,Paramètres!$A$1:$I$89,3,0)*VLOOKUP('Données projet'!$B$10,Paramètres!$A$1:$I$89,5,0)</f>
        <v>77.334399999999988</v>
      </c>
      <c r="AK45" s="14">
        <f t="shared" si="35"/>
        <v>21.484151222028746</v>
      </c>
      <c r="AL45" s="22">
        <f t="shared" si="4"/>
        <v>172.10897671170002</v>
      </c>
      <c r="AM45" s="62">
        <f t="shared" si="5"/>
        <v>465.44231004503331</v>
      </c>
      <c r="AN45" s="62">
        <f ca="1">AVERAGE(OFFSET($AM$3,0,0,'Données projet'!$E$10+1,1))-AVERAGE(OFFSET($H$3,0,0,'Données projet'!$E$10+1,1))</f>
        <v>148.40707092284572</v>
      </c>
      <c r="AO45" s="62">
        <f t="shared" si="36"/>
        <v>162.45539016632631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3.6578037599452871</v>
      </c>
      <c r="AW45" s="23">
        <f>EXP(-LN(2)/2)*AW44+(1-EXP(-LN(2)/2))/(LN(2)/2)*AQ45*AT45*VLOOKUP('Données projet'!$B$10,Paramètres!$A$1:$I$89,3,0)*0.475*44/12</f>
        <v>0.15178989238714186</v>
      </c>
      <c r="AX45" s="23">
        <f t="shared" si="6"/>
        <v>3.809593652332429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2.1228070175438596</v>
      </c>
      <c r="BD45" s="13">
        <f>IF('Données projet'!$A$88&gt;35,BD44+BC45-BL44,IF(A45&lt;'Données projet'!$A$88,$BA$205^A45,IF(A45='Données projet'!$A$88,'Données projet'!$B$88,BD44+BC45-BL44)))</f>
        <v>89.157894736842195</v>
      </c>
      <c r="BE45" s="14">
        <f>BD45*VLOOKUP('Données projet'!$B$11,Paramètres!$A$1:$I$89,3,0)*VLOOKUP('Données projet'!$B$11,Paramètres!$A$1:$I$89,5,0)</f>
        <v>44.04400000000004</v>
      </c>
      <c r="BF45" s="14">
        <f t="shared" si="37"/>
        <v>13.064428027498799</v>
      </c>
      <c r="BG45" s="22">
        <f t="shared" si="7"/>
        <v>99.463845481227125</v>
      </c>
      <c r="BH45" s="62">
        <f t="shared" si="8"/>
        <v>392.79717881456043</v>
      </c>
      <c r="BI45" s="62">
        <f ca="1">AVERAGE(OFFSET($BH$3,0,0,'Données projet'!$E$11+1,1))-AVERAGE(OFFSET($H$3,0,0,'Données projet'!$E$11+1,1))</f>
        <v>113.38017445149029</v>
      </c>
      <c r="BJ45" s="62">
        <f t="shared" si="38"/>
        <v>108.36144594421921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13.642857142857142</v>
      </c>
      <c r="N46" s="14">
        <f>IF('Données projet'!$A$36&gt;35,N45+M46-V45,IF(A46&lt;'Données projet'!$A$36,$K$205^A46,IF(A46='Données projet'!$A$36,'Données projet'!$B$36,N45+M46-V45)))</f>
        <v>403.0714285714289</v>
      </c>
      <c r="O46" s="14">
        <f>N46*VLOOKUP('Données projet'!$B$9,Paramètres!$A$1:$I$89,3,0)*VLOOKUP('Données projet'!$B$9,Paramètres!$A$1:$I$89,5,0)</f>
        <v>225.31692857142875</v>
      </c>
      <c r="P46" s="14">
        <f t="shared" si="33"/>
        <v>55.268882867274407</v>
      </c>
      <c r="Q46" s="22">
        <f t="shared" si="53"/>
        <v>488.68695492240795</v>
      </c>
      <c r="R46" s="62">
        <f t="shared" si="0"/>
        <v>782.02028825574121</v>
      </c>
      <c r="S46" s="62">
        <f ca="1">AVERAGE(OFFSET($R$3,0,0,'Données projet'!$E$9+1,1))-AVERAGE(OFFSET($H$3,0,0,'Données projet'!$E$9+1,1))</f>
        <v>313.92223852157559</v>
      </c>
      <c r="T46" s="62">
        <f t="shared" si="34"/>
        <v>394.03759949558702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7.2756184362207845</v>
      </c>
      <c r="AB46" s="23">
        <f>EXP(-LN(2)/2)*AB45+(1-EXP(-LN(2)/2))/(LN(2)/2)*V46*Y46*VLOOKUP('Données projet'!$B$9,Paramètres!$A$1:$I$89,3,0)*0.475*44/12</f>
        <v>3.6466946684297272E-2</v>
      </c>
      <c r="AC46" s="24">
        <f t="shared" si="3"/>
        <v>7.3120853829050816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</v>
      </c>
      <c r="AI46" s="14">
        <f>IF('Données projet'!$A$62&gt;35,AI45+AH46-AQ45,IF(A46&lt;'Données projet'!$A$62,$AF$205^A46,IF(A46='Données projet'!$A$62,'Données projet'!$B$62,AI45+AH46-AQ45)))</f>
        <v>146.29999999999998</v>
      </c>
      <c r="AJ46" s="14">
        <f>AI46*VLOOKUP('Données projet'!$B$10,Paramètres!$A$1:$I$89,3,0)*VLOOKUP('Données projet'!$B$10,Paramètres!$A$1:$I$89,5,0)</f>
        <v>83.683599999999998</v>
      </c>
      <c r="AK46" s="14">
        <f t="shared" si="35"/>
        <v>23.035470251852324</v>
      </c>
      <c r="AL46" s="22">
        <f t="shared" si="4"/>
        <v>185.86904735530945</v>
      </c>
      <c r="AM46" s="62">
        <f t="shared" si="5"/>
        <v>479.20238068864273</v>
      </c>
      <c r="AN46" s="62">
        <f ca="1">AVERAGE(OFFSET($AM$3,0,0,'Données projet'!$E$10+1,1))-AVERAGE(OFFSET($H$3,0,0,'Données projet'!$E$10+1,1))</f>
        <v>148.40707092284572</v>
      </c>
      <c r="AO46" s="62">
        <f t="shared" si="36"/>
        <v>162.45539016632631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3.5577809237740436</v>
      </c>
      <c r="AW46" s="23">
        <f>EXP(-LN(2)/2)*AW45+(1-EXP(-LN(2)/2))/(LN(2)/2)*AQ46*AT46*VLOOKUP('Données projet'!$B$10,Paramètres!$A$1:$I$89,3,0)*0.475*44/12</f>
        <v>0.10733166222252431</v>
      </c>
      <c r="AX46" s="23">
        <f t="shared" si="6"/>
        <v>3.6651125859965679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2.1228070175438596</v>
      </c>
      <c r="BD46" s="13">
        <f>IF('Données projet'!$A$88&gt;35,BD45+BC46-BL45,IF(A46&lt;'Données projet'!$A$88,$BA$205^A46,IF(A46='Données projet'!$A$88,'Données projet'!$B$88,BD45+BC46-BL45)))</f>
        <v>91.280701754386058</v>
      </c>
      <c r="BE46" s="14">
        <f>BD46*VLOOKUP('Données projet'!$B$11,Paramètres!$A$1:$I$89,3,0)*VLOOKUP('Données projet'!$B$11,Paramètres!$A$1:$I$89,5,0)</f>
        <v>45.092666666666716</v>
      </c>
      <c r="BF46" s="14">
        <f t="shared" si="37"/>
        <v>13.338901176746937</v>
      </c>
      <c r="BG46" s="22">
        <f t="shared" si="7"/>
        <v>101.76831399394543</v>
      </c>
      <c r="BH46" s="62">
        <f t="shared" si="8"/>
        <v>395.10164732727873</v>
      </c>
      <c r="BI46" s="62">
        <f ca="1">AVERAGE(OFFSET($BH$3,0,0,'Données projet'!$E$11+1,1))-AVERAGE(OFFSET($H$3,0,0,'Données projet'!$E$11+1,1))</f>
        <v>113.38017445149029</v>
      </c>
      <c r="BJ46" s="62">
        <f t="shared" si="38"/>
        <v>108.36144594421921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13.642857142857142</v>
      </c>
      <c r="N47" s="14">
        <f>IF('Données projet'!$A$36&gt;35,N46+M47-V46,IF(A47&lt;'Données projet'!$A$36,$K$205^A47,IF(A47='Données projet'!$A$36,'Données projet'!$B$36,N46+M47-V46)))</f>
        <v>416.71428571428606</v>
      </c>
      <c r="O47" s="14">
        <f>N47*VLOOKUP('Données projet'!$B$9,Paramètres!$A$1:$I$89,3,0)*VLOOKUP('Données projet'!$B$9,Paramètres!$A$1:$I$89,5,0)</f>
        <v>232.94328571428593</v>
      </c>
      <c r="P47" s="14">
        <f t="shared" si="33"/>
        <v>56.918616975747959</v>
      </c>
      <c r="Q47" s="22">
        <f t="shared" si="53"/>
        <v>504.84281385180907</v>
      </c>
      <c r="R47" s="62">
        <f t="shared" si="0"/>
        <v>798.17614718514233</v>
      </c>
      <c r="S47" s="62">
        <f ca="1">AVERAGE(OFFSET($R$3,0,0,'Données projet'!$E$9+1,1))-AVERAGE(OFFSET($H$3,0,0,'Données projet'!$E$9+1,1))</f>
        <v>313.92223852157559</v>
      </c>
      <c r="T47" s="62">
        <f t="shared" si="34"/>
        <v>394.03759949558702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7.0766662674741827</v>
      </c>
      <c r="AB47" s="23">
        <f>EXP(-LN(2)/2)*AB46+(1-EXP(-LN(2)/2))/(LN(2)/2)*V47*Y47*VLOOKUP('Données projet'!$B$9,Paramètres!$A$1:$I$89,3,0)*0.475*44/12</f>
        <v>2.5786025289634886E-2</v>
      </c>
      <c r="AC47" s="24">
        <f t="shared" si="3"/>
        <v>7.1024522927638172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11.1</v>
      </c>
      <c r="AI47" s="14">
        <f>IF('Données projet'!$A$62&gt;35,AI46+AH47-AQ46,IF(A47&lt;'Données projet'!$A$62,$AF$205^A47,IF(A47='Données projet'!$A$62,'Données projet'!$B$62,AI46+AH47-AQ46)))</f>
        <v>157.39999999999998</v>
      </c>
      <c r="AJ47" s="14">
        <f>AI47*VLOOKUP('Données projet'!$B$10,Paramètres!$A$1:$I$89,3,0)*VLOOKUP('Données projet'!$B$10,Paramètres!$A$1:$I$89,5,0)</f>
        <v>90.03279999999998</v>
      </c>
      <c r="AK47" s="14">
        <f t="shared" si="35"/>
        <v>24.573135396321401</v>
      </c>
      <c r="AL47" s="22">
        <f t="shared" si="4"/>
        <v>199.6053374819264</v>
      </c>
      <c r="AM47" s="62">
        <f t="shared" si="5"/>
        <v>492.93867081525968</v>
      </c>
      <c r="AN47" s="62">
        <f ca="1">AVERAGE(OFFSET($AM$3,0,0,'Données projet'!$E$10+1,1))-AVERAGE(OFFSET($H$3,0,0,'Données projet'!$E$10+1,1))</f>
        <v>148.40707092284572</v>
      </c>
      <c r="AO47" s="62">
        <f t="shared" si="36"/>
        <v>162.45539016632631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3.4604932173178748</v>
      </c>
      <c r="AW47" s="23">
        <f>EXP(-LN(2)/2)*AW46+(1-EXP(-LN(2)/2))/(LN(2)/2)*AQ47*AT47*VLOOKUP('Données projet'!$B$10,Paramètres!$A$1:$I$89,3,0)*0.475*44/12</f>
        <v>7.5894946193570928E-2</v>
      </c>
      <c r="AX47" s="23">
        <f t="shared" si="6"/>
        <v>3.5363881635114458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2.1228070175438596</v>
      </c>
      <c r="BD47" s="13">
        <f>IF('Données projet'!$A$88&gt;35,BD46+BC47-BL46,IF(A47&lt;'Données projet'!$A$88,$BA$205^A47,IF(A47='Données projet'!$A$88,'Données projet'!$B$88,BD46+BC47-BL46)))</f>
        <v>93.403508771929921</v>
      </c>
      <c r="BE47" s="14">
        <f>BD47*VLOOKUP('Données projet'!$B$11,Paramètres!$A$1:$I$89,3,0)*VLOOKUP('Données projet'!$B$11,Paramètres!$A$1:$I$89,5,0)</f>
        <v>46.141333333333378</v>
      </c>
      <c r="BF47" s="14">
        <f t="shared" si="37"/>
        <v>13.612632267593309</v>
      </c>
      <c r="BG47" s="22">
        <f t="shared" si="7"/>
        <v>104.07149008828065</v>
      </c>
      <c r="BH47" s="62">
        <f t="shared" si="8"/>
        <v>397.40482342161397</v>
      </c>
      <c r="BI47" s="62">
        <f ca="1">AVERAGE(OFFSET($BH$3,0,0,'Données projet'!$E$11+1,1))-AVERAGE(OFFSET($H$3,0,0,'Données projet'!$E$11+1,1))</f>
        <v>113.38017445149029</v>
      </c>
      <c r="BJ47" s="62">
        <f t="shared" si="38"/>
        <v>108.36144594421921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13.642857142857142</v>
      </c>
      <c r="N48" s="14">
        <f>IF('Données projet'!$A$36&gt;35,N47+M48-V47,IF(A48&lt;'Données projet'!$A$36,$K$205^A48,IF(A48='Données projet'!$A$36,'Données projet'!$B$36,N47+M48-V47)))</f>
        <v>430.35714285714323</v>
      </c>
      <c r="O48" s="14">
        <f>N48*VLOOKUP('Données projet'!$B$9,Paramètres!$A$1:$I$89,3,0)*VLOOKUP('Données projet'!$B$9,Paramètres!$A$1:$I$89,5,0)</f>
        <v>240.56964285714307</v>
      </c>
      <c r="P48" s="14">
        <f t="shared" si="33"/>
        <v>58.562075002378066</v>
      </c>
      <c r="Q48" s="22">
        <f t="shared" si="53"/>
        <v>520.98774193866586</v>
      </c>
      <c r="R48" s="62">
        <f t="shared" si="0"/>
        <v>814.32107527199923</v>
      </c>
      <c r="S48" s="62">
        <f ca="1">AVERAGE(OFFSET($R$3,0,0,'Données projet'!$E$9+1,1))-AVERAGE(OFFSET($H$3,0,0,'Données projet'!$E$9+1,1))</f>
        <v>313.92223852157559</v>
      </c>
      <c r="T48" s="62">
        <f t="shared" si="34"/>
        <v>394.03759949558702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6.8831544562443963</v>
      </c>
      <c r="AB48" s="23">
        <f>EXP(-LN(2)/2)*AB47+(1-EXP(-LN(2)/2))/(LN(2)/2)*V48*Y48*VLOOKUP('Données projet'!$B$9,Paramètres!$A$1:$I$89,3,0)*0.475*44/12</f>
        <v>1.8233473342148636E-2</v>
      </c>
      <c r="AC48" s="24">
        <f t="shared" si="3"/>
        <v>6.9013879295865452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11.1</v>
      </c>
      <c r="AI48" s="14">
        <f>IF('Données projet'!$A$62&gt;35,AI47+AH48-AQ47,IF(A48&lt;'Données projet'!$A$62,$AF$205^A48,IF(A48='Données projet'!$A$62,'Données projet'!$B$62,AI47+AH48-AQ47)))</f>
        <v>168.49999999999997</v>
      </c>
      <c r="AJ48" s="14">
        <f>AI48*VLOOKUP('Données projet'!$B$10,Paramètres!$A$1:$I$89,3,0)*VLOOKUP('Données projet'!$B$10,Paramètres!$A$1:$I$89,5,0)</f>
        <v>96.381999999999991</v>
      </c>
      <c r="AK48" s="14">
        <f t="shared" si="35"/>
        <v>26.098219061035515</v>
      </c>
      <c r="AL48" s="22">
        <f t="shared" si="4"/>
        <v>213.31971486463684</v>
      </c>
      <c r="AM48" s="62">
        <f t="shared" si="5"/>
        <v>506.65304819797018</v>
      </c>
      <c r="AN48" s="62">
        <f ca="1">AVERAGE(OFFSET($AM$3,0,0,'Données projet'!$E$10+1,1))-AVERAGE(OFFSET($H$3,0,0,'Données projet'!$E$10+1,1))</f>
        <v>148.40707092284572</v>
      </c>
      <c r="AO48" s="62">
        <f t="shared" si="36"/>
        <v>162.45539016632631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3.3658658483108885</v>
      </c>
      <c r="AW48" s="23">
        <f>EXP(-LN(2)/2)*AW47+(1-EXP(-LN(2)/2))/(LN(2)/2)*AQ48*AT48*VLOOKUP('Données projet'!$B$10,Paramètres!$A$1:$I$89,3,0)*0.475*44/12</f>
        <v>5.3665831111262156E-2</v>
      </c>
      <c r="AX48" s="23">
        <f t="shared" si="6"/>
        <v>3.4195316794221506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2.1228070175438596</v>
      </c>
      <c r="BD48" s="13">
        <f>IF('Données projet'!$A$88&gt;35,BD47+BC48-BL47,IF(A48&lt;'Données projet'!$A$88,$BA$205^A48,IF(A48='Données projet'!$A$88,'Données projet'!$B$88,BD47+BC48-BL47)))</f>
        <v>95.526315789473784</v>
      </c>
      <c r="BE48" s="14">
        <f>BD48*VLOOKUP('Données projet'!$B$11,Paramètres!$A$1:$I$89,3,0)*VLOOKUP('Données projet'!$B$11,Paramètres!$A$1:$I$89,5,0)</f>
        <v>47.190000000000055</v>
      </c>
      <c r="BF48" s="14">
        <f t="shared" si="37"/>
        <v>13.8856401064727</v>
      </c>
      <c r="BG48" s="22">
        <f t="shared" si="7"/>
        <v>106.37340651877338</v>
      </c>
      <c r="BH48" s="62">
        <f t="shared" si="8"/>
        <v>399.70673985210669</v>
      </c>
      <c r="BI48" s="62">
        <f ca="1">AVERAGE(OFFSET($BH$3,0,0,'Données projet'!$E$11+1,1))-AVERAGE(OFFSET($H$3,0,0,'Données projet'!$E$11+1,1))</f>
        <v>113.38017445149029</v>
      </c>
      <c r="BJ48" s="62">
        <f t="shared" si="38"/>
        <v>108.36144594421921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444</v>
      </c>
      <c r="L49" s="13">
        <f>VLOOKUP(A49,'Données projet'!$A$35:$I$55,9,0)</f>
        <v>13.642857142857142</v>
      </c>
      <c r="M49" s="13">
        <f t="array" ref="M49">INDEX(L:L,MIN(IF(ISNUMBER(L49:L245),ROW(L49:L245),"")))</f>
        <v>13.642857142857142</v>
      </c>
      <c r="N49" s="14">
        <f>IF('Données projet'!$A$36&gt;35,N48+M49-V48,IF(A49&lt;'Données projet'!$A$36,$K$205^A49,IF(A49='Données projet'!$A$36,'Données projet'!$B$36,N48+M49-V48)))</f>
        <v>444.0000000000004</v>
      </c>
      <c r="O49" s="14">
        <f>N49*VLOOKUP('Données projet'!$B$9,Paramètres!$A$1:$I$89,3,0)*VLOOKUP('Données projet'!$B$9,Paramètres!$A$1:$I$89,5,0)</f>
        <v>248.19600000000023</v>
      </c>
      <c r="P49" s="14">
        <f t="shared" si="33"/>
        <v>60.199478731755242</v>
      </c>
      <c r="Q49" s="22">
        <f t="shared" si="53"/>
        <v>537.12212545780744</v>
      </c>
      <c r="R49" s="62">
        <f t="shared" si="0"/>
        <v>830.4554587911407</v>
      </c>
      <c r="S49" s="62">
        <f ca="1">AVERAGE(OFFSET($R$3,0,0,'Données projet'!$E$9+1,1))-AVERAGE(OFFSET($H$3,0,0,'Données projet'!$E$9+1,1))</f>
        <v>313.92223852157559</v>
      </c>
      <c r="T49" s="62">
        <f t="shared" si="34"/>
        <v>394.03759949558702</v>
      </c>
      <c r="U49" s="16">
        <f>IF(ISNA(VLOOKUP(A49,'Données projet'!$A$35:$I$55,3,0)),0,VLOOKUP(A49,'Données projet'!$A$35:$I$55,3,0))</f>
        <v>3</v>
      </c>
      <c r="V49" s="16">
        <f>IF(ISNA(VLOOKUP(A49,'Données projet'!$A$35:$I$55,4,0)),0,VLOOKUP(A49,'Données projet'!$A$35:$I$55,4,0))</f>
        <v>86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6.6949342356690318</v>
      </c>
      <c r="AB49" s="23">
        <f>EXP(-LN(2)/2)*AB48+(1-EXP(-LN(2)/2))/(LN(2)/2)*V49*Y49*VLOOKUP('Données projet'!$B$9,Paramètres!$A$1:$I$89,3,0)*0.475*44/12</f>
        <v>1.2893012644817443E-2</v>
      </c>
      <c r="AC49" s="24">
        <f t="shared" si="3"/>
        <v>6.7078272483138495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11.1</v>
      </c>
      <c r="AI49" s="14">
        <f>IF('Données projet'!$A$62&gt;35,AI48+AH49-AQ48,IF(A49&lt;'Données projet'!$A$62,$AF$205^A49,IF(A49='Données projet'!$A$62,'Données projet'!$B$62,AI48+AH49-AQ48)))</f>
        <v>179.59999999999997</v>
      </c>
      <c r="AJ49" s="14">
        <f>AI49*VLOOKUP('Données projet'!$B$10,Paramètres!$A$1:$I$89,3,0)*VLOOKUP('Données projet'!$B$10,Paramètres!$A$1:$I$89,5,0)</f>
        <v>102.73119999999999</v>
      </c>
      <c r="AK49" s="14">
        <f t="shared" si="35"/>
        <v>27.611644369626259</v>
      </c>
      <c r="AL49" s="22">
        <f t="shared" si="4"/>
        <v>227.01378727709903</v>
      </c>
      <c r="AM49" s="62">
        <f t="shared" si="5"/>
        <v>520.34712061043228</v>
      </c>
      <c r="AN49" s="62">
        <f ca="1">AVERAGE(OFFSET($AM$3,0,0,'Données projet'!$E$10+1,1))-AVERAGE(OFFSET($H$3,0,0,'Données projet'!$E$10+1,1))</f>
        <v>148.40707092284572</v>
      </c>
      <c r="AO49" s="62">
        <f t="shared" si="36"/>
        <v>162.45539016632631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3.2738260696856352</v>
      </c>
      <c r="AW49" s="23">
        <f>EXP(-LN(2)/2)*AW48+(1-EXP(-LN(2)/2))/(LN(2)/2)*AQ49*AT49*VLOOKUP('Données projet'!$B$10,Paramètres!$A$1:$I$89,3,0)*0.475*44/12</f>
        <v>3.7947473096785464E-2</v>
      </c>
      <c r="AX49" s="23">
        <f t="shared" si="6"/>
        <v>3.3117735427824204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2.1228070175438596</v>
      </c>
      <c r="BD49" s="13">
        <f>IF('Données projet'!$A$88&gt;35,BD48+BC49-BL48,IF(A49&lt;'Données projet'!$A$88,$BA$205^A49,IF(A49='Données projet'!$A$88,'Données projet'!$B$88,BD48+BC49-BL48)))</f>
        <v>97.649122807017648</v>
      </c>
      <c r="BE49" s="14">
        <f>BD49*VLOOKUP('Données projet'!$B$11,Paramètres!$A$1:$I$89,3,0)*VLOOKUP('Données projet'!$B$11,Paramètres!$A$1:$I$89,5,0)</f>
        <v>48.238666666666717</v>
      </c>
      <c r="BF49" s="14">
        <f t="shared" si="37"/>
        <v>14.157942616256721</v>
      </c>
      <c r="BG49" s="22">
        <f t="shared" si="7"/>
        <v>108.67409450109164</v>
      </c>
      <c r="BH49" s="62">
        <f t="shared" si="8"/>
        <v>402.00742783442496</v>
      </c>
      <c r="BI49" s="62">
        <f ca="1">AVERAGE(OFFSET($BH$3,0,0,'Données projet'!$E$11+1,1))-AVERAGE(OFFSET($H$3,0,0,'Données projet'!$E$11+1,1))</f>
        <v>113.38017445149029</v>
      </c>
      <c r="BJ49" s="62">
        <f t="shared" si="38"/>
        <v>108.36144594421921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11.357142857142858</v>
      </c>
      <c r="N50" s="14">
        <f>IF('Données projet'!$A$36&gt;35,N49+M50-V49,IF(A50&lt;'Données projet'!$A$36,$K$205^A50,IF(A50='Données projet'!$A$36,'Données projet'!$B$36,N49+M50-V49)))</f>
        <v>369.35714285714323</v>
      </c>
      <c r="O50" s="14">
        <f>N50*VLOOKUP('Données projet'!$B$9,Paramètres!$A$1:$I$89,3,0)*VLOOKUP('Données projet'!$B$9,Paramètres!$A$1:$I$89,5,0)</f>
        <v>206.47064285714308</v>
      </c>
      <c r="P50" s="14">
        <f t="shared" si="33"/>
        <v>51.163573213965869</v>
      </c>
      <c r="Q50" s="22">
        <f t="shared" si="53"/>
        <v>448.71292632384802</v>
      </c>
      <c r="R50" s="62">
        <f t="shared" si="0"/>
        <v>742.04625965718128</v>
      </c>
      <c r="S50" s="62">
        <f ca="1">AVERAGE(OFFSET($R$3,0,0,'Données projet'!$E$9+1,1))-AVERAGE(OFFSET($H$3,0,0,'Données projet'!$E$9+1,1))</f>
        <v>313.92223852157559</v>
      </c>
      <c r="T50" s="62">
        <f t="shared" si="34"/>
        <v>394.03759949558702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6.5118609069233724</v>
      </c>
      <c r="AB50" s="23">
        <f>EXP(-LN(2)/2)*AB49+(1-EXP(-LN(2)/2))/(LN(2)/2)*V50*Y50*VLOOKUP('Données projet'!$B$9,Paramètres!$A$1:$I$89,3,0)*0.475*44/12</f>
        <v>9.1167366710743179E-3</v>
      </c>
      <c r="AC50" s="24">
        <f t="shared" si="3"/>
        <v>6.5209776435944464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11.1</v>
      </c>
      <c r="AI50" s="14">
        <f>IF('Données projet'!$A$62&gt;35,AI49+AH50-AQ49,IF(A50&lt;'Données projet'!$A$62,$AF$205^A50,IF(A50='Données projet'!$A$62,'Données projet'!$B$62,AI49+AH50-AQ49)))</f>
        <v>190.69999999999996</v>
      </c>
      <c r="AJ50" s="14">
        <f>AI50*VLOOKUP('Données projet'!$B$10,Paramètres!$A$1:$I$89,3,0)*VLOOKUP('Données projet'!$B$10,Paramètres!$A$1:$I$89,5,0)</f>
        <v>109.08039999999998</v>
      </c>
      <c r="AK50" s="14">
        <f t="shared" si="35"/>
        <v>29.114213891767964</v>
      </c>
      <c r="AL50" s="22">
        <f t="shared" si="4"/>
        <v>240.6889525281625</v>
      </c>
      <c r="AM50" s="62">
        <f t="shared" si="5"/>
        <v>534.02228586149579</v>
      </c>
      <c r="AN50" s="62">
        <f ca="1">AVERAGE(OFFSET($AM$3,0,0,'Données projet'!$E$10+1,1))-AVERAGE(OFFSET($H$3,0,0,'Données projet'!$E$10+1,1))</f>
        <v>148.40707092284572</v>
      </c>
      <c r="AO50" s="62">
        <f t="shared" si="36"/>
        <v>162.45539016632631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3.1843031236470507</v>
      </c>
      <c r="AW50" s="23">
        <f>EXP(-LN(2)/2)*AW49+(1-EXP(-LN(2)/2))/(LN(2)/2)*AQ50*AT50*VLOOKUP('Données projet'!$B$10,Paramètres!$A$1:$I$89,3,0)*0.475*44/12</f>
        <v>2.6832915555631078E-2</v>
      </c>
      <c r="AX50" s="23">
        <f t="shared" si="6"/>
        <v>3.2111360392026818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2.1228070175438596</v>
      </c>
      <c r="BD50" s="13">
        <f>IF('Données projet'!$A$88&gt;35,BD49+BC50-BL49,IF(A50&lt;'Données projet'!$A$88,$BA$205^A50,IF(A50='Données projet'!$A$88,'Données projet'!$B$88,BD49+BC50-BL49)))</f>
        <v>99.771929824561511</v>
      </c>
      <c r="BE50" s="14">
        <f>BD50*VLOOKUP('Données projet'!$B$11,Paramètres!$A$1:$I$89,3,0)*VLOOKUP('Données projet'!$B$11,Paramètres!$A$1:$I$89,5,0)</f>
        <v>49.287333333333393</v>
      </c>
      <c r="BF50" s="14">
        <f t="shared" si="37"/>
        <v>14.429556896056475</v>
      </c>
      <c r="BG50" s="22">
        <f t="shared" si="7"/>
        <v>110.97358381618734</v>
      </c>
      <c r="BH50" s="62">
        <f t="shared" si="8"/>
        <v>404.30691714952064</v>
      </c>
      <c r="BI50" s="62">
        <f ca="1">AVERAGE(OFFSET($BH$3,0,0,'Données projet'!$E$11+1,1))-AVERAGE(OFFSET($H$3,0,0,'Données projet'!$E$11+1,1))</f>
        <v>113.38017445149029</v>
      </c>
      <c r="BJ50" s="62">
        <f t="shared" si="38"/>
        <v>108.36144594421921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11.357142857142858</v>
      </c>
      <c r="N51" s="14">
        <f>IF('Données projet'!$A$36&gt;35,N50+M51-V50,IF(A51&lt;'Données projet'!$A$36,$K$205^A51,IF(A51='Données projet'!$A$36,'Données projet'!$B$36,N50+M51-V50)))</f>
        <v>380.71428571428606</v>
      </c>
      <c r="O51" s="14">
        <f>N51*VLOOKUP('Données projet'!$B$9,Paramètres!$A$1:$I$89,3,0)*VLOOKUP('Données projet'!$B$9,Paramètres!$A$1:$I$89,5,0)</f>
        <v>212.81928571428591</v>
      </c>
      <c r="P51" s="14">
        <f t="shared" si="33"/>
        <v>52.55119157228949</v>
      </c>
      <c r="Q51" s="22">
        <f t="shared" si="53"/>
        <v>462.18691460745214</v>
      </c>
      <c r="R51" s="62">
        <f t="shared" si="0"/>
        <v>755.52024794078545</v>
      </c>
      <c r="S51" s="62">
        <f ca="1">AVERAGE(OFFSET($R$3,0,0,'Données projet'!$E$9+1,1))-AVERAGE(OFFSET($H$3,0,0,'Données projet'!$E$9+1,1))</f>
        <v>313.92223852157559</v>
      </c>
      <c r="T51" s="62">
        <f t="shared" si="34"/>
        <v>394.03759949558702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6.3337937279796703</v>
      </c>
      <c r="AB51" s="23">
        <f>EXP(-LN(2)/2)*AB50+(1-EXP(-LN(2)/2))/(LN(2)/2)*V51*Y51*VLOOKUP('Données projet'!$B$9,Paramètres!$A$1:$I$89,3,0)*0.475*44/12</f>
        <v>6.4465063224087215E-3</v>
      </c>
      <c r="AC51" s="24">
        <f t="shared" si="3"/>
        <v>6.3402402343020787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11.1</v>
      </c>
      <c r="AI51" s="14">
        <f>IF('Données projet'!$A$62&gt;35,AI50+AH51-AQ50,IF(A51&lt;'Données projet'!$A$62,$AF$205^A51,IF(A51='Données projet'!$A$62,'Données projet'!$B$62,AI50+AH51-AQ50)))</f>
        <v>201.79999999999995</v>
      </c>
      <c r="AJ51" s="14">
        <f>AI51*VLOOKUP('Données projet'!$B$10,Paramètres!$A$1:$I$89,3,0)*VLOOKUP('Données projet'!$B$10,Paramètres!$A$1:$I$89,5,0)</f>
        <v>115.42959999999999</v>
      </c>
      <c r="AK51" s="14">
        <f t="shared" si="35"/>
        <v>30.606631489810834</v>
      </c>
      <c r="AL51" s="22">
        <f t="shared" si="4"/>
        <v>254.34643651142051</v>
      </c>
      <c r="AM51" s="62">
        <f t="shared" si="5"/>
        <v>547.67976984475376</v>
      </c>
      <c r="AN51" s="62">
        <f ca="1">AVERAGE(OFFSET($AM$3,0,0,'Données projet'!$E$10+1,1))-AVERAGE(OFFSET($H$3,0,0,'Données projet'!$E$10+1,1))</f>
        <v>148.40707092284572</v>
      </c>
      <c r="AO51" s="62">
        <f t="shared" si="36"/>
        <v>162.45539016632631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3.0972281872756988</v>
      </c>
      <c r="AW51" s="23">
        <f>EXP(-LN(2)/2)*AW50+(1-EXP(-LN(2)/2))/(LN(2)/2)*AQ51*AT51*VLOOKUP('Données projet'!$B$10,Paramètres!$A$1:$I$89,3,0)*0.475*44/12</f>
        <v>1.8973736548392732E-2</v>
      </c>
      <c r="AX51" s="23">
        <f t="shared" si="6"/>
        <v>3.1162019238240917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2.1228070175438596</v>
      </c>
      <c r="BD51" s="13">
        <f>IF('Données projet'!$A$88&gt;35,BD50+BC51-BL50,IF(A51&lt;'Données projet'!$A$88,$BA$205^A51,IF(A51='Données projet'!$A$88,'Données projet'!$B$88,BD50+BC51-BL50)))</f>
        <v>101.89473684210537</v>
      </c>
      <c r="BE51" s="14">
        <f>BD51*VLOOKUP('Données projet'!$B$11,Paramètres!$A$1:$I$89,3,0)*VLOOKUP('Données projet'!$B$11,Paramètres!$A$1:$I$89,5,0)</f>
        <v>50.336000000000055</v>
      </c>
      <c r="BF51" s="14">
        <f t="shared" si="37"/>
        <v>14.700499275792145</v>
      </c>
      <c r="BG51" s="22">
        <f t="shared" si="7"/>
        <v>113.27190290533805</v>
      </c>
      <c r="BH51" s="62">
        <f t="shared" si="8"/>
        <v>406.60523623867135</v>
      </c>
      <c r="BI51" s="62">
        <f ca="1">AVERAGE(OFFSET($BH$3,0,0,'Données projet'!$E$11+1,1))-AVERAGE(OFFSET($H$3,0,0,'Données projet'!$E$11+1,1))</f>
        <v>113.38017445149029</v>
      </c>
      <c r="BJ51" s="62">
        <f t="shared" si="38"/>
        <v>108.36144594421921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11.357142857142858</v>
      </c>
      <c r="N52" s="14">
        <f>IF('Données projet'!$A$36&gt;35,N51+M52-V51,IF(A52&lt;'Données projet'!$A$36,$K$205^A52,IF(A52='Données projet'!$A$36,'Données projet'!$B$36,N51+M52-V51)))</f>
        <v>392.0714285714289</v>
      </c>
      <c r="O52" s="14">
        <f>N52*VLOOKUP('Données projet'!$B$9,Paramètres!$A$1:$I$89,3,0)*VLOOKUP('Données projet'!$B$9,Paramètres!$A$1:$I$89,5,0)</f>
        <v>219.16792857142877</v>
      </c>
      <c r="P52" s="14">
        <f t="shared" si="33"/>
        <v>53.933999242472879</v>
      </c>
      <c r="Q52" s="22">
        <f t="shared" si="53"/>
        <v>475.65252427587865</v>
      </c>
      <c r="R52" s="62">
        <f t="shared" si="0"/>
        <v>768.98585760921196</v>
      </c>
      <c r="S52" s="62">
        <f ca="1">AVERAGE(OFFSET($R$3,0,0,'Données projet'!$E$9+1,1))-AVERAGE(OFFSET($H$3,0,0,'Données projet'!$E$9+1,1))</f>
        <v>313.92223852157559</v>
      </c>
      <c r="T52" s="62">
        <f t="shared" si="34"/>
        <v>394.03759949558702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6.1605958054083301</v>
      </c>
      <c r="AB52" s="23">
        <f>EXP(-LN(2)/2)*AB51+(1-EXP(-LN(2)/2))/(LN(2)/2)*V52*Y52*VLOOKUP('Données projet'!$B$9,Paramètres!$A$1:$I$89,3,0)*0.475*44/12</f>
        <v>4.558368335537159E-3</v>
      </c>
      <c r="AC52" s="24">
        <f t="shared" si="3"/>
        <v>6.1651541737438675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11.1</v>
      </c>
      <c r="AI52" s="14">
        <f>IF('Données projet'!$A$62&gt;35,AI51+AH52-AQ51,IF(A52&lt;'Données projet'!$A$62,$AF$205^A52,IF(A52='Données projet'!$A$62,'Données projet'!$B$62,AI51+AH52-AQ51)))</f>
        <v>212.89999999999995</v>
      </c>
      <c r="AJ52" s="14">
        <f>AI52*VLOOKUP('Données projet'!$B$10,Paramètres!$A$1:$I$89,3,0)*VLOOKUP('Données projet'!$B$10,Paramètres!$A$1:$I$89,5,0)</f>
        <v>121.77879999999998</v>
      </c>
      <c r="AK52" s="14">
        <f t="shared" si="35"/>
        <v>32.089519221053799</v>
      </c>
      <c r="AL52" s="22">
        <f t="shared" si="4"/>
        <v>267.98732264333535</v>
      </c>
      <c r="AM52" s="62">
        <f t="shared" si="5"/>
        <v>561.3206559766686</v>
      </c>
      <c r="AN52" s="62">
        <f ca="1">AVERAGE(OFFSET($AM$3,0,0,'Données projet'!$E$10+1,1))-AVERAGE(OFFSET($H$3,0,0,'Données projet'!$E$10+1,1))</f>
        <v>148.40707092284572</v>
      </c>
      <c r="AO52" s="62">
        <f t="shared" si="36"/>
        <v>162.45539016632631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3.0125343196184935</v>
      </c>
      <c r="AW52" s="23">
        <f>EXP(-LN(2)/2)*AW51+(1-EXP(-LN(2)/2))/(LN(2)/2)*AQ52*AT52*VLOOKUP('Données projet'!$B$10,Paramètres!$A$1:$I$89,3,0)*0.475*44/12</f>
        <v>1.3416457777815539E-2</v>
      </c>
      <c r="AX52" s="23">
        <f t="shared" si="6"/>
        <v>3.025950777396309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2.1228070175438596</v>
      </c>
      <c r="BD52" s="13">
        <f>IF('Données projet'!$A$88&gt;35,BD51+BC52-BL51,IF(A52&lt;'Données projet'!$A$88,$BA$205^A52,IF(A52='Données projet'!$A$88,'Données projet'!$B$88,BD51+BC52-BL51)))</f>
        <v>104.01754385964924</v>
      </c>
      <c r="BE52" s="14">
        <f>BD52*VLOOKUP('Données projet'!$B$11,Paramètres!$A$1:$I$89,3,0)*VLOOKUP('Données projet'!$B$11,Paramètres!$A$1:$I$89,5,0)</f>
        <v>51.384666666666732</v>
      </c>
      <c r="BF52" s="14">
        <f t="shared" si="37"/>
        <v>14.970785366086597</v>
      </c>
      <c r="BG52" s="22">
        <f t="shared" si="7"/>
        <v>115.56907895704539</v>
      </c>
      <c r="BH52" s="62">
        <f t="shared" si="8"/>
        <v>408.90241229037872</v>
      </c>
      <c r="BI52" s="62">
        <f ca="1">AVERAGE(OFFSET($BH$3,0,0,'Données projet'!$E$11+1,1))-AVERAGE(OFFSET($H$3,0,0,'Données projet'!$E$11+1,1))</f>
        <v>113.38017445149029</v>
      </c>
      <c r="BJ52" s="62">
        <f t="shared" si="38"/>
        <v>108.36144594421921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11.357142857142858</v>
      </c>
      <c r="N53" s="14">
        <f>IF('Données projet'!$A$36&gt;35,N52+M53-V52,IF(A53&lt;'Données projet'!$A$36,$K$205^A53,IF(A53='Données projet'!$A$36,'Données projet'!$B$36,N52+M53-V52)))</f>
        <v>403.42857142857173</v>
      </c>
      <c r="O53" s="14">
        <f>N53*VLOOKUP('Données projet'!$B$9,Paramètres!$A$1:$I$89,3,0)*VLOOKUP('Données projet'!$B$9,Paramètres!$A$1:$I$89,5,0)</f>
        <v>225.51657142857158</v>
      </c>
      <c r="P53" s="14">
        <f t="shared" si="33"/>
        <v>55.312151578387912</v>
      </c>
      <c r="Q53" s="22">
        <f t="shared" si="53"/>
        <v>489.11002590378774</v>
      </c>
      <c r="R53" s="62">
        <f t="shared" si="0"/>
        <v>782.44335923712106</v>
      </c>
      <c r="S53" s="62">
        <f ca="1">AVERAGE(OFFSET($R$3,0,0,'Données projet'!$E$9+1,1))-AVERAGE(OFFSET($H$3,0,0,'Données projet'!$E$9+1,1))</f>
        <v>313.92223852157559</v>
      </c>
      <c r="T53" s="62">
        <f t="shared" si="34"/>
        <v>394.03759949558702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5.9921339891377858</v>
      </c>
      <c r="AB53" s="23">
        <f>EXP(-LN(2)/2)*AB52+(1-EXP(-LN(2)/2))/(LN(2)/2)*V53*Y53*VLOOKUP('Données projet'!$B$9,Paramètres!$A$1:$I$89,3,0)*0.475*44/12</f>
        <v>3.2232531612043608E-3</v>
      </c>
      <c r="AC53" s="24">
        <f t="shared" si="3"/>
        <v>5.99535724229899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224</v>
      </c>
      <c r="AG53" s="13">
        <f>VLOOKUP(A53,'Données projet'!$A$61:$I$81,9,0)</f>
        <v>11.1</v>
      </c>
      <c r="AH53" s="13">
        <f t="array" ref="AH53">INDEX(AG:AG,MIN(IF(ISNUMBER(AG53:AG249),ROW(AG53:AG249),"")))</f>
        <v>11.1</v>
      </c>
      <c r="AI53" s="14">
        <f>IF('Données projet'!$A$62&gt;35,AI52+AH53-AQ52,IF(A53&lt;'Données projet'!$A$62,$AF$205^A53,IF(A53='Données projet'!$A$62,'Données projet'!$B$62,AI52+AH53-AQ52)))</f>
        <v>223.99999999999994</v>
      </c>
      <c r="AJ53" s="14">
        <f>AI53*VLOOKUP('Données projet'!$B$10,Paramètres!$A$1:$I$89,3,0)*VLOOKUP('Données projet'!$B$10,Paramètres!$A$1:$I$89,5,0)</f>
        <v>128.12799999999996</v>
      </c>
      <c r="AK53" s="14">
        <f t="shared" si="35"/>
        <v>33.563430614589933</v>
      </c>
      <c r="AL53" s="22">
        <f t="shared" si="4"/>
        <v>281.61257498707738</v>
      </c>
      <c r="AM53" s="62">
        <f t="shared" si="5"/>
        <v>574.94590832041069</v>
      </c>
      <c r="AN53" s="62">
        <f ca="1">AVERAGE(OFFSET($AM$3,0,0,'Données projet'!$E$10+1,1))-AVERAGE(OFFSET($H$3,0,0,'Données projet'!$E$10+1,1))</f>
        <v>148.40707092284572</v>
      </c>
      <c r="AO53" s="62">
        <f t="shared" si="36"/>
        <v>162.45539016632631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56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2.930156410226231</v>
      </c>
      <c r="AW53" s="23">
        <f>EXP(-LN(2)/2)*AW52+(1-EXP(-LN(2)/2))/(LN(2)/2)*AQ53*AT53*VLOOKUP('Données projet'!$B$10,Paramètres!$A$1:$I$89,3,0)*0.475*44/12</f>
        <v>9.486868274196366E-3</v>
      </c>
      <c r="AX53" s="23">
        <f t="shared" si="6"/>
        <v>2.9396432785004274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2.1228070175438596</v>
      </c>
      <c r="BD53" s="13">
        <f>IF('Données projet'!$A$88&gt;35,BD52+BC53-BL52,IF(A53&lt;'Données projet'!$A$88,$BA$205^A53,IF(A53='Données projet'!$A$88,'Données projet'!$B$88,BD52+BC53-BL52)))</f>
        <v>106.1403508771931</v>
      </c>
      <c r="BE53" s="14">
        <f>BD53*VLOOKUP('Données projet'!$B$11,Paramètres!$A$1:$I$89,3,0)*VLOOKUP('Données projet'!$B$11,Paramètres!$A$1:$I$89,5,0)</f>
        <v>52.433333333333394</v>
      </c>
      <c r="BF53" s="14">
        <f t="shared" si="37"/>
        <v>15.240430103971114</v>
      </c>
      <c r="BG53" s="22">
        <f t="shared" si="7"/>
        <v>117.86513798663866</v>
      </c>
      <c r="BH53" s="62">
        <f t="shared" si="8"/>
        <v>411.19847131997199</v>
      </c>
      <c r="BI53" s="62">
        <f ca="1">AVERAGE(OFFSET($BH$3,0,0,'Données projet'!$E$11+1,1))-AVERAGE(OFFSET($H$3,0,0,'Données projet'!$E$11+1,1))</f>
        <v>113.38017445149029</v>
      </c>
      <c r="BJ53" s="62">
        <f t="shared" si="38"/>
        <v>108.36144594421921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11.357142857142858</v>
      </c>
      <c r="N54" s="14">
        <f>IF('Données projet'!$A$36&gt;35,N53+M54-V53,IF(A54&lt;'Données projet'!$A$36,$K$205^A54,IF(A54='Données projet'!$A$36,'Données projet'!$B$36,N53+M54-V53)))</f>
        <v>414.78571428571456</v>
      </c>
      <c r="O54" s="14">
        <f>N54*VLOOKUP('Données projet'!$B$9,Paramètres!$A$1:$I$89,3,0)*VLOOKUP('Données projet'!$B$9,Paramètres!$A$1:$I$89,5,0)</f>
        <v>231.86521428571444</v>
      </c>
      <c r="P54" s="14">
        <f t="shared" si="33"/>
        <v>56.685794689385133</v>
      </c>
      <c r="Q54" s="22">
        <f t="shared" si="53"/>
        <v>502.55967396496516</v>
      </c>
      <c r="R54" s="62">
        <f t="shared" si="0"/>
        <v>795.89300729829847</v>
      </c>
      <c r="S54" s="62">
        <f ca="1">AVERAGE(OFFSET($R$3,0,0,'Données projet'!$E$9+1,1))-AVERAGE(OFFSET($H$3,0,0,'Données projet'!$E$9+1,1))</f>
        <v>313.92223852157559</v>
      </c>
      <c r="T54" s="62">
        <f t="shared" si="34"/>
        <v>394.03759949558702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5.8282787700921821</v>
      </c>
      <c r="AB54" s="23">
        <f>EXP(-LN(2)/2)*AB53+(1-EXP(-LN(2)/2))/(LN(2)/2)*V54*Y54*VLOOKUP('Données projet'!$B$9,Paramètres!$A$1:$I$89,3,0)*0.475*44/12</f>
        <v>2.2791841677685795E-3</v>
      </c>
      <c r="AC54" s="24">
        <f t="shared" si="3"/>
        <v>5.8305579542599508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10.4</v>
      </c>
      <c r="AI54" s="14">
        <f>IF('Données projet'!$A$62&gt;35,AI53+AH54-AQ53,IF(A54&lt;'Données projet'!$A$62,$AF$205^A54,IF(A54='Données projet'!$A$62,'Données projet'!$B$62,AI53+AH54-AQ53)))</f>
        <v>178.39999999999995</v>
      </c>
      <c r="AJ54" s="14">
        <f>AI54*VLOOKUP('Données projet'!$B$10,Paramètres!$A$1:$I$89,3,0)*VLOOKUP('Données projet'!$B$10,Paramètres!$A$1:$I$89,5,0)</f>
        <v>102.04479999999998</v>
      </c>
      <c r="AK54" s="14">
        <f t="shared" si="35"/>
        <v>27.448567576692252</v>
      </c>
      <c r="AL54" s="22">
        <f t="shared" si="4"/>
        <v>225.53428186273894</v>
      </c>
      <c r="AM54" s="62">
        <f t="shared" si="5"/>
        <v>518.86761519607228</v>
      </c>
      <c r="AN54" s="62">
        <f ca="1">AVERAGE(OFFSET($AM$3,0,0,'Données projet'!$E$10+1,1))-AVERAGE(OFFSET($H$3,0,0,'Données projet'!$E$10+1,1))</f>
        <v>148.40707092284572</v>
      </c>
      <c r="AO54" s="62">
        <f t="shared" si="36"/>
        <v>162.45539016632631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2.8500311290983662</v>
      </c>
      <c r="AW54" s="23">
        <f>EXP(-LN(2)/2)*AW53+(1-EXP(-LN(2)/2))/(LN(2)/2)*AQ54*AT54*VLOOKUP('Données projet'!$B$10,Paramètres!$A$1:$I$89,3,0)*0.475*44/12</f>
        <v>6.7082288889077695E-3</v>
      </c>
      <c r="AX54" s="23">
        <f t="shared" si="6"/>
        <v>2.8567393579872742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2.1228070175438596</v>
      </c>
      <c r="BD54" s="13">
        <f>IF('Données projet'!$A$88&gt;35,BD53+BC54-BL53,IF(A54&lt;'Données projet'!$A$88,$BA$205^A54,IF(A54='Données projet'!$A$88,'Données projet'!$B$88,BD53+BC54-BL53)))</f>
        <v>108.26315789473696</v>
      </c>
      <c r="BE54" s="14">
        <f>BD54*VLOOKUP('Données projet'!$B$11,Paramètres!$A$1:$I$89,3,0)*VLOOKUP('Données projet'!$B$11,Paramètres!$A$1:$I$89,5,0)</f>
        <v>53.482000000000056</v>
      </c>
      <c r="BF54" s="14">
        <f t="shared" si="37"/>
        <v>15.509447794831432</v>
      </c>
      <c r="BG54" s="22">
        <f t="shared" si="7"/>
        <v>120.16010490933149</v>
      </c>
      <c r="BH54" s="62">
        <f t="shared" si="8"/>
        <v>413.49343824266481</v>
      </c>
      <c r="BI54" s="62">
        <f ca="1">AVERAGE(OFFSET($BH$3,0,0,'Données projet'!$E$11+1,1))-AVERAGE(OFFSET($H$3,0,0,'Données projet'!$E$11+1,1))</f>
        <v>113.38017445149029</v>
      </c>
      <c r="BJ54" s="62">
        <f t="shared" si="38"/>
        <v>108.36144594421921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11.357142857142858</v>
      </c>
      <c r="N55" s="14">
        <f>IF('Données projet'!$A$36&gt;35,N54+M55-V54,IF(A55&lt;'Données projet'!$A$36,$K$205^A55,IF(A55='Données projet'!$A$36,'Données projet'!$B$36,N54+M55-V54)))</f>
        <v>426.14285714285739</v>
      </c>
      <c r="O55" s="14">
        <f>N55*VLOOKUP('Données projet'!$B$9,Paramètres!$A$1:$I$89,3,0)*VLOOKUP('Données projet'!$B$9,Paramètres!$A$1:$I$89,5,0)</f>
        <v>238.21385714285731</v>
      </c>
      <c r="P55" s="14">
        <f t="shared" si="33"/>
        <v>58.055066228265488</v>
      </c>
      <c r="Q55" s="22">
        <f t="shared" si="53"/>
        <v>516.00170820470555</v>
      </c>
      <c r="R55" s="62">
        <f t="shared" si="0"/>
        <v>809.33504153803892</v>
      </c>
      <c r="S55" s="62">
        <f ca="1">AVERAGE(OFFSET($R$3,0,0,'Données projet'!$E$9+1,1))-AVERAGE(OFFSET($H$3,0,0,'Données projet'!$E$9+1,1))</f>
        <v>313.92223852157559</v>
      </c>
      <c r="T55" s="62">
        <f t="shared" si="34"/>
        <v>394.03759949558702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5.6689041806281519</v>
      </c>
      <c r="AB55" s="23">
        <f>EXP(-LN(2)/2)*AB54+(1-EXP(-LN(2)/2))/(LN(2)/2)*V55*Y55*VLOOKUP('Données projet'!$B$9,Paramètres!$A$1:$I$89,3,0)*0.475*44/12</f>
        <v>1.6116265806021804E-3</v>
      </c>
      <c r="AC55" s="24">
        <f t="shared" si="3"/>
        <v>5.670515807208754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10.4</v>
      </c>
      <c r="AI55" s="14">
        <f>IF('Données projet'!$A$62&gt;35,AI54+AH55-AQ54,IF(A55&lt;'Données projet'!$A$62,$AF$205^A55,IF(A55='Données projet'!$A$62,'Données projet'!$B$62,AI54+AH55-AQ54)))</f>
        <v>188.79999999999995</v>
      </c>
      <c r="AJ55" s="14">
        <f>AI55*VLOOKUP('Données projet'!$B$10,Paramètres!$A$1:$I$89,3,0)*VLOOKUP('Données projet'!$B$10,Paramètres!$A$1:$I$89,5,0)</f>
        <v>107.99359999999997</v>
      </c>
      <c r="AK55" s="14">
        <f t="shared" si="35"/>
        <v>28.857755815571448</v>
      </c>
      <c r="AL55" s="22">
        <f t="shared" si="4"/>
        <v>238.3494447121202</v>
      </c>
      <c r="AM55" s="62">
        <f t="shared" si="5"/>
        <v>531.68277804545346</v>
      </c>
      <c r="AN55" s="62">
        <f ca="1">AVERAGE(OFFSET($AM$3,0,0,'Données projet'!$E$10+1,1))-AVERAGE(OFFSET($H$3,0,0,'Données projet'!$E$10+1,1))</f>
        <v>148.40707092284572</v>
      </c>
      <c r="AO55" s="62">
        <f t="shared" si="36"/>
        <v>162.45539016632631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2.7720968779965482</v>
      </c>
      <c r="AW55" s="23">
        <f>EXP(-LN(2)/2)*AW54+(1-EXP(-LN(2)/2))/(LN(2)/2)*AQ55*AT55*VLOOKUP('Données projet'!$B$10,Paramètres!$A$1:$I$89,3,0)*0.475*44/12</f>
        <v>4.743434137098183E-3</v>
      </c>
      <c r="AX55" s="23">
        <f t="shared" si="6"/>
        <v>2.7768403121336465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2.1228070175438596</v>
      </c>
      <c r="BD55" s="13">
        <f>IF('Données projet'!$A$88&gt;35,BD54+BC55-BL54,IF(A55&lt;'Données projet'!$A$88,$BA$205^A55,IF(A55='Données projet'!$A$88,'Données projet'!$B$88,BD54+BC55-BL54)))</f>
        <v>110.38596491228083</v>
      </c>
      <c r="BE55" s="14">
        <f>BD55*VLOOKUP('Données projet'!$B$11,Paramètres!$A$1:$I$89,3,0)*VLOOKUP('Données projet'!$B$11,Paramètres!$A$1:$I$89,5,0)</f>
        <v>54.530666666666733</v>
      </c>
      <c r="BF55" s="14">
        <f t="shared" si="37"/>
        <v>15.777852150970782</v>
      </c>
      <c r="BG55" s="22">
        <f t="shared" si="7"/>
        <v>122.45400360738533</v>
      </c>
      <c r="BH55" s="62">
        <f t="shared" si="8"/>
        <v>415.78733694071866</v>
      </c>
      <c r="BI55" s="62">
        <f ca="1">AVERAGE(OFFSET($BH$3,0,0,'Données projet'!$E$11+1,1))-AVERAGE(OFFSET($H$3,0,0,'Données projet'!$E$11+1,1))</f>
        <v>113.38017445149029</v>
      </c>
      <c r="BJ55" s="62">
        <f t="shared" si="38"/>
        <v>108.36144594421921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11.357142857142858</v>
      </c>
      <c r="N56" s="14">
        <f>IF('Données projet'!$A$36&gt;35,N55+M56-V55,IF(A56&lt;'Données projet'!$A$36,$K$205^A56,IF(A56='Données projet'!$A$36,'Données projet'!$B$36,N55+M56-V55)))</f>
        <v>437.50000000000023</v>
      </c>
      <c r="O56" s="14">
        <f>N56*VLOOKUP('Données projet'!$B$9,Paramètres!$A$1:$I$89,3,0)*VLOOKUP('Données projet'!$B$9,Paramètres!$A$1:$I$89,5,0)</f>
        <v>244.56250000000011</v>
      </c>
      <c r="P56" s="14">
        <f t="shared" si="33"/>
        <v>59.420096092888869</v>
      </c>
      <c r="Q56" s="22">
        <f t="shared" si="53"/>
        <v>529.43635486178152</v>
      </c>
      <c r="R56" s="62">
        <f t="shared" si="0"/>
        <v>822.7696881951149</v>
      </c>
      <c r="S56" s="62">
        <f ca="1">AVERAGE(OFFSET($R$3,0,0,'Données projet'!$E$9+1,1))-AVERAGE(OFFSET($H$3,0,0,'Données projet'!$E$9+1,1))</f>
        <v>313.92223852157559</v>
      </c>
      <c r="T56" s="62">
        <f t="shared" si="34"/>
        <v>394.03759949558702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5.5138876976941607</v>
      </c>
      <c r="AB56" s="23">
        <f>EXP(-LN(2)/2)*AB55+(1-EXP(-LN(2)/2))/(LN(2)/2)*V56*Y56*VLOOKUP('Données projet'!$B$9,Paramètres!$A$1:$I$89,3,0)*0.475*44/12</f>
        <v>1.1395920838842897E-3</v>
      </c>
      <c r="AC56" s="24">
        <f t="shared" si="3"/>
        <v>5.515027289778045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10.4</v>
      </c>
      <c r="AI56" s="14">
        <f>IF('Données projet'!$A$62&gt;35,AI55+AH56-AQ55,IF(A56&lt;'Données projet'!$A$62,$AF$205^A56,IF(A56='Données projet'!$A$62,'Données projet'!$B$62,AI55+AH56-AQ55)))</f>
        <v>199.19999999999996</v>
      </c>
      <c r="AJ56" s="14">
        <f>AI56*VLOOKUP('Données projet'!$B$10,Paramètres!$A$1:$I$89,3,0)*VLOOKUP('Données projet'!$B$10,Paramètres!$A$1:$I$89,5,0)</f>
        <v>113.94239999999998</v>
      </c>
      <c r="AK56" s="14">
        <f t="shared" si="35"/>
        <v>30.257932625400652</v>
      </c>
      <c r="AL56" s="22">
        <f t="shared" si="4"/>
        <v>251.14891265590609</v>
      </c>
      <c r="AM56" s="62">
        <f t="shared" si="5"/>
        <v>544.48224598923935</v>
      </c>
      <c r="AN56" s="62">
        <f ca="1">AVERAGE(OFFSET($AM$3,0,0,'Données projet'!$E$10+1,1))-AVERAGE(OFFSET($H$3,0,0,'Données projet'!$E$10+1,1))</f>
        <v>148.40707092284572</v>
      </c>
      <c r="AO56" s="62">
        <f t="shared" si="36"/>
        <v>162.45539016632631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2.6962937430894933</v>
      </c>
      <c r="AW56" s="23">
        <f>EXP(-LN(2)/2)*AW55+(1-EXP(-LN(2)/2))/(LN(2)/2)*AQ56*AT56*VLOOKUP('Données projet'!$B$10,Paramètres!$A$1:$I$89,3,0)*0.475*44/12</f>
        <v>3.3541144444538848E-3</v>
      </c>
      <c r="AX56" s="23">
        <f t="shared" si="6"/>
        <v>2.6996478575339471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2.1228070175438596</v>
      </c>
      <c r="BD56" s="13">
        <f>IF('Données projet'!$A$88&gt;35,BD55+BC56-BL55,IF(A56&lt;'Données projet'!$A$88,$BA$205^A56,IF(A56='Données projet'!$A$88,'Données projet'!$B$88,BD55+BC56-BL55)))</f>
        <v>112.50877192982469</v>
      </c>
      <c r="BE56" s="14">
        <f>BD56*VLOOKUP('Données projet'!$B$11,Paramètres!$A$1:$I$89,3,0)*VLOOKUP('Données projet'!$B$11,Paramètres!$A$1:$I$89,5,0)</f>
        <v>55.579333333333395</v>
      </c>
      <c r="BF56" s="14">
        <f t="shared" si="37"/>
        <v>16.045656327122828</v>
      </c>
      <c r="BG56" s="22">
        <f t="shared" si="7"/>
        <v>124.74685699196124</v>
      </c>
      <c r="BH56" s="62">
        <f t="shared" si="8"/>
        <v>418.08019032529455</v>
      </c>
      <c r="BI56" s="62">
        <f ca="1">AVERAGE(OFFSET($BH$3,0,0,'Données projet'!$E$11+1,1))-AVERAGE(OFFSET($H$3,0,0,'Données projet'!$E$11+1,1))</f>
        <v>113.38017445149029</v>
      </c>
      <c r="BJ56" s="62">
        <f t="shared" si="38"/>
        <v>108.36144594421921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11.357142857142858</v>
      </c>
      <c r="N57" s="14">
        <f>IF('Données projet'!$A$36&gt;35,N56+M57-V56,IF(A57&lt;'Données projet'!$A$36,$K$205^A57,IF(A57='Données projet'!$A$36,'Données projet'!$B$36,N56+M57-V56)))</f>
        <v>448.85714285714306</v>
      </c>
      <c r="O57" s="14">
        <f>N57*VLOOKUP('Données projet'!$B$9,Paramètres!$A$1:$I$89,3,0)*VLOOKUP('Données projet'!$B$9,Paramètres!$A$1:$I$89,5,0)</f>
        <v>250.91114285714298</v>
      </c>
      <c r="P57" s="14">
        <f t="shared" si="33"/>
        <v>60.781007052879815</v>
      </c>
      <c r="Q57" s="22">
        <f t="shared" si="53"/>
        <v>542.86382775995639</v>
      </c>
      <c r="R57" s="62">
        <f t="shared" si="0"/>
        <v>836.19716109328965</v>
      </c>
      <c r="S57" s="62">
        <f ca="1">AVERAGE(OFFSET($R$3,0,0,'Données projet'!$E$9+1,1))-AVERAGE(OFFSET($H$3,0,0,'Données projet'!$E$9+1,1))</f>
        <v>313.92223852157559</v>
      </c>
      <c r="T57" s="62">
        <f t="shared" si="34"/>
        <v>394.03759949558702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5.3631101486379622</v>
      </c>
      <c r="AB57" s="23">
        <f>EXP(-LN(2)/2)*AB56+(1-EXP(-LN(2)/2))/(LN(2)/2)*V57*Y57*VLOOKUP('Données projet'!$B$9,Paramètres!$A$1:$I$89,3,0)*0.475*44/12</f>
        <v>8.0581329030109019E-4</v>
      </c>
      <c r="AC57" s="24">
        <f t="shared" si="3"/>
        <v>5.3639159619282637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10.4</v>
      </c>
      <c r="AI57" s="14">
        <f>IF('Données projet'!$A$62&gt;35,AI56+AH57-AQ56,IF(A57&lt;'Données projet'!$A$62,$AF$205^A57,IF(A57='Données projet'!$A$62,'Données projet'!$B$62,AI56+AH57-AQ56)))</f>
        <v>209.59999999999997</v>
      </c>
      <c r="AJ57" s="14">
        <f>AI57*VLOOKUP('Données projet'!$B$10,Paramètres!$A$1:$I$89,3,0)*VLOOKUP('Données projet'!$B$10,Paramètres!$A$1:$I$89,5,0)</f>
        <v>119.89119999999998</v>
      </c>
      <c r="AK57" s="14">
        <f t="shared" si="35"/>
        <v>31.649622141338948</v>
      </c>
      <c r="AL57" s="22">
        <f t="shared" si="4"/>
        <v>263.93359856283195</v>
      </c>
      <c r="AM57" s="62">
        <f t="shared" si="5"/>
        <v>557.26693189616526</v>
      </c>
      <c r="AN57" s="62">
        <f ca="1">AVERAGE(OFFSET($AM$3,0,0,'Données projet'!$E$10+1,1))-AVERAGE(OFFSET($H$3,0,0,'Données projet'!$E$10+1,1))</f>
        <v>148.40707092284572</v>
      </c>
      <c r="AO57" s="62">
        <f t="shared" si="36"/>
        <v>162.45539016632631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2.6225634488927856</v>
      </c>
      <c r="AW57" s="23">
        <f>EXP(-LN(2)/2)*AW56+(1-EXP(-LN(2)/2))/(LN(2)/2)*AQ57*AT57*VLOOKUP('Données projet'!$B$10,Paramètres!$A$1:$I$89,3,0)*0.475*44/12</f>
        <v>2.3717170685490915E-3</v>
      </c>
      <c r="AX57" s="23">
        <f t="shared" si="6"/>
        <v>2.6249351659613347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2.1228070175438596</v>
      </c>
      <c r="BD57" s="13">
        <f>IF('Données projet'!$A$88&gt;35,BD56+BC57-BL56,IF(A57&lt;'Données projet'!$A$88,$BA$205^A57,IF(A57='Données projet'!$A$88,'Données projet'!$B$88,BD56+BC57-BL56)))</f>
        <v>114.63157894736855</v>
      </c>
      <c r="BE57" s="14">
        <f>BD57*VLOOKUP('Données projet'!$B$11,Paramètres!$A$1:$I$89,3,0)*VLOOKUP('Données projet'!$B$11,Paramètres!$A$1:$I$89,5,0)</f>
        <v>56.628000000000071</v>
      </c>
      <c r="BF57" s="14">
        <f t="shared" si="37"/>
        <v>16.312872953208533</v>
      </c>
      <c r="BG57" s="22">
        <f t="shared" si="7"/>
        <v>127.03868706017165</v>
      </c>
      <c r="BH57" s="62">
        <f t="shared" si="8"/>
        <v>420.37202039350495</v>
      </c>
      <c r="BI57" s="62">
        <f ca="1">AVERAGE(OFFSET($BH$3,0,0,'Données projet'!$E$11+1,1))-AVERAGE(OFFSET($H$3,0,0,'Données projet'!$E$11+1,1))</f>
        <v>113.38017445149029</v>
      </c>
      <c r="BJ57" s="62">
        <f t="shared" si="38"/>
        <v>108.36144594421921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11.357142857142858</v>
      </c>
      <c r="N58" s="14">
        <f>IF('Données projet'!$A$36&gt;35,N57+M58-V57,IF(A58&lt;'Données projet'!$A$36,$K$205^A58,IF(A58='Données projet'!$A$36,'Données projet'!$B$36,N57+M58-V57)))</f>
        <v>460.21428571428589</v>
      </c>
      <c r="O58" s="14">
        <f>N58*VLOOKUP('Données projet'!$B$9,Paramètres!$A$1:$I$89,3,0)*VLOOKUP('Données projet'!$B$9,Paramètres!$A$1:$I$89,5,0)</f>
        <v>257.25978571428584</v>
      </c>
      <c r="P58" s="14">
        <f t="shared" si="33"/>
        <v>62.137915311120267</v>
      </c>
      <c r="Q58" s="22">
        <f t="shared" si="53"/>
        <v>556.28432928591565</v>
      </c>
      <c r="R58" s="62">
        <f t="shared" si="0"/>
        <v>849.6176626192489</v>
      </c>
      <c r="S58" s="62">
        <f ca="1">AVERAGE(OFFSET($R$3,0,0,'Données projet'!$E$9+1,1))-AVERAGE(OFFSET($H$3,0,0,'Données projet'!$E$9+1,1))</f>
        <v>313.92223852157559</v>
      </c>
      <c r="T58" s="62">
        <f t="shared" si="34"/>
        <v>394.03759949558702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5.2164556195897518</v>
      </c>
      <c r="AB58" s="23">
        <f>EXP(-LN(2)/2)*AB57+(1-EXP(-LN(2)/2))/(LN(2)/2)*V58*Y58*VLOOKUP('Données projet'!$B$9,Paramètres!$A$1:$I$89,3,0)*0.475*44/12</f>
        <v>5.6979604194214487E-4</v>
      </c>
      <c r="AC58" s="24">
        <f t="shared" si="3"/>
        <v>5.217025415631694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10.4</v>
      </c>
      <c r="AI58" s="14">
        <f>IF('Données projet'!$A$62&gt;35,AI57+AH58-AQ57,IF(A58&lt;'Données projet'!$A$62,$AF$205^A58,IF(A58='Données projet'!$A$62,'Données projet'!$B$62,AI57+AH58-AQ57)))</f>
        <v>219.99999999999997</v>
      </c>
      <c r="AJ58" s="14">
        <f>AI58*VLOOKUP('Données projet'!$B$10,Paramètres!$A$1:$I$89,3,0)*VLOOKUP('Données projet'!$B$10,Paramètres!$A$1:$I$89,5,0)</f>
        <v>125.83999999999999</v>
      </c>
      <c r="AK58" s="14">
        <f t="shared" si="35"/>
        <v>33.033293546811095</v>
      </c>
      <c r="AL58" s="22">
        <f t="shared" si="4"/>
        <v>276.7043195940293</v>
      </c>
      <c r="AM58" s="62">
        <f t="shared" si="5"/>
        <v>570.03765292736261</v>
      </c>
      <c r="AN58" s="62">
        <f ca="1">AVERAGE(OFFSET($AM$3,0,0,'Données projet'!$E$10+1,1))-AVERAGE(OFFSET($H$3,0,0,'Données projet'!$E$10+1,1))</f>
        <v>148.40707092284572</v>
      </c>
      <c r="AO58" s="62">
        <f t="shared" si="36"/>
        <v>162.45539016632631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2.5508493134681944</v>
      </c>
      <c r="AW58" s="23">
        <f>EXP(-LN(2)/2)*AW57+(1-EXP(-LN(2)/2))/(LN(2)/2)*AQ58*AT58*VLOOKUP('Données projet'!$B$10,Paramètres!$A$1:$I$89,3,0)*0.475*44/12</f>
        <v>1.6770572222269424E-3</v>
      </c>
      <c r="AX58" s="23">
        <f t="shared" si="6"/>
        <v>2.5525263706904213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2.1228070175438596</v>
      </c>
      <c r="BD58" s="13">
        <f>IF('Données projet'!$A$88&gt;35,BD57+BC58-BL57,IF(A58&lt;'Données projet'!$A$88,$BA$205^A58,IF(A58='Données projet'!$A$88,'Données projet'!$B$88,BD57+BC58-BL57)))</f>
        <v>116.75438596491242</v>
      </c>
      <c r="BE58" s="14">
        <f>BD58*VLOOKUP('Données projet'!$B$11,Paramètres!$A$1:$I$89,3,0)*VLOOKUP('Données projet'!$B$11,Paramètres!$A$1:$I$89,5,0)</f>
        <v>57.676666666666733</v>
      </c>
      <c r="BF58" s="14">
        <f t="shared" si="37"/>
        <v>16.579514164597981</v>
      </c>
      <c r="BG58" s="22">
        <f t="shared" si="7"/>
        <v>129.32951494778607</v>
      </c>
      <c r="BH58" s="62">
        <f t="shared" si="8"/>
        <v>422.66284828111941</v>
      </c>
      <c r="BI58" s="62">
        <f ca="1">AVERAGE(OFFSET($BH$3,0,0,'Données projet'!$E$11+1,1))-AVERAGE(OFFSET($H$3,0,0,'Données projet'!$E$11+1,1))</f>
        <v>113.38017445149029</v>
      </c>
      <c r="BJ58" s="62">
        <f t="shared" si="38"/>
        <v>108.36144594421921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11.357142857142858</v>
      </c>
      <c r="N59" s="14">
        <f>IF('Données projet'!$A$36&gt;35,N58+M59-V58,IF(A59&lt;'Données projet'!$A$36,$K$205^A59,IF(A59='Données projet'!$A$36,'Données projet'!$B$36,N58+M59-V58)))</f>
        <v>471.57142857142873</v>
      </c>
      <c r="O59" s="14">
        <f>N59*VLOOKUP('Données projet'!$B$9,Paramètres!$A$1:$I$89,3,0)*VLOOKUP('Données projet'!$B$9,Paramètres!$A$1:$I$89,5,0)</f>
        <v>263.60842857142865</v>
      </c>
      <c r="P59" s="14">
        <f t="shared" si="33"/>
        <v>63.490931008254947</v>
      </c>
      <c r="Q59" s="22">
        <f t="shared" si="53"/>
        <v>569.69805126794893</v>
      </c>
      <c r="R59" s="62">
        <f t="shared" si="0"/>
        <v>863.0313846012823</v>
      </c>
      <c r="S59" s="62">
        <f ca="1">AVERAGE(OFFSET($R$3,0,0,'Données projet'!$E$9+1,1))-AVERAGE(OFFSET($H$3,0,0,'Données projet'!$E$9+1,1))</f>
        <v>313.92223852157559</v>
      </c>
      <c r="T59" s="62">
        <f t="shared" si="34"/>
        <v>394.03759949558702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5.0738113663505917</v>
      </c>
      <c r="AB59" s="23">
        <f>EXP(-LN(2)/2)*AB58+(1-EXP(-LN(2)/2))/(LN(2)/2)*V59*Y59*VLOOKUP('Données projet'!$B$9,Paramètres!$A$1:$I$89,3,0)*0.475*44/12</f>
        <v>4.029066451505451E-4</v>
      </c>
      <c r="AC59" s="24">
        <f t="shared" si="3"/>
        <v>5.074214272995742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10.4</v>
      </c>
      <c r="AI59" s="14">
        <f>IF('Données projet'!$A$62&gt;35,AI58+AH59-AQ58,IF(A59&lt;'Données projet'!$A$62,$AF$205^A59,IF(A59='Données projet'!$A$62,'Données projet'!$B$62,AI58+AH59-AQ58)))</f>
        <v>230.39999999999998</v>
      </c>
      <c r="AJ59" s="14">
        <f>AI59*VLOOKUP('Données projet'!$B$10,Paramètres!$A$1:$I$89,3,0)*VLOOKUP('Données projet'!$B$10,Paramètres!$A$1:$I$89,5,0)</f>
        <v>131.78879999999998</v>
      </c>
      <c r="AK59" s="14">
        <f t="shared" si="35"/>
        <v>34.409369159409614</v>
      </c>
      <c r="AL59" s="22">
        <f t="shared" si="4"/>
        <v>289.46181128597169</v>
      </c>
      <c r="AM59" s="62">
        <f t="shared" si="5"/>
        <v>582.79514461930501</v>
      </c>
      <c r="AN59" s="62">
        <f ca="1">AVERAGE(OFFSET($AM$3,0,0,'Données projet'!$E$10+1,1))-AVERAGE(OFFSET($H$3,0,0,'Données projet'!$E$10+1,1))</f>
        <v>148.40707092284572</v>
      </c>
      <c r="AO59" s="62">
        <f t="shared" si="36"/>
        <v>162.45539016632631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2.4810962048480714</v>
      </c>
      <c r="AW59" s="23">
        <f>EXP(-LN(2)/2)*AW58+(1-EXP(-LN(2)/2))/(LN(2)/2)*AQ59*AT59*VLOOKUP('Données projet'!$B$10,Paramètres!$A$1:$I$89,3,0)*0.475*44/12</f>
        <v>1.1858585342745457E-3</v>
      </c>
      <c r="AX59" s="23">
        <f t="shared" si="6"/>
        <v>2.4822820633823457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2.1228070175438596</v>
      </c>
      <c r="BD59" s="13">
        <f>IF('Données projet'!$A$88&gt;35,BD58+BC59-BL58,IF(A59&lt;'Données projet'!$A$88,$BA$205^A59,IF(A59='Données projet'!$A$88,'Données projet'!$B$88,BD58+BC59-BL58)))</f>
        <v>118.87719298245628</v>
      </c>
      <c r="BE59" s="14">
        <f>BD59*VLOOKUP('Données projet'!$B$11,Paramètres!$A$1:$I$89,3,0)*VLOOKUP('Données projet'!$B$11,Paramètres!$A$1:$I$89,5,0)</f>
        <v>58.72533333333341</v>
      </c>
      <c r="BF59" s="14">
        <f t="shared" si="37"/>
        <v>16.845591630109027</v>
      </c>
      <c r="BG59" s="22">
        <f t="shared" si="7"/>
        <v>131.61936097799557</v>
      </c>
      <c r="BH59" s="62">
        <f t="shared" si="8"/>
        <v>424.95269431132886</v>
      </c>
      <c r="BI59" s="62">
        <f ca="1">AVERAGE(OFFSET($BH$3,0,0,'Données projet'!$E$11+1,1))-AVERAGE(OFFSET($H$3,0,0,'Données projet'!$E$11+1,1))</f>
        <v>113.38017445149029</v>
      </c>
      <c r="BJ59" s="62">
        <f t="shared" si="38"/>
        <v>108.36144594421921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11.357142857142858</v>
      </c>
      <c r="N60" s="14">
        <f>IF('Données projet'!$A$36&gt;35,N59+M60-V59,IF(A60&lt;'Données projet'!$A$36,$K$205^A60,IF(A60='Données projet'!$A$36,'Données projet'!$B$36,N59+M60-V59)))</f>
        <v>482.92857142857156</v>
      </c>
      <c r="O60" s="14">
        <f>N60*VLOOKUP('Données projet'!$B$9,Paramètres!$A$1:$I$89,3,0)*VLOOKUP('Données projet'!$B$9,Paramètres!$A$1:$I$89,5,0)</f>
        <v>269.95707142857151</v>
      </c>
      <c r="P60" s="14">
        <f t="shared" si="33"/>
        <v>64.840158677227947</v>
      </c>
      <c r="Q60" s="22">
        <f t="shared" si="53"/>
        <v>583.10517576760083</v>
      </c>
      <c r="R60" s="62">
        <f t="shared" si="0"/>
        <v>876.4385091009342</v>
      </c>
      <c r="S60" s="62">
        <f ca="1">AVERAGE(OFFSET($R$3,0,0,'Données projet'!$E$9+1,1))-AVERAGE(OFFSET($H$3,0,0,'Données projet'!$E$9+1,1))</f>
        <v>313.92223852157559</v>
      </c>
      <c r="T60" s="62">
        <f t="shared" si="34"/>
        <v>394.03759949558702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4.9350677277175912</v>
      </c>
      <c r="AB60" s="23">
        <f>EXP(-LN(2)/2)*AB59+(1-EXP(-LN(2)/2))/(LN(2)/2)*V60*Y60*VLOOKUP('Données projet'!$B$9,Paramètres!$A$1:$I$89,3,0)*0.475*44/12</f>
        <v>2.8489802097107244E-4</v>
      </c>
      <c r="AC60" s="24">
        <f t="shared" si="3"/>
        <v>4.9353526257385623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10.4</v>
      </c>
      <c r="AI60" s="14">
        <f>IF('Données projet'!$A$62&gt;35,AI59+AH60-AQ59,IF(A60&lt;'Données projet'!$A$62,$AF$205^A60,IF(A60='Données projet'!$A$62,'Données projet'!$B$62,AI59+AH60-AQ59)))</f>
        <v>240.79999999999998</v>
      </c>
      <c r="AJ60" s="14">
        <f>AI60*VLOOKUP('Données projet'!$B$10,Paramètres!$A$1:$I$89,3,0)*VLOOKUP('Données projet'!$B$10,Paramètres!$A$1:$I$89,5,0)</f>
        <v>137.73760000000001</v>
      </c>
      <c r="AK60" s="14">
        <f t="shared" si="35"/>
        <v>35.778231015585945</v>
      </c>
      <c r="AL60" s="22">
        <f t="shared" si="4"/>
        <v>302.20673901881219</v>
      </c>
      <c r="AM60" s="62">
        <f t="shared" si="5"/>
        <v>595.54007235214544</v>
      </c>
      <c r="AN60" s="62">
        <f ca="1">AVERAGE(OFFSET($AM$3,0,0,'Données projet'!$E$10+1,1))-AVERAGE(OFFSET($H$3,0,0,'Données projet'!$E$10+1,1))</f>
        <v>148.40707092284572</v>
      </c>
      <c r="AO60" s="62">
        <f t="shared" si="36"/>
        <v>162.45539016632631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2.4132504986513221</v>
      </c>
      <c r="AW60" s="23">
        <f>EXP(-LN(2)/2)*AW59+(1-EXP(-LN(2)/2))/(LN(2)/2)*AQ60*AT60*VLOOKUP('Données projet'!$B$10,Paramètres!$A$1:$I$89,3,0)*0.475*44/12</f>
        <v>8.3852861111347119E-4</v>
      </c>
      <c r="AX60" s="23">
        <f t="shared" si="6"/>
        <v>2.4140890272624356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121</v>
      </c>
      <c r="BB60" s="13">
        <f>VLOOKUP(A60,'Données projet'!$A$87:$I$107,9,0)</f>
        <v>2.1228070175438596</v>
      </c>
      <c r="BC60" s="13">
        <f t="array" ref="BC60">INDEX(BB:BB,MIN(IF(ISNUMBER(BB60:BB256),ROW(BB60:BB256),"")))</f>
        <v>2.1228070175438596</v>
      </c>
      <c r="BD60" s="13">
        <f>IF('Données projet'!$A$88&gt;35,BD59+BC60-BL59,IF(A60&lt;'Données projet'!$A$88,$BA$205^A60,IF(A60='Données projet'!$A$88,'Données projet'!$B$88,BD59+BC60-BL59)))</f>
        <v>121.00000000000014</v>
      </c>
      <c r="BE60" s="14">
        <f>BD60*VLOOKUP('Données projet'!$B$11,Paramètres!$A$1:$I$89,3,0)*VLOOKUP('Données projet'!$B$11,Paramètres!$A$1:$I$89,5,0)</f>
        <v>59.774000000000072</v>
      </c>
      <c r="BF60" s="14">
        <f t="shared" si="37"/>
        <v>17.111116577949488</v>
      </c>
      <c r="BG60" s="22">
        <f t="shared" si="7"/>
        <v>133.90824470659547</v>
      </c>
      <c r="BH60" s="62">
        <f t="shared" si="8"/>
        <v>427.24157803992875</v>
      </c>
      <c r="BI60" s="62">
        <f ca="1">AVERAGE(OFFSET($BH$3,0,0,'Données projet'!$E$11+1,1))-AVERAGE(OFFSET($H$3,0,0,'Données projet'!$E$11+1,1))</f>
        <v>113.38017445149029</v>
      </c>
      <c r="BJ60" s="62">
        <f t="shared" si="38"/>
        <v>108.36144594421921</v>
      </c>
      <c r="BK60" s="16">
        <f>IF(ISNA(VLOOKUP(A60,'Données projet'!$A$87:$I$107,3,0)),0,VLOOKUP(A60,'Données projet'!$A$87:$I$107,3,0))</f>
        <v>1</v>
      </c>
      <c r="BL60" s="16">
        <f>IF(ISNA(VLOOKUP(A60,'Données projet'!$A$87:$I$107,4,0)),0,VLOOKUP(A60,'Données projet'!$A$87:$I$107,4,0))</f>
        <v>25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11.357142857142858</v>
      </c>
      <c r="N61" s="14">
        <f>IF('Données projet'!$A$36&gt;35,N60+M61-V60,IF(A61&lt;'Données projet'!$A$36,$K$205^A61,IF(A61='Données projet'!$A$36,'Données projet'!$B$36,N60+M61-V60)))</f>
        <v>494.28571428571439</v>
      </c>
      <c r="O61" s="14">
        <f>N61*VLOOKUP('Données projet'!$B$9,Paramètres!$A$1:$I$89,3,0)*VLOOKUP('Données projet'!$B$9,Paramètres!$A$1:$I$89,5,0)</f>
        <v>276.30571428571432</v>
      </c>
      <c r="P61" s="14">
        <f t="shared" si="33"/>
        <v>66.185697653855897</v>
      </c>
      <c r="Q61" s="22">
        <f t="shared" si="53"/>
        <v>596.50587579475143</v>
      </c>
      <c r="R61" s="62">
        <f t="shared" si="0"/>
        <v>889.8392091280848</v>
      </c>
      <c r="S61" s="62">
        <f ca="1">AVERAGE(OFFSET($R$3,0,0,'Données projet'!$E$9+1,1))-AVERAGE(OFFSET($H$3,0,0,'Données projet'!$E$9+1,1))</f>
        <v>313.92223852157559</v>
      </c>
      <c r="T61" s="62">
        <f t="shared" si="34"/>
        <v>394.03759949558702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4.8001180411792213</v>
      </c>
      <c r="AB61" s="23">
        <f>EXP(-LN(2)/2)*AB60+(1-EXP(-LN(2)/2))/(LN(2)/2)*V61*Y61*VLOOKUP('Données projet'!$B$9,Paramètres!$A$1:$I$89,3,0)*0.475*44/12</f>
        <v>2.0145332257527255E-4</v>
      </c>
      <c r="AC61" s="24">
        <f t="shared" si="3"/>
        <v>4.8003194945017968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10.4</v>
      </c>
      <c r="AI61" s="14">
        <f>IF('Données projet'!$A$62&gt;35,AI60+AH61-AQ60,IF(A61&lt;'Données projet'!$A$62,$AF$205^A61,IF(A61='Données projet'!$A$62,'Données projet'!$B$62,AI60+AH61-AQ60)))</f>
        <v>251.2</v>
      </c>
      <c r="AJ61" s="14">
        <f>AI61*VLOOKUP('Données projet'!$B$10,Paramètres!$A$1:$I$89,3,0)*VLOOKUP('Données projet'!$B$10,Paramètres!$A$1:$I$89,5,0)</f>
        <v>143.68639999999999</v>
      </c>
      <c r="AK61" s="14">
        <f t="shared" si="35"/>
        <v>37.140226285695853</v>
      </c>
      <c r="AL61" s="22">
        <f t="shared" si="4"/>
        <v>314.93970744758695</v>
      </c>
      <c r="AM61" s="62">
        <f t="shared" si="5"/>
        <v>608.27304078092027</v>
      </c>
      <c r="AN61" s="62">
        <f ca="1">AVERAGE(OFFSET($AM$3,0,0,'Données projet'!$E$10+1,1))-AVERAGE(OFFSET($H$3,0,0,'Données projet'!$E$10+1,1))</f>
        <v>148.40707092284572</v>
      </c>
      <c r="AO61" s="62">
        <f t="shared" si="36"/>
        <v>162.45539016632631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2.3472600368583736</v>
      </c>
      <c r="AW61" s="23">
        <f>EXP(-LN(2)/2)*AW60+(1-EXP(-LN(2)/2))/(LN(2)/2)*AQ61*AT61*VLOOKUP('Données projet'!$B$10,Paramètres!$A$1:$I$89,3,0)*0.475*44/12</f>
        <v>5.9292926713727287E-4</v>
      </c>
      <c r="AX61" s="23">
        <f t="shared" si="6"/>
        <v>2.3478529661255108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13.2</v>
      </c>
      <c r="BD61" s="13">
        <f>IF('Données projet'!$A$88&gt;35,BD60+BC61-BL60,IF(A61&lt;'Données projet'!$A$88,$BA$205^A61,IF(A61='Données projet'!$A$88,'Données projet'!$B$88,BD60+BC61-BL60)))</f>
        <v>109.20000000000013</v>
      </c>
      <c r="BE61" s="14">
        <f>BD61*VLOOKUP('Données projet'!$B$11,Paramètres!$A$1:$I$89,3,0)*VLOOKUP('Données projet'!$B$11,Paramètres!$A$1:$I$89,5,0)</f>
        <v>53.944800000000072</v>
      </c>
      <c r="BF61" s="14">
        <f t="shared" si="37"/>
        <v>15.627975445731336</v>
      </c>
      <c r="BG61" s="22">
        <f t="shared" si="7"/>
        <v>121.17258390131553</v>
      </c>
      <c r="BH61" s="62">
        <f t="shared" si="8"/>
        <v>414.50591723464885</v>
      </c>
      <c r="BI61" s="62">
        <f ca="1">AVERAGE(OFFSET($BH$3,0,0,'Données projet'!$E$11+1,1))-AVERAGE(OFFSET($H$3,0,0,'Données projet'!$E$11+1,1))</f>
        <v>113.38017445149029</v>
      </c>
      <c r="BJ61" s="62">
        <f t="shared" si="38"/>
        <v>108.36144594421921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11.357142857142858</v>
      </c>
      <c r="N62" s="14">
        <f>IF('Données projet'!$A$36&gt;35,N61+M62-V61,IF(A62&lt;'Données projet'!$A$36,$K$205^A62,IF(A62='Données projet'!$A$36,'Données projet'!$B$36,N61+M62-V61)))</f>
        <v>505.64285714285722</v>
      </c>
      <c r="O62" s="14">
        <f>N62*VLOOKUP('Données projet'!$B$9,Paramètres!$A$1:$I$89,3,0)*VLOOKUP('Données projet'!$B$9,Paramètres!$A$1:$I$89,5,0)</f>
        <v>282.65435714285718</v>
      </c>
      <c r="P62" s="14">
        <f t="shared" si="33"/>
        <v>67.527642448603373</v>
      </c>
      <c r="Q62" s="22">
        <f t="shared" si="53"/>
        <v>609.90031595512721</v>
      </c>
      <c r="R62" s="62">
        <f t="shared" si="0"/>
        <v>903.23364928846058</v>
      </c>
      <c r="S62" s="62">
        <f ca="1">AVERAGE(OFFSET($R$3,0,0,'Données projet'!$E$9+1,1))-AVERAGE(OFFSET($H$3,0,0,'Données projet'!$E$9+1,1))</f>
        <v>313.92223852157559</v>
      </c>
      <c r="T62" s="62">
        <f t="shared" si="34"/>
        <v>394.03759949558702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4.6688585609159388</v>
      </c>
      <c r="AB62" s="23">
        <f>EXP(-LN(2)/2)*AB61+(1-EXP(-LN(2)/2))/(LN(2)/2)*V62*Y62*VLOOKUP('Données projet'!$B$9,Paramètres!$A$1:$I$89,3,0)*0.475*44/12</f>
        <v>1.4244901048553622E-4</v>
      </c>
      <c r="AC62" s="24">
        <f t="shared" si="3"/>
        <v>4.6690010099264239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10.4</v>
      </c>
      <c r="AI62" s="14">
        <f>IF('Données projet'!$A$62&gt;35,AI61+AH62-AQ61,IF(A62&lt;'Données projet'!$A$62,$AF$205^A62,IF(A62='Données projet'!$A$62,'Données projet'!$B$62,AI61+AH62-AQ61)))</f>
        <v>261.59999999999997</v>
      </c>
      <c r="AJ62" s="14">
        <f>AI62*VLOOKUP('Données projet'!$B$10,Paramètres!$A$1:$I$89,3,0)*VLOOKUP('Données projet'!$B$10,Paramètres!$A$1:$I$89,5,0)</f>
        <v>149.6352</v>
      </c>
      <c r="AK62" s="14">
        <f t="shared" si="35"/>
        <v>38.495671767021619</v>
      </c>
      <c r="AL62" s="22">
        <f t="shared" si="4"/>
        <v>327.66126832756265</v>
      </c>
      <c r="AM62" s="62">
        <f t="shared" si="5"/>
        <v>620.99460166089602</v>
      </c>
      <c r="AN62" s="62">
        <f ca="1">AVERAGE(OFFSET($AM$3,0,0,'Données projet'!$E$10+1,1))-AVERAGE(OFFSET($H$3,0,0,'Données projet'!$E$10+1,1))</f>
        <v>148.40707092284572</v>
      </c>
      <c r="AO62" s="62">
        <f t="shared" si="36"/>
        <v>162.45539016632631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2.2830740877134406</v>
      </c>
      <c r="AW62" s="23">
        <f>EXP(-LN(2)/2)*AW61+(1-EXP(-LN(2)/2))/(LN(2)/2)*AQ62*AT62*VLOOKUP('Données projet'!$B$10,Paramètres!$A$1:$I$89,3,0)*0.475*44/12</f>
        <v>4.192643055567356E-4</v>
      </c>
      <c r="AX62" s="23">
        <f t="shared" si="6"/>
        <v>2.2834933520189975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13.2</v>
      </c>
      <c r="BD62" s="13">
        <f>IF('Données projet'!$A$88&gt;35,BD61+BC62-BL61,IF(A62&lt;'Données projet'!$A$88,$BA$205^A62,IF(A62='Données projet'!$A$88,'Données projet'!$B$88,BD61+BC62-BL61)))</f>
        <v>122.40000000000013</v>
      </c>
      <c r="BE62" s="14">
        <f>BD62*VLOOKUP('Données projet'!$B$11,Paramètres!$A$1:$I$89,3,0)*VLOOKUP('Données projet'!$B$11,Paramètres!$A$1:$I$89,5,0)</f>
        <v>60.465600000000066</v>
      </c>
      <c r="BF62" s="14">
        <f t="shared" si="37"/>
        <v>17.285934288248221</v>
      </c>
      <c r="BG62" s="22">
        <f t="shared" si="7"/>
        <v>135.4172555520324</v>
      </c>
      <c r="BH62" s="62">
        <f t="shared" si="8"/>
        <v>428.75058888536569</v>
      </c>
      <c r="BI62" s="62">
        <f ca="1">AVERAGE(OFFSET($BH$3,0,0,'Données projet'!$E$11+1,1))-AVERAGE(OFFSET($H$3,0,0,'Données projet'!$E$11+1,1))</f>
        <v>113.38017445149029</v>
      </c>
      <c r="BJ62" s="62">
        <f t="shared" si="38"/>
        <v>108.36144594421921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517</v>
      </c>
      <c r="L63" s="13">
        <f>VLOOKUP(A63,'Données projet'!$A$35:$I$55,9,0)</f>
        <v>11.357142857142858</v>
      </c>
      <c r="M63" s="13">
        <f t="array" ref="M63">INDEX(L:L,MIN(IF(ISNUMBER(L63:L259),ROW(L63:L259),"")))</f>
        <v>11.357142857142858</v>
      </c>
      <c r="N63" s="14">
        <f>IF('Données projet'!$A$36&gt;35,N62+M63-V62,IF(A63&lt;'Données projet'!$A$36,$K$205^A63,IF(A63='Données projet'!$A$36,'Données projet'!$B$36,N62+M63-V62)))</f>
        <v>517.00000000000011</v>
      </c>
      <c r="O63" s="14">
        <f>N63*VLOOKUP('Données projet'!$B$9,Paramètres!$A$1:$I$89,3,0)*VLOOKUP('Données projet'!$B$9,Paramètres!$A$1:$I$89,5,0)</f>
        <v>289.0030000000001</v>
      </c>
      <c r="P63" s="14">
        <f t="shared" si="33"/>
        <v>68.866083084015429</v>
      </c>
      <c r="Q63" s="22">
        <f t="shared" si="53"/>
        <v>623.28865303799364</v>
      </c>
      <c r="R63" s="62">
        <f t="shared" si="0"/>
        <v>916.62198637132701</v>
      </c>
      <c r="S63" s="62">
        <f ca="1">AVERAGE(OFFSET($R$3,0,0,'Données projet'!$E$9+1,1))-AVERAGE(OFFSET($H$3,0,0,'Données projet'!$E$9+1,1))</f>
        <v>313.92223852157559</v>
      </c>
      <c r="T63" s="62">
        <f t="shared" si="34"/>
        <v>394.03759949558702</v>
      </c>
      <c r="U63" s="16" t="str">
        <f>IF(ISNA(VLOOKUP(A63,'Données projet'!$A$35:$I$55,3,0)),0,VLOOKUP(A63,'Données projet'!$A$35:$I$55,3,0))</f>
        <v>CR</v>
      </c>
      <c r="V63" s="16">
        <f>IF(ISNA(VLOOKUP(A63,'Données projet'!$A$35:$I$55,4,0)),0,VLOOKUP(A63,'Données projet'!$A$35:$I$55,4,0))</f>
        <v>517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4.5411883780430919</v>
      </c>
      <c r="AB63" s="23">
        <f>EXP(-LN(2)/2)*AB62+(1-EXP(-LN(2)/2))/(LN(2)/2)*V63*Y63*VLOOKUP('Données projet'!$B$9,Paramètres!$A$1:$I$89,3,0)*0.475*44/12</f>
        <v>1.0072666128763627E-4</v>
      </c>
      <c r="AC63" s="24">
        <f t="shared" si="3"/>
        <v>4.5412891047043793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272</v>
      </c>
      <c r="AG63" s="13">
        <f>VLOOKUP(A63,'Données projet'!$A$61:$I$81,9,0)</f>
        <v>10.4</v>
      </c>
      <c r="AH63" s="13">
        <f t="array" ref="AH63">INDEX(AG:AG,MIN(IF(ISNUMBER(AG63:AG259),ROW(AG63:AG259),"")))</f>
        <v>10.4</v>
      </c>
      <c r="AI63" s="14">
        <f>IF('Données projet'!$A$62&gt;35,AI62+AH63-AQ62,IF(A63&lt;'Données projet'!$A$62,$AF$205^A63,IF(A63='Données projet'!$A$62,'Données projet'!$B$62,AI62+AH63-AQ62)))</f>
        <v>271.99999999999994</v>
      </c>
      <c r="AJ63" s="14">
        <f>AI63*VLOOKUP('Données projet'!$B$10,Paramètres!$A$1:$I$89,3,0)*VLOOKUP('Données projet'!$B$10,Paramètres!$A$1:$I$89,5,0)</f>
        <v>155.58399999999997</v>
      </c>
      <c r="AK63" s="14">
        <f t="shared" si="35"/>
        <v>39.844857642197887</v>
      </c>
      <c r="AL63" s="22">
        <f t="shared" si="4"/>
        <v>340.37192706016123</v>
      </c>
      <c r="AM63" s="62">
        <f t="shared" si="5"/>
        <v>633.70526039349454</v>
      </c>
      <c r="AN63" s="62">
        <f ca="1">AVERAGE(OFFSET($AM$3,0,0,'Données projet'!$E$10+1,1))-AVERAGE(OFFSET($H$3,0,0,'Données projet'!$E$10+1,1))</f>
        <v>148.40707092284572</v>
      </c>
      <c r="AO63" s="62">
        <f t="shared" si="36"/>
        <v>162.45539016632631</v>
      </c>
      <c r="AP63" s="16" t="str">
        <f>IF(ISNA(VLOOKUP(A63,'Données projet'!$A$61:$I$81,3,0)),0,VLOOKUP(A63,'Données projet'!$A$61:$I$81,3,0))</f>
        <v>CR</v>
      </c>
      <c r="AQ63" s="16">
        <f>IF(ISNA(VLOOKUP(A63,'Données projet'!$A$61:$I$81,4,0)),0,VLOOKUP(A63,'Données projet'!$A$61:$I$81,4,0))</f>
        <v>272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2.2206433067232685</v>
      </c>
      <c r="AW63" s="23">
        <f>EXP(-LN(2)/2)*AW62+(1-EXP(-LN(2)/2))/(LN(2)/2)*AQ63*AT63*VLOOKUP('Données projet'!$B$10,Paramètres!$A$1:$I$89,3,0)*0.475*44/12</f>
        <v>2.9646463356863644E-4</v>
      </c>
      <c r="AX63" s="23">
        <f t="shared" si="6"/>
        <v>2.2209397713568371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13.2</v>
      </c>
      <c r="BD63" s="13">
        <f>IF('Données projet'!$A$88&gt;35,BD62+BC63-BL62,IF(A63&lt;'Données projet'!$A$88,$BA$205^A63,IF(A63='Données projet'!$A$88,'Données projet'!$B$88,BD62+BC63-BL62)))</f>
        <v>135.60000000000014</v>
      </c>
      <c r="BE63" s="14">
        <f>BD63*VLOOKUP('Données projet'!$B$11,Paramètres!$A$1:$I$89,3,0)*VLOOKUP('Données projet'!$B$11,Paramètres!$A$1:$I$89,5,0)</f>
        <v>66.986400000000074</v>
      </c>
      <c r="BF63" s="14">
        <f t="shared" si="37"/>
        <v>18.923168590566004</v>
      </c>
      <c r="BG63" s="22">
        <f t="shared" si="7"/>
        <v>149.62583196190261</v>
      </c>
      <c r="BH63" s="62">
        <f t="shared" si="8"/>
        <v>442.95916529523595</v>
      </c>
      <c r="BI63" s="62">
        <f ca="1">AVERAGE(OFFSET($BH$3,0,0,'Données projet'!$E$11+1,1))-AVERAGE(OFFSET($H$3,0,0,'Données projet'!$E$11+1,1))</f>
        <v>113.38017445149029</v>
      </c>
      <c r="BJ63" s="62">
        <f t="shared" si="38"/>
        <v>108.36144594421921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6.3550942286383367E-14</v>
      </c>
      <c r="P64" s="14">
        <f t="shared" si="33"/>
        <v>1.0064464192543978E-12</v>
      </c>
      <c r="Q64" s="22">
        <f t="shared" si="53"/>
        <v>1.8635787380168604E-12</v>
      </c>
      <c r="R64" s="62">
        <f t="shared" si="0"/>
        <v>293.33333333333519</v>
      </c>
      <c r="S64" s="62">
        <f ca="1">AVERAGE(OFFSET($R$3,0,0,'Données projet'!$E$9+1,1))-AVERAGE(OFFSET($H$3,0,0,'Données projet'!$E$9+1,1))</f>
        <v>313.92223852157559</v>
      </c>
      <c r="T64" s="62">
        <f t="shared" si="34"/>
        <v>394.03759949558702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4.4170093430347857</v>
      </c>
      <c r="AB64" s="23">
        <f>EXP(-LN(2)/2)*AB63+(1-EXP(-LN(2)/2))/(LN(2)/2)*V64*Y64*VLOOKUP('Données projet'!$B$9,Paramètres!$A$1:$I$89,3,0)*0.475*44/12</f>
        <v>7.1224505242768109E-5</v>
      </c>
      <c r="AC64" s="24">
        <f t="shared" si="3"/>
        <v>4.4170805675400286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-3.2514435588382188E-14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148.40707092284572</v>
      </c>
      <c r="AO64" s="62">
        <f t="shared" si="36"/>
        <v>162.45539016632631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2.1599196987223648</v>
      </c>
      <c r="AW64" s="23">
        <f>EXP(-LN(2)/2)*AW63+(1-EXP(-LN(2)/2))/(LN(2)/2)*AQ64*AT64*VLOOKUP('Données projet'!$B$10,Paramètres!$A$1:$I$89,3,0)*0.475*44/12</f>
        <v>2.096321527783678E-4</v>
      </c>
      <c r="AX64" s="23">
        <f t="shared" si="6"/>
        <v>2.1601293308751432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13.2</v>
      </c>
      <c r="BD64" s="13">
        <f>IF('Données projet'!$A$88&gt;35,BD63+BC64-BL63,IF(A64&lt;'Données projet'!$A$88,$BA$205^A64,IF(A64='Données projet'!$A$88,'Données projet'!$B$88,BD63+BC64-BL63)))</f>
        <v>148.80000000000013</v>
      </c>
      <c r="BE64" s="14">
        <f>BD64*VLOOKUP('Données projet'!$B$11,Paramètres!$A$1:$I$89,3,0)*VLOOKUP('Données projet'!$B$11,Paramètres!$A$1:$I$89,5,0)</f>
        <v>73.507200000000068</v>
      </c>
      <c r="BF64" s="14">
        <f t="shared" si="37"/>
        <v>20.541925364615203</v>
      </c>
      <c r="BG64" s="22">
        <f t="shared" si="7"/>
        <v>163.80222667670492</v>
      </c>
      <c r="BH64" s="62">
        <f t="shared" si="8"/>
        <v>457.13556001003826</v>
      </c>
      <c r="BI64" s="62">
        <f ca="1">AVERAGE(OFFSET($BH$3,0,0,'Données projet'!$E$11+1,1))-AVERAGE(OFFSET($H$3,0,0,'Données projet'!$E$11+1,1))</f>
        <v>113.38017445149029</v>
      </c>
      <c r="BJ64" s="62">
        <f t="shared" si="38"/>
        <v>108.36144594421921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6.3550942286383367E-14</v>
      </c>
      <c r="P65" s="14">
        <f t="shared" si="33"/>
        <v>1.0064464192543978E-12</v>
      </c>
      <c r="Q65" s="22">
        <f t="shared" si="53"/>
        <v>1.8635787380168604E-12</v>
      </c>
      <c r="R65" s="62">
        <f t="shared" si="0"/>
        <v>293.33333333333519</v>
      </c>
      <c r="S65" s="62">
        <f ca="1">AVERAGE(OFFSET($R$3,0,0,'Données projet'!$E$9+1,1))-AVERAGE(OFFSET($H$3,0,0,'Données projet'!$E$9+1,1))</f>
        <v>313.92223852157559</v>
      </c>
      <c r="T65" s="62">
        <f t="shared" si="34"/>
        <v>394.03759949558702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4.2962259902690736</v>
      </c>
      <c r="AB65" s="23">
        <f>EXP(-LN(2)/2)*AB64+(1-EXP(-LN(2)/2))/(LN(2)/2)*V65*Y65*VLOOKUP('Données projet'!$B$9,Paramètres!$A$1:$I$89,3,0)*0.475*44/12</f>
        <v>5.0363330643818137E-5</v>
      </c>
      <c r="AC65" s="24">
        <f t="shared" si="3"/>
        <v>4.2962763535997173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-3.2514435588382188E-14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148.40707092284572</v>
      </c>
      <c r="AO65" s="62">
        <f t="shared" si="36"/>
        <v>162.45539016632631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2.1008565809755613</v>
      </c>
      <c r="AW65" s="23">
        <f>EXP(-LN(2)/2)*AW64+(1-EXP(-LN(2)/2))/(LN(2)/2)*AQ65*AT65*VLOOKUP('Données projet'!$B$10,Paramètres!$A$1:$I$89,3,0)*0.475*44/12</f>
        <v>1.4823231678431822E-4</v>
      </c>
      <c r="AX65" s="23">
        <f t="shared" si="6"/>
        <v>2.1010048132923456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13.2</v>
      </c>
      <c r="BD65" s="13">
        <f>IF('Données projet'!$A$88&gt;35,BD64+BC65-BL64,IF(A65&lt;'Données projet'!$A$88,$BA$205^A65,IF(A65='Données projet'!$A$88,'Données projet'!$B$88,BD64+BC65-BL64)))</f>
        <v>162.00000000000011</v>
      </c>
      <c r="BE65" s="14">
        <f>BD65*VLOOKUP('Données projet'!$B$11,Paramètres!$A$1:$I$89,3,0)*VLOOKUP('Données projet'!$B$11,Paramètres!$A$1:$I$89,5,0)</f>
        <v>80.028000000000063</v>
      </c>
      <c r="BF65" s="14">
        <f t="shared" si="37"/>
        <v>22.144030134787165</v>
      </c>
      <c r="BG65" s="22">
        <f t="shared" si="7"/>
        <v>177.9496191514211</v>
      </c>
      <c r="BH65" s="62">
        <f t="shared" si="8"/>
        <v>471.28295248475445</v>
      </c>
      <c r="BI65" s="62">
        <f ca="1">AVERAGE(OFFSET($BH$3,0,0,'Données projet'!$E$11+1,1))-AVERAGE(OFFSET($H$3,0,0,'Données projet'!$E$11+1,1))</f>
        <v>113.38017445149029</v>
      </c>
      <c r="BJ65" s="62">
        <f t="shared" si="38"/>
        <v>108.36144594421921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6.3550942286383367E-14</v>
      </c>
      <c r="P66" s="14">
        <f t="shared" si="33"/>
        <v>1.0064464192543978E-12</v>
      </c>
      <c r="Q66" s="22">
        <f t="shared" si="53"/>
        <v>1.8635787380168604E-12</v>
      </c>
      <c r="R66" s="62">
        <f t="shared" si="0"/>
        <v>293.33333333333519</v>
      </c>
      <c r="S66" s="62">
        <f ca="1">AVERAGE(OFFSET($R$3,0,0,'Données projet'!$E$9+1,1))-AVERAGE(OFFSET($H$3,0,0,'Données projet'!$E$9+1,1))</f>
        <v>313.92223852157559</v>
      </c>
      <c r="T66" s="62">
        <f t="shared" si="34"/>
        <v>394.03759949558702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4.1787454646364601</v>
      </c>
      <c r="AB66" s="23">
        <f>EXP(-LN(2)/2)*AB65+(1-EXP(-LN(2)/2))/(LN(2)/2)*V66*Y66*VLOOKUP('Données projet'!$B$9,Paramètres!$A$1:$I$89,3,0)*0.475*44/12</f>
        <v>3.5612252621384054E-5</v>
      </c>
      <c r="AC66" s="24">
        <f t="shared" si="3"/>
        <v>4.1787810768890816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-3.2514435588382188E-14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148.40707092284572</v>
      </c>
      <c r="AO66" s="62">
        <f t="shared" si="36"/>
        <v>162.45539016632631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2.0434085472895385</v>
      </c>
      <c r="AW66" s="23">
        <f>EXP(-LN(2)/2)*AW65+(1-EXP(-LN(2)/2))/(LN(2)/2)*AQ66*AT66*VLOOKUP('Données projet'!$B$10,Paramètres!$A$1:$I$89,3,0)*0.475*44/12</f>
        <v>1.048160763891839E-4</v>
      </c>
      <c r="AX66" s="23">
        <f t="shared" si="6"/>
        <v>2.0435133633659275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13.2</v>
      </c>
      <c r="BD66" s="13">
        <f>IF('Données projet'!$A$88&gt;35,BD65+BC66-BL65,IF(A66&lt;'Données projet'!$A$88,$BA$205^A66,IF(A66='Données projet'!$A$88,'Données projet'!$B$88,BD65+BC66-BL65)))</f>
        <v>175.2000000000001</v>
      </c>
      <c r="BE66" s="14">
        <f>BD66*VLOOKUP('Données projet'!$B$11,Paramètres!$A$1:$I$89,3,0)*VLOOKUP('Données projet'!$B$11,Paramètres!$A$1:$I$89,5,0)</f>
        <v>86.548800000000057</v>
      </c>
      <c r="BF66" s="14">
        <f t="shared" si="37"/>
        <v>23.730993988781265</v>
      </c>
      <c r="BG66" s="22">
        <f t="shared" si="7"/>
        <v>192.07064119712746</v>
      </c>
      <c r="BH66" s="62">
        <f t="shared" si="8"/>
        <v>485.4039745304608</v>
      </c>
      <c r="BI66" s="62">
        <f ca="1">AVERAGE(OFFSET($BH$3,0,0,'Données projet'!$E$11+1,1))-AVERAGE(OFFSET($H$3,0,0,'Données projet'!$E$11+1,1))</f>
        <v>113.38017445149029</v>
      </c>
      <c r="BJ66" s="62">
        <f t="shared" si="38"/>
        <v>108.36144594421921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6.3550942286383367E-14</v>
      </c>
      <c r="P67" s="14">
        <f t="shared" si="33"/>
        <v>1.0064464192543978E-12</v>
      </c>
      <c r="Q67" s="22">
        <f t="shared" ref="Q67:Q98" si="54">(O67+P67)*0.475*44/12</f>
        <v>1.8635787380168604E-12</v>
      </c>
      <c r="R67" s="62">
        <f t="shared" ref="R67:R130" si="55">Q67+(I67+J67)*44/12</f>
        <v>293.33333333333519</v>
      </c>
      <c r="S67" s="62">
        <f ca="1">AVERAGE(OFFSET($R$3,0,0,'Données projet'!$E$9+1,1))-AVERAGE(OFFSET($H$3,0,0,'Données projet'!$E$9+1,1))</f>
        <v>313.92223852157559</v>
      </c>
      <c r="T67" s="62">
        <f t="shared" si="34"/>
        <v>394.03759949558702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4.0644774501553025</v>
      </c>
      <c r="AB67" s="23">
        <f>EXP(-LN(2)/2)*AB66+(1-EXP(-LN(2)/2))/(LN(2)/2)*V67*Y67*VLOOKUP('Données projet'!$B$9,Paramètres!$A$1:$I$89,3,0)*0.475*44/12</f>
        <v>2.5181665321909068E-5</v>
      </c>
      <c r="AC67" s="24">
        <f t="shared" si="3"/>
        <v>4.0645026318206243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-3.2514435588382188E-14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148.40707092284572</v>
      </c>
      <c r="AO67" s="62">
        <f t="shared" si="36"/>
        <v>162.45539016632631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1.9875314331057208</v>
      </c>
      <c r="AW67" s="23">
        <f>EXP(-LN(2)/2)*AW66+(1-EXP(-LN(2)/2))/(LN(2)/2)*AQ67*AT67*VLOOKUP('Données projet'!$B$10,Paramètres!$A$1:$I$89,3,0)*0.475*44/12</f>
        <v>7.4116158392159109E-5</v>
      </c>
      <c r="AX67" s="23">
        <f t="shared" si="6"/>
        <v>1.9876055492641129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13.2</v>
      </c>
      <c r="BD67" s="13">
        <f>IF('Données projet'!$A$88&gt;35,BD66+BC67-BL66,IF(A67&lt;'Données projet'!$A$88,$BA$205^A67,IF(A67='Données projet'!$A$88,'Données projet'!$B$88,BD66+BC67-BL66)))</f>
        <v>188.40000000000009</v>
      </c>
      <c r="BE67" s="14">
        <f>BD67*VLOOKUP('Données projet'!$B$11,Paramètres!$A$1:$I$89,3,0)*VLOOKUP('Données projet'!$B$11,Paramètres!$A$1:$I$89,5,0)</f>
        <v>93.069600000000051</v>
      </c>
      <c r="BF67" s="14">
        <f t="shared" si="37"/>
        <v>25.304087391669533</v>
      </c>
      <c r="BG67" s="22">
        <f t="shared" si="7"/>
        <v>206.16750554049119</v>
      </c>
      <c r="BH67" s="62">
        <f t="shared" si="8"/>
        <v>499.50083887382448</v>
      </c>
      <c r="BI67" s="62">
        <f ca="1">AVERAGE(OFFSET($BH$3,0,0,'Données projet'!$E$11+1,1))-AVERAGE(OFFSET($H$3,0,0,'Données projet'!$E$11+1,1))</f>
        <v>113.38017445149029</v>
      </c>
      <c r="BJ67" s="62">
        <f t="shared" si="38"/>
        <v>108.36144594421921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6.3550942286383367E-14</v>
      </c>
      <c r="P68" s="14">
        <f t="shared" si="33"/>
        <v>1.0064464192543978E-12</v>
      </c>
      <c r="Q68" s="22">
        <f t="shared" si="54"/>
        <v>1.8635787380168604E-12</v>
      </c>
      <c r="R68" s="62">
        <f t="shared" si="55"/>
        <v>293.33333333333519</v>
      </c>
      <c r="S68" s="62">
        <f ca="1">AVERAGE(OFFSET($R$3,0,0,'Données projet'!$E$9+1,1))-AVERAGE(OFFSET($H$3,0,0,'Données projet'!$E$9+1,1))</f>
        <v>313.92223852157559</v>
      </c>
      <c r="T68" s="62">
        <f t="shared" si="34"/>
        <v>394.03759949558702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3.9533341005392262</v>
      </c>
      <c r="AB68" s="23">
        <f>EXP(-LN(2)/2)*AB67+(1-EXP(-LN(2)/2))/(LN(2)/2)*V68*Y68*VLOOKUP('Données projet'!$B$9,Paramètres!$A$1:$I$89,3,0)*0.475*44/12</f>
        <v>1.7806126310692027E-5</v>
      </c>
      <c r="AC68" s="24">
        <f t="shared" ref="AC68:AC131" si="57">SUM(Z68:AB68)</f>
        <v>3.9533519066655369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-3.2514435588382188E-14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148.40707092284572</v>
      </c>
      <c r="AO68" s="62">
        <f t="shared" si="36"/>
        <v>162.45539016632631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1.9331822815477093</v>
      </c>
      <c r="AW68" s="23">
        <f>EXP(-LN(2)/2)*AW67+(1-EXP(-LN(2)/2))/(LN(2)/2)*AQ68*AT68*VLOOKUP('Données projet'!$B$10,Paramètres!$A$1:$I$89,3,0)*0.475*44/12</f>
        <v>5.240803819459195E-5</v>
      </c>
      <c r="AX68" s="23">
        <f t="shared" ref="AX68:AX131" si="60">SUM(AU68:AW68)</f>
        <v>1.9332346895859038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13.2</v>
      </c>
      <c r="BD68" s="13">
        <f>IF('Données projet'!$A$88&gt;35,BD67+BC68-BL67,IF(A68&lt;'Données projet'!$A$88,$BA$205^A68,IF(A68='Données projet'!$A$88,'Données projet'!$B$88,BD67+BC68-BL67)))</f>
        <v>201.60000000000008</v>
      </c>
      <c r="BE68" s="14">
        <f>BD68*VLOOKUP('Données projet'!$B$11,Paramètres!$A$1:$I$89,3,0)*VLOOKUP('Données projet'!$B$11,Paramètres!$A$1:$I$89,5,0)</f>
        <v>99.590400000000045</v>
      </c>
      <c r="BF68" s="14">
        <f t="shared" si="37"/>
        <v>26.864392698869349</v>
      </c>
      <c r="BG68" s="22">
        <f t="shared" ref="BG68:BG131" si="61">(BE68+BF68)*0.475*44/12</f>
        <v>220.24209728386418</v>
      </c>
      <c r="BH68" s="62">
        <f t="shared" ref="BH68:BH131" si="62">BG68+(AY68+AZ68)*44/12</f>
        <v>513.57543061719753</v>
      </c>
      <c r="BI68" s="62">
        <f ca="1">AVERAGE(OFFSET($BH$3,0,0,'Données projet'!$E$11+1,1))-AVERAGE(OFFSET($H$3,0,0,'Données projet'!$E$11+1,1))</f>
        <v>113.38017445149029</v>
      </c>
      <c r="BJ68" s="62">
        <f t="shared" si="38"/>
        <v>108.36144594421921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6.3550942286383367E-14</v>
      </c>
      <c r="P69" s="14">
        <f t="shared" ref="P69:P132" si="87">EXP(-1.0587+0.8836*LN(O69)+0.284)</f>
        <v>1.0064464192543978E-12</v>
      </c>
      <c r="Q69" s="22">
        <f t="shared" si="54"/>
        <v>1.8635787380168604E-12</v>
      </c>
      <c r="R69" s="62">
        <f t="shared" si="55"/>
        <v>293.33333333333519</v>
      </c>
      <c r="S69" s="62">
        <f ca="1">AVERAGE(OFFSET($R$3,0,0,'Données projet'!$E$9+1,1))-AVERAGE(OFFSET($H$3,0,0,'Données projet'!$E$9+1,1))</f>
        <v>313.92223852157559</v>
      </c>
      <c r="T69" s="62">
        <f t="shared" ref="T69:T132" si="88">$T$3</f>
        <v>394.03759949558702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3.8452299716631764</v>
      </c>
      <c r="AB69" s="23">
        <f>EXP(-LN(2)/2)*AB68+(1-EXP(-LN(2)/2))/(LN(2)/2)*V69*Y69*VLOOKUP('Données projet'!$B$9,Paramètres!$A$1:$I$89,3,0)*0.475*44/12</f>
        <v>1.2590832660954534E-5</v>
      </c>
      <c r="AC69" s="24">
        <f t="shared" si="57"/>
        <v>3.8452425624958373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-3.2514435588382188E-14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148.40707092284572</v>
      </c>
      <c r="AO69" s="62">
        <f t="shared" ref="AO69:AO132" si="90">$AO$3</f>
        <v>162.45539016632631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1.8803193103971494</v>
      </c>
      <c r="AW69" s="23">
        <f>EXP(-LN(2)/2)*AW68+(1-EXP(-LN(2)/2))/(LN(2)/2)*AQ69*AT69*VLOOKUP('Données projet'!$B$10,Paramètres!$A$1:$I$89,3,0)*0.475*44/12</f>
        <v>3.7058079196079555E-5</v>
      </c>
      <c r="AX69" s="23">
        <f t="shared" si="60"/>
        <v>1.8803563684763456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13.2</v>
      </c>
      <c r="BD69" s="13">
        <f>IF('Données projet'!$A$88&gt;35,BD68+BC69-BL68,IF(A69&lt;'Données projet'!$A$88,$BA$205^A69,IF(A69='Données projet'!$A$88,'Données projet'!$B$88,BD68+BC69-BL68)))</f>
        <v>214.80000000000007</v>
      </c>
      <c r="BE69" s="14">
        <f>BD69*VLOOKUP('Données projet'!$B$11,Paramètres!$A$1:$I$89,3,0)*VLOOKUP('Données projet'!$B$11,Paramètres!$A$1:$I$89,5,0)</f>
        <v>106.11120000000004</v>
      </c>
      <c r="BF69" s="14">
        <f t="shared" ref="BF69:BF132" si="91">EXP(-1.0587+0.8836*LN(BE69)+0.284)</f>
        <v>28.41284251259264</v>
      </c>
      <c r="BG69" s="22">
        <f t="shared" si="61"/>
        <v>234.29604070943222</v>
      </c>
      <c r="BH69" s="62">
        <f t="shared" si="62"/>
        <v>527.62937404276556</v>
      </c>
      <c r="BI69" s="62">
        <f ca="1">AVERAGE(OFFSET($BH$3,0,0,'Données projet'!$E$11+1,1))-AVERAGE(OFFSET($H$3,0,0,'Données projet'!$E$11+1,1))</f>
        <v>113.38017445149029</v>
      </c>
      <c r="BJ69" s="62">
        <f t="shared" ref="BJ69:BJ132" si="92">$BJ$3</f>
        <v>108.36144594421921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6.3550942286383367E-14</v>
      </c>
      <c r="P70" s="14">
        <f t="shared" si="87"/>
        <v>1.0064464192543978E-12</v>
      </c>
      <c r="Q70" s="22">
        <f t="shared" si="54"/>
        <v>1.8635787380168604E-12</v>
      </c>
      <c r="R70" s="62">
        <f t="shared" si="55"/>
        <v>293.33333333333519</v>
      </c>
      <c r="S70" s="62">
        <f ca="1">AVERAGE(OFFSET($R$3,0,0,'Données projet'!$E$9+1,1))-AVERAGE(OFFSET($H$3,0,0,'Données projet'!$E$9+1,1))</f>
        <v>313.92223852157559</v>
      </c>
      <c r="T70" s="62">
        <f t="shared" si="88"/>
        <v>394.03759949558702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3.7400819558761911</v>
      </c>
      <c r="AB70" s="23">
        <f>EXP(-LN(2)/2)*AB69+(1-EXP(-LN(2)/2))/(LN(2)/2)*V70*Y70*VLOOKUP('Données projet'!$B$9,Paramètres!$A$1:$I$89,3,0)*0.475*44/12</f>
        <v>8.9030631553460136E-6</v>
      </c>
      <c r="AC70" s="24">
        <f t="shared" si="57"/>
        <v>3.7400908589393462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-3.2514435588382188E-14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148.40707092284572</v>
      </c>
      <c r="AO70" s="62">
        <f t="shared" si="90"/>
        <v>162.45539016632631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1.8289018799726444</v>
      </c>
      <c r="AW70" s="23">
        <f>EXP(-LN(2)/2)*AW69+(1-EXP(-LN(2)/2))/(LN(2)/2)*AQ70*AT70*VLOOKUP('Données projet'!$B$10,Paramètres!$A$1:$I$89,3,0)*0.475*44/12</f>
        <v>2.6204019097295975E-5</v>
      </c>
      <c r="AX70" s="23">
        <f t="shared" si="60"/>
        <v>1.8289280839917417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>
        <f>VLOOKUP(A70,'Données projet'!$A$87:$I$107,2,0)</f>
        <v>228</v>
      </c>
      <c r="BB70" s="13">
        <f>VLOOKUP(A70,'Données projet'!$A$87:$I$107,9,0)</f>
        <v>13.2</v>
      </c>
      <c r="BC70" s="13">
        <f t="array" ref="BC70">INDEX(BB:BB,MIN(IF(ISNUMBER(BB70:BB266),ROW(BB70:BB266),"")))</f>
        <v>13.2</v>
      </c>
      <c r="BD70" s="13">
        <f>IF('Données projet'!$A$88&gt;35,BD69+BC70-BL69,IF(A70&lt;'Données projet'!$A$88,$BA$205^A70,IF(A70='Données projet'!$A$88,'Données projet'!$B$88,BD69+BC70-BL69)))</f>
        <v>228.00000000000006</v>
      </c>
      <c r="BE70" s="14">
        <f>BD70*VLOOKUP('Données projet'!$B$11,Paramètres!$A$1:$I$89,3,0)*VLOOKUP('Données projet'!$B$11,Paramètres!$A$1:$I$89,5,0)</f>
        <v>112.63200000000005</v>
      </c>
      <c r="BF70" s="14">
        <f t="shared" si="91"/>
        <v>29.950248336286034</v>
      </c>
      <c r="BG70" s="22">
        <f t="shared" si="61"/>
        <v>248.33074918569824</v>
      </c>
      <c r="BH70" s="62">
        <f t="shared" si="62"/>
        <v>541.66408251903158</v>
      </c>
      <c r="BI70" s="62">
        <f ca="1">AVERAGE(OFFSET($BH$3,0,0,'Données projet'!$E$11+1,1))-AVERAGE(OFFSET($H$3,0,0,'Données projet'!$E$11+1,1))</f>
        <v>113.38017445149029</v>
      </c>
      <c r="BJ70" s="62">
        <f t="shared" si="92"/>
        <v>108.36144594421921</v>
      </c>
      <c r="BK70" s="16" t="str">
        <f>IF(ISNA(VLOOKUP(A70,'Données projet'!$A$87:$I$107,3,0)),0,VLOOKUP(A70,'Données projet'!$A$87:$I$107,3,0))</f>
        <v>CR</v>
      </c>
      <c r="BL70" s="16">
        <f>IF(ISNA(VLOOKUP(A70,'Données projet'!$A$87:$I$107,4,0)),0,VLOOKUP(A70,'Données projet'!$A$87:$I$107,4,0))</f>
        <v>228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6.3550942286383367E-14</v>
      </c>
      <c r="P71" s="14">
        <f t="shared" si="87"/>
        <v>1.0064464192543978E-12</v>
      </c>
      <c r="Q71" s="22">
        <f t="shared" si="54"/>
        <v>1.8635787380168604E-12</v>
      </c>
      <c r="R71" s="62">
        <f t="shared" si="55"/>
        <v>293.33333333333519</v>
      </c>
      <c r="S71" s="62">
        <f ca="1">AVERAGE(OFFSET($R$3,0,0,'Données projet'!$E$9+1,1))-AVERAGE(OFFSET($H$3,0,0,'Données projet'!$E$9+1,1))</f>
        <v>313.92223852157559</v>
      </c>
      <c r="T71" s="62">
        <f t="shared" si="88"/>
        <v>394.03759949558702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3.6378092181103945</v>
      </c>
      <c r="AB71" s="23">
        <f>EXP(-LN(2)/2)*AB70+(1-EXP(-LN(2)/2))/(LN(2)/2)*V71*Y71*VLOOKUP('Données projet'!$B$9,Paramètres!$A$1:$I$89,3,0)*0.475*44/12</f>
        <v>6.2954163304772671E-6</v>
      </c>
      <c r="AC71" s="24">
        <f t="shared" si="57"/>
        <v>3.6378155135267249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-3.2514435588382188E-14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148.40707092284572</v>
      </c>
      <c r="AO71" s="62">
        <f t="shared" si="90"/>
        <v>162.45539016632631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1.7788904618870225</v>
      </c>
      <c r="AW71" s="23">
        <f>EXP(-LN(2)/2)*AW70+(1-EXP(-LN(2)/2))/(LN(2)/2)*AQ71*AT71*VLOOKUP('Données projet'!$B$10,Paramètres!$A$1:$I$89,3,0)*0.475*44/12</f>
        <v>1.8529039598039777E-5</v>
      </c>
      <c r="AX71" s="23">
        <f t="shared" si="60"/>
        <v>1.7789089909266205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2.8080648917239162E-14</v>
      </c>
      <c r="BF71" s="14">
        <f t="shared" si="91"/>
        <v>4.8906278147460642E-13</v>
      </c>
      <c r="BG71" s="22">
        <f t="shared" si="61"/>
        <v>9.0069147459913104E-13</v>
      </c>
      <c r="BH71" s="62">
        <f t="shared" si="62"/>
        <v>293.33333333333422</v>
      </c>
      <c r="BI71" s="62">
        <f ca="1">AVERAGE(OFFSET($BH$3,0,0,'Données projet'!$E$11+1,1))-AVERAGE(OFFSET($H$3,0,0,'Données projet'!$E$11+1,1))</f>
        <v>113.38017445149029</v>
      </c>
      <c r="BJ71" s="62">
        <f t="shared" si="92"/>
        <v>108.36144594421921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6.3550942286383367E-14</v>
      </c>
      <c r="P72" s="14">
        <f t="shared" si="87"/>
        <v>1.0064464192543978E-12</v>
      </c>
      <c r="Q72" s="22">
        <f t="shared" si="54"/>
        <v>1.8635787380168604E-12</v>
      </c>
      <c r="R72" s="62">
        <f t="shared" si="55"/>
        <v>293.33333333333519</v>
      </c>
      <c r="S72" s="62">
        <f ca="1">AVERAGE(OFFSET($R$3,0,0,'Données projet'!$E$9+1,1))-AVERAGE(OFFSET($H$3,0,0,'Données projet'!$E$9+1,1))</f>
        <v>313.92223852157559</v>
      </c>
      <c r="T72" s="62">
        <f t="shared" si="88"/>
        <v>394.03759949558702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3.5383331337370931</v>
      </c>
      <c r="AB72" s="23">
        <f>EXP(-LN(2)/2)*AB71+(1-EXP(-LN(2)/2))/(LN(2)/2)*V72*Y72*VLOOKUP('Données projet'!$B$9,Paramètres!$A$1:$I$89,3,0)*0.475*44/12</f>
        <v>4.4515315776730068E-6</v>
      </c>
      <c r="AC72" s="24">
        <f t="shared" si="57"/>
        <v>3.5383375852686707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-3.2514435588382188E-14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148.40707092284572</v>
      </c>
      <c r="AO72" s="62">
        <f t="shared" si="90"/>
        <v>162.45539016632631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1.7302466086589381</v>
      </c>
      <c r="AW72" s="23">
        <f>EXP(-LN(2)/2)*AW71+(1-EXP(-LN(2)/2))/(LN(2)/2)*AQ72*AT72*VLOOKUP('Données projet'!$B$10,Paramètres!$A$1:$I$89,3,0)*0.475*44/12</f>
        <v>1.3102009548647987E-5</v>
      </c>
      <c r="AX72" s="23">
        <f t="shared" si="60"/>
        <v>1.7302597106684867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2.8080648917239162E-14</v>
      </c>
      <c r="BF72" s="14">
        <f t="shared" si="91"/>
        <v>4.8906278147460642E-13</v>
      </c>
      <c r="BG72" s="22">
        <f t="shared" si="61"/>
        <v>9.0069147459913104E-13</v>
      </c>
      <c r="BH72" s="62">
        <f t="shared" si="62"/>
        <v>293.33333333333422</v>
      </c>
      <c r="BI72" s="62">
        <f ca="1">AVERAGE(OFFSET($BH$3,0,0,'Données projet'!$E$11+1,1))-AVERAGE(OFFSET($H$3,0,0,'Données projet'!$E$11+1,1))</f>
        <v>113.38017445149029</v>
      </c>
      <c r="BJ72" s="62">
        <f t="shared" si="92"/>
        <v>108.36144594421921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6.3550942286383367E-14</v>
      </c>
      <c r="P73" s="14">
        <f t="shared" si="87"/>
        <v>1.0064464192543978E-12</v>
      </c>
      <c r="Q73" s="22">
        <f t="shared" si="54"/>
        <v>1.8635787380168604E-12</v>
      </c>
      <c r="R73" s="62">
        <f t="shared" si="55"/>
        <v>293.33333333333519</v>
      </c>
      <c r="S73" s="62">
        <f ca="1">AVERAGE(OFFSET($R$3,0,0,'Données projet'!$E$9+1,1))-AVERAGE(OFFSET($H$3,0,0,'Données projet'!$E$9+1,1))</f>
        <v>313.92223852157559</v>
      </c>
      <c r="T73" s="62">
        <f t="shared" si="88"/>
        <v>394.03759949558702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3.4415772281221999</v>
      </c>
      <c r="AB73" s="23">
        <f>EXP(-LN(2)/2)*AB72+(1-EXP(-LN(2)/2))/(LN(2)/2)*V73*Y73*VLOOKUP('Données projet'!$B$9,Paramètres!$A$1:$I$89,3,0)*0.475*44/12</f>
        <v>3.1477081652386336E-6</v>
      </c>
      <c r="AC73" s="24">
        <f t="shared" si="57"/>
        <v>3.4415803758303651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-3.2514435588382188E-14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148.40707092284572</v>
      </c>
      <c r="AO73" s="62">
        <f t="shared" si="90"/>
        <v>162.45539016632631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1.6829329241554447</v>
      </c>
      <c r="AW73" s="23">
        <f>EXP(-LN(2)/2)*AW72+(1-EXP(-LN(2)/2))/(LN(2)/2)*AQ73*AT73*VLOOKUP('Données projet'!$B$10,Paramètres!$A$1:$I$89,3,0)*0.475*44/12</f>
        <v>9.2645197990198887E-6</v>
      </c>
      <c r="AX73" s="23">
        <f t="shared" si="60"/>
        <v>1.6829421886752438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2.8080648917239162E-14</v>
      </c>
      <c r="BF73" s="14">
        <f t="shared" si="91"/>
        <v>4.8906278147460642E-13</v>
      </c>
      <c r="BG73" s="22">
        <f t="shared" si="61"/>
        <v>9.0069147459913104E-13</v>
      </c>
      <c r="BH73" s="62">
        <f t="shared" si="62"/>
        <v>293.33333333333422</v>
      </c>
      <c r="BI73" s="62">
        <f ca="1">AVERAGE(OFFSET($BH$3,0,0,'Données projet'!$E$11+1,1))-AVERAGE(OFFSET($H$3,0,0,'Données projet'!$E$11+1,1))</f>
        <v>113.38017445149029</v>
      </c>
      <c r="BJ73" s="62">
        <f t="shared" si="92"/>
        <v>108.36144594421921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293.33333333333519</v>
      </c>
      <c r="S74" s="62">
        <f ca="1">AVERAGE(OFFSET($R$3,0,0,'Données projet'!$E$9+1,1))-AVERAGE(OFFSET($H$3,0,0,'Données projet'!$E$9+1,1))</f>
        <v>313.92223852157559</v>
      </c>
      <c r="T74" s="62">
        <f t="shared" si="88"/>
        <v>394.03759949558702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3.3474671178345177</v>
      </c>
      <c r="AB74" s="23">
        <f>EXP(-LN(2)/2)*AB73+(1-EXP(-LN(2)/2))/(LN(2)/2)*V74*Y74*VLOOKUP('Données projet'!$B$9,Paramètres!$A$1:$I$89,3,0)*0.475*44/12</f>
        <v>2.2257657888365034E-6</v>
      </c>
      <c r="AC74" s="24">
        <f t="shared" si="57"/>
        <v>3.3474693436003067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-3.2514435588382188E-14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148.40707092284572</v>
      </c>
      <c r="AO74" s="62">
        <f t="shared" si="90"/>
        <v>162.45539016632631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1.636913034842818</v>
      </c>
      <c r="AW74" s="23">
        <f>EXP(-LN(2)/2)*AW73+(1-EXP(-LN(2)/2))/(LN(2)/2)*AQ74*AT74*VLOOKUP('Données projet'!$B$10,Paramètres!$A$1:$I$89,3,0)*0.475*44/12</f>
        <v>6.5510047743239937E-6</v>
      </c>
      <c r="AX74" s="23">
        <f t="shared" si="60"/>
        <v>1.6369195858475925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2.8080648917239162E-14</v>
      </c>
      <c r="BF74" s="14">
        <f t="shared" si="91"/>
        <v>4.8906278147460642E-13</v>
      </c>
      <c r="BG74" s="22">
        <f t="shared" si="61"/>
        <v>9.0069147459913104E-13</v>
      </c>
      <c r="BH74" s="62">
        <f t="shared" si="62"/>
        <v>293.33333333333422</v>
      </c>
      <c r="BI74" s="62">
        <f ca="1">AVERAGE(OFFSET($BH$3,0,0,'Données projet'!$E$11+1,1))-AVERAGE(OFFSET($H$3,0,0,'Données projet'!$E$11+1,1))</f>
        <v>113.38017445149029</v>
      </c>
      <c r="BJ74" s="62">
        <f t="shared" si="92"/>
        <v>108.36144594421921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293.33333333333519</v>
      </c>
      <c r="S75" s="62">
        <f ca="1">AVERAGE(OFFSET($R$3,0,0,'Données projet'!$E$9+1,1))-AVERAGE(OFFSET($H$3,0,0,'Données projet'!$E$9+1,1))</f>
        <v>313.92223852157559</v>
      </c>
      <c r="T75" s="62">
        <f t="shared" si="88"/>
        <v>394.03759949558702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3.255930453461688</v>
      </c>
      <c r="AB75" s="23">
        <f>EXP(-LN(2)/2)*AB74+(1-EXP(-LN(2)/2))/(LN(2)/2)*V75*Y75*VLOOKUP('Données projet'!$B$9,Paramètres!$A$1:$I$89,3,0)*0.475*44/12</f>
        <v>1.5738540826193168E-6</v>
      </c>
      <c r="AC75" s="24">
        <f t="shared" si="57"/>
        <v>3.2559320273157706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-3.2514435588382188E-14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148.40707092284572</v>
      </c>
      <c r="AO75" s="62">
        <f t="shared" si="90"/>
        <v>162.45539016632631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1.5921515618235258</v>
      </c>
      <c r="AW75" s="23">
        <f>EXP(-LN(2)/2)*AW74+(1-EXP(-LN(2)/2))/(LN(2)/2)*AQ75*AT75*VLOOKUP('Données projet'!$B$10,Paramètres!$A$1:$I$89,3,0)*0.475*44/12</f>
        <v>4.6322598995099443E-6</v>
      </c>
      <c r="AX75" s="23">
        <f t="shared" si="60"/>
        <v>1.5921561940834252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2.8080648917239162E-14</v>
      </c>
      <c r="BF75" s="14">
        <f t="shared" si="91"/>
        <v>4.8906278147460642E-13</v>
      </c>
      <c r="BG75" s="22">
        <f t="shared" si="61"/>
        <v>9.0069147459913104E-13</v>
      </c>
      <c r="BH75" s="62">
        <f t="shared" si="62"/>
        <v>293.33333333333422</v>
      </c>
      <c r="BI75" s="62">
        <f ca="1">AVERAGE(OFFSET($BH$3,0,0,'Données projet'!$E$11+1,1))-AVERAGE(OFFSET($H$3,0,0,'Données projet'!$E$11+1,1))</f>
        <v>113.38017445149029</v>
      </c>
      <c r="BJ75" s="62">
        <f t="shared" si="92"/>
        <v>108.36144594421921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293.33333333333519</v>
      </c>
      <c r="S76" s="62">
        <f ca="1">AVERAGE(OFFSET($R$3,0,0,'Données projet'!$E$9+1,1))-AVERAGE(OFFSET($H$3,0,0,'Données projet'!$E$9+1,1))</f>
        <v>313.92223852157559</v>
      </c>
      <c r="T76" s="62">
        <f t="shared" si="88"/>
        <v>394.03759949558702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3.1668968639898369</v>
      </c>
      <c r="AB76" s="23">
        <f>EXP(-LN(2)/2)*AB75+(1-EXP(-LN(2)/2))/(LN(2)/2)*V76*Y76*VLOOKUP('Données projet'!$B$9,Paramètres!$A$1:$I$89,3,0)*0.475*44/12</f>
        <v>1.1128828944182517E-6</v>
      </c>
      <c r="AC76" s="24">
        <f t="shared" si="57"/>
        <v>3.1668979768727312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-3.2514435588382188E-14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148.40707092284572</v>
      </c>
      <c r="AO76" s="62">
        <f t="shared" si="90"/>
        <v>162.45539016632631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1.5486140936378499</v>
      </c>
      <c r="AW76" s="23">
        <f>EXP(-LN(2)/2)*AW75+(1-EXP(-LN(2)/2))/(LN(2)/2)*AQ76*AT76*VLOOKUP('Données projet'!$B$10,Paramètres!$A$1:$I$89,3,0)*0.475*44/12</f>
        <v>3.2755023871619968E-6</v>
      </c>
      <c r="AX76" s="23">
        <f t="shared" si="60"/>
        <v>1.548617369140237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2.8080648917239162E-14</v>
      </c>
      <c r="BF76" s="14">
        <f t="shared" si="91"/>
        <v>4.8906278147460642E-13</v>
      </c>
      <c r="BG76" s="22">
        <f t="shared" si="61"/>
        <v>9.0069147459913104E-13</v>
      </c>
      <c r="BH76" s="62">
        <f t="shared" si="62"/>
        <v>293.33333333333422</v>
      </c>
      <c r="BI76" s="62">
        <f ca="1">AVERAGE(OFFSET($BH$3,0,0,'Données projet'!$E$11+1,1))-AVERAGE(OFFSET($H$3,0,0,'Données projet'!$E$11+1,1))</f>
        <v>113.38017445149029</v>
      </c>
      <c r="BJ76" s="62">
        <f t="shared" si="92"/>
        <v>108.36144594421921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293.33333333333519</v>
      </c>
      <c r="S77" s="62">
        <f ca="1">AVERAGE(OFFSET($R$3,0,0,'Données projet'!$E$9+1,1))-AVERAGE(OFFSET($H$3,0,0,'Données projet'!$E$9+1,1))</f>
        <v>313.92223852157559</v>
      </c>
      <c r="T77" s="62">
        <f t="shared" si="88"/>
        <v>394.03759949558702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3.0802979027041668</v>
      </c>
      <c r="AB77" s="23">
        <f>EXP(-LN(2)/2)*AB76+(1-EXP(-LN(2)/2))/(LN(2)/2)*V77*Y77*VLOOKUP('Données projet'!$B$9,Paramètres!$A$1:$I$89,3,0)*0.475*44/12</f>
        <v>7.8692704130965839E-7</v>
      </c>
      <c r="AC77" s="24">
        <f t="shared" si="57"/>
        <v>3.0802986896312081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-3.2514435588382188E-14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148.40707092284572</v>
      </c>
      <c r="AO77" s="62">
        <f t="shared" si="90"/>
        <v>162.45539016632631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1.506267159809247</v>
      </c>
      <c r="AW77" s="23">
        <f>EXP(-LN(2)/2)*AW76+(1-EXP(-LN(2)/2))/(LN(2)/2)*AQ77*AT77*VLOOKUP('Données projet'!$B$10,Paramètres!$A$1:$I$89,3,0)*0.475*44/12</f>
        <v>2.3161299497549722E-6</v>
      </c>
      <c r="AX77" s="23">
        <f t="shared" si="60"/>
        <v>1.5062694759391968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2.8080648917239162E-14</v>
      </c>
      <c r="BF77" s="14">
        <f t="shared" si="91"/>
        <v>4.8906278147460642E-13</v>
      </c>
      <c r="BG77" s="22">
        <f t="shared" si="61"/>
        <v>9.0069147459913104E-13</v>
      </c>
      <c r="BH77" s="62">
        <f t="shared" si="62"/>
        <v>293.33333333333422</v>
      </c>
      <c r="BI77" s="62">
        <f ca="1">AVERAGE(OFFSET($BH$3,0,0,'Données projet'!$E$11+1,1))-AVERAGE(OFFSET($H$3,0,0,'Données projet'!$E$11+1,1))</f>
        <v>113.38017445149029</v>
      </c>
      <c r="BJ77" s="62">
        <f t="shared" si="92"/>
        <v>108.36144594421921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293.33333333333519</v>
      </c>
      <c r="S78" s="62">
        <f ca="1">AVERAGE(OFFSET($R$3,0,0,'Données projet'!$E$9+1,1))-AVERAGE(OFFSET($H$3,0,0,'Données projet'!$E$9+1,1))</f>
        <v>313.92223852157559</v>
      </c>
      <c r="T78" s="62">
        <f t="shared" si="88"/>
        <v>394.03759949558702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2.9960669945688947</v>
      </c>
      <c r="AB78" s="23">
        <f>EXP(-LN(2)/2)*AB77+(1-EXP(-LN(2)/2))/(LN(2)/2)*V78*Y78*VLOOKUP('Données projet'!$B$9,Paramètres!$A$1:$I$89,3,0)*0.475*44/12</f>
        <v>5.5644144720912585E-7</v>
      </c>
      <c r="AC78" s="24">
        <f t="shared" si="57"/>
        <v>2.9960675510103418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-3.2514435588382188E-14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148.40707092284572</v>
      </c>
      <c r="AO78" s="62">
        <f t="shared" si="90"/>
        <v>162.45539016632631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1.4650782051131157</v>
      </c>
      <c r="AW78" s="23">
        <f>EXP(-LN(2)/2)*AW77+(1-EXP(-LN(2)/2))/(LN(2)/2)*AQ78*AT78*VLOOKUP('Données projet'!$B$10,Paramètres!$A$1:$I$89,3,0)*0.475*44/12</f>
        <v>1.6377511935809984E-6</v>
      </c>
      <c r="AX78" s="23">
        <f t="shared" si="60"/>
        <v>1.4650798428643093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2.8080648917239162E-14</v>
      </c>
      <c r="BF78" s="14">
        <f t="shared" si="91"/>
        <v>4.8906278147460642E-13</v>
      </c>
      <c r="BG78" s="22">
        <f t="shared" si="61"/>
        <v>9.0069147459913104E-13</v>
      </c>
      <c r="BH78" s="62">
        <f t="shared" si="62"/>
        <v>293.33333333333422</v>
      </c>
      <c r="BI78" s="62">
        <f ca="1">AVERAGE(OFFSET($BH$3,0,0,'Données projet'!$E$11+1,1))-AVERAGE(OFFSET($H$3,0,0,'Données projet'!$E$11+1,1))</f>
        <v>113.38017445149029</v>
      </c>
      <c r="BJ78" s="62">
        <f t="shared" si="92"/>
        <v>108.36144594421921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293.33333333333519</v>
      </c>
      <c r="S79" s="62">
        <f ca="1">AVERAGE(OFFSET($R$3,0,0,'Données projet'!$E$9+1,1))-AVERAGE(OFFSET($H$3,0,0,'Données projet'!$E$9+1,1))</f>
        <v>313.92223852157559</v>
      </c>
      <c r="T79" s="62">
        <f t="shared" si="88"/>
        <v>394.03759949558702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2.9141393850460928</v>
      </c>
      <c r="AB79" s="23">
        <f>EXP(-LN(2)/2)*AB78+(1-EXP(-LN(2)/2))/(LN(2)/2)*V79*Y79*VLOOKUP('Données projet'!$B$9,Paramètres!$A$1:$I$89,3,0)*0.475*44/12</f>
        <v>3.934635206548292E-7</v>
      </c>
      <c r="AC79" s="24">
        <f t="shared" si="57"/>
        <v>2.9141397785096137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-3.2514435588382188E-14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148.40707092284572</v>
      </c>
      <c r="AO79" s="62">
        <f t="shared" si="90"/>
        <v>162.45539016632631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1.4250155645491833</v>
      </c>
      <c r="AW79" s="23">
        <f>EXP(-LN(2)/2)*AW78+(1-EXP(-LN(2)/2))/(LN(2)/2)*AQ79*AT79*VLOOKUP('Données projet'!$B$10,Paramètres!$A$1:$I$89,3,0)*0.475*44/12</f>
        <v>1.1580649748774861E-6</v>
      </c>
      <c r="AX79" s="23">
        <f t="shared" si="60"/>
        <v>1.4250167226141581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2.8080648917239162E-14</v>
      </c>
      <c r="BF79" s="14">
        <f t="shared" si="91"/>
        <v>4.8906278147460642E-13</v>
      </c>
      <c r="BG79" s="22">
        <f t="shared" si="61"/>
        <v>9.0069147459913104E-13</v>
      </c>
      <c r="BH79" s="62">
        <f t="shared" si="62"/>
        <v>293.33333333333422</v>
      </c>
      <c r="BI79" s="62">
        <f ca="1">AVERAGE(OFFSET($BH$3,0,0,'Données projet'!$E$11+1,1))-AVERAGE(OFFSET($H$3,0,0,'Données projet'!$E$11+1,1))</f>
        <v>113.38017445149029</v>
      </c>
      <c r="BJ79" s="62">
        <f t="shared" si="92"/>
        <v>108.36144594421921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293.33333333333519</v>
      </c>
      <c r="S80" s="62">
        <f ca="1">AVERAGE(OFFSET($R$3,0,0,'Données projet'!$E$9+1,1))-AVERAGE(OFFSET($H$3,0,0,'Données projet'!$E$9+1,1))</f>
        <v>313.92223852157559</v>
      </c>
      <c r="T80" s="62">
        <f t="shared" si="88"/>
        <v>394.03759949558702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2.8344520903140773</v>
      </c>
      <c r="AB80" s="23">
        <f>EXP(-LN(2)/2)*AB79+(1-EXP(-LN(2)/2))/(LN(2)/2)*V80*Y80*VLOOKUP('Données projet'!$B$9,Paramètres!$A$1:$I$89,3,0)*0.475*44/12</f>
        <v>2.7822072360456293E-7</v>
      </c>
      <c r="AC80" s="24">
        <f t="shared" si="57"/>
        <v>2.8344523685348011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-3.2514435588382188E-14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148.40707092284572</v>
      </c>
      <c r="AO80" s="62">
        <f t="shared" si="90"/>
        <v>162.45539016632631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1.3860484389982743</v>
      </c>
      <c r="AW80" s="23">
        <f>EXP(-LN(2)/2)*AW79+(1-EXP(-LN(2)/2))/(LN(2)/2)*AQ80*AT80*VLOOKUP('Données projet'!$B$10,Paramètres!$A$1:$I$89,3,0)*0.475*44/12</f>
        <v>8.1887559679049921E-7</v>
      </c>
      <c r="AX80" s="23">
        <f t="shared" si="60"/>
        <v>1.3860492578738712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2.8080648917239162E-14</v>
      </c>
      <c r="BF80" s="14">
        <f t="shared" si="91"/>
        <v>4.8906278147460642E-13</v>
      </c>
      <c r="BG80" s="22">
        <f t="shared" si="61"/>
        <v>9.0069147459913104E-13</v>
      </c>
      <c r="BH80" s="62">
        <f t="shared" si="62"/>
        <v>293.33333333333422</v>
      </c>
      <c r="BI80" s="62">
        <f ca="1">AVERAGE(OFFSET($BH$3,0,0,'Données projet'!$E$11+1,1))-AVERAGE(OFFSET($H$3,0,0,'Données projet'!$E$11+1,1))</f>
        <v>113.38017445149029</v>
      </c>
      <c r="BJ80" s="62">
        <f t="shared" si="92"/>
        <v>108.36144594421921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293.33333333333519</v>
      </c>
      <c r="S81" s="62">
        <f ca="1">AVERAGE(OFFSET($R$3,0,0,'Données projet'!$E$9+1,1))-AVERAGE(OFFSET($H$3,0,0,'Données projet'!$E$9+1,1))</f>
        <v>313.92223852157559</v>
      </c>
      <c r="T81" s="62">
        <f t="shared" si="88"/>
        <v>394.03759949558702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2.7569438488470817</v>
      </c>
      <c r="AB81" s="23">
        <f>EXP(-LN(2)/2)*AB80+(1-EXP(-LN(2)/2))/(LN(2)/2)*V81*Y81*VLOOKUP('Données projet'!$B$9,Paramètres!$A$1:$I$89,3,0)*0.475*44/12</f>
        <v>1.967317603274146E-7</v>
      </c>
      <c r="AC81" s="24">
        <f t="shared" si="57"/>
        <v>2.7569440455788419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-3.2514435588382188E-14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148.40707092284572</v>
      </c>
      <c r="AO81" s="62">
        <f t="shared" si="90"/>
        <v>162.45539016632631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1.3481468715447469</v>
      </c>
      <c r="AW81" s="23">
        <f>EXP(-LN(2)/2)*AW80+(1-EXP(-LN(2)/2))/(LN(2)/2)*AQ81*AT81*VLOOKUP('Données projet'!$B$10,Paramètres!$A$1:$I$89,3,0)*0.475*44/12</f>
        <v>5.7903248743874304E-7</v>
      </c>
      <c r="AX81" s="23">
        <f t="shared" si="60"/>
        <v>1.3481474505772344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2.8080648917239162E-14</v>
      </c>
      <c r="BF81" s="14">
        <f t="shared" si="91"/>
        <v>4.8906278147460642E-13</v>
      </c>
      <c r="BG81" s="22">
        <f t="shared" si="61"/>
        <v>9.0069147459913104E-13</v>
      </c>
      <c r="BH81" s="62">
        <f t="shared" si="62"/>
        <v>293.33333333333422</v>
      </c>
      <c r="BI81" s="62">
        <f ca="1">AVERAGE(OFFSET($BH$3,0,0,'Données projet'!$E$11+1,1))-AVERAGE(OFFSET($H$3,0,0,'Données projet'!$E$11+1,1))</f>
        <v>113.38017445149029</v>
      </c>
      <c r="BJ81" s="62">
        <f t="shared" si="92"/>
        <v>108.36144594421921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293.33333333333519</v>
      </c>
      <c r="S82" s="62">
        <f ca="1">AVERAGE(OFFSET($R$3,0,0,'Données projet'!$E$9+1,1))-AVERAGE(OFFSET($H$3,0,0,'Données projet'!$E$9+1,1))</f>
        <v>313.92223852157559</v>
      </c>
      <c r="T82" s="62">
        <f t="shared" si="88"/>
        <v>394.03759949558702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2.6815550743189824</v>
      </c>
      <c r="AB82" s="23">
        <f>EXP(-LN(2)/2)*AB81+(1-EXP(-LN(2)/2))/(LN(2)/2)*V82*Y82*VLOOKUP('Données projet'!$B$9,Paramètres!$A$1:$I$89,3,0)*0.475*44/12</f>
        <v>1.3911036180228146E-7</v>
      </c>
      <c r="AC82" s="24">
        <f t="shared" si="57"/>
        <v>2.6815552134293443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-3.2514435588382188E-14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148.40707092284572</v>
      </c>
      <c r="AO82" s="62">
        <f t="shared" si="90"/>
        <v>162.45539016632631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1.311281724446393</v>
      </c>
      <c r="AW82" s="23">
        <f>EXP(-LN(2)/2)*AW81+(1-EXP(-LN(2)/2))/(LN(2)/2)*AQ82*AT82*VLOOKUP('Données projet'!$B$10,Paramètres!$A$1:$I$89,3,0)*0.475*44/12</f>
        <v>4.0943779839524961E-7</v>
      </c>
      <c r="AX82" s="23">
        <f t="shared" si="60"/>
        <v>1.3112821338841913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2.8080648917239162E-14</v>
      </c>
      <c r="BF82" s="14">
        <f t="shared" si="91"/>
        <v>4.8906278147460642E-13</v>
      </c>
      <c r="BG82" s="22">
        <f t="shared" si="61"/>
        <v>9.0069147459913104E-13</v>
      </c>
      <c r="BH82" s="62">
        <f t="shared" si="62"/>
        <v>293.33333333333422</v>
      </c>
      <c r="BI82" s="62">
        <f ca="1">AVERAGE(OFFSET($BH$3,0,0,'Données projet'!$E$11+1,1))-AVERAGE(OFFSET($H$3,0,0,'Données projet'!$E$11+1,1))</f>
        <v>113.38017445149029</v>
      </c>
      <c r="BJ82" s="62">
        <f t="shared" si="92"/>
        <v>108.36144594421921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293.33333333333519</v>
      </c>
      <c r="S83" s="62">
        <f ca="1">AVERAGE(OFFSET($R$3,0,0,'Données projet'!$E$9+1,1))-AVERAGE(OFFSET($H$3,0,0,'Données projet'!$E$9+1,1))</f>
        <v>313.92223852157559</v>
      </c>
      <c r="T83" s="62">
        <f t="shared" si="88"/>
        <v>394.03759949558702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2.6082278097948772</v>
      </c>
      <c r="AB83" s="23">
        <f>EXP(-LN(2)/2)*AB82+(1-EXP(-LN(2)/2))/(LN(2)/2)*V83*Y83*VLOOKUP('Données projet'!$B$9,Paramètres!$A$1:$I$89,3,0)*0.475*44/12</f>
        <v>9.8365880163707299E-8</v>
      </c>
      <c r="AC83" s="24">
        <f t="shared" si="57"/>
        <v>2.6082279081607576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-3.2514435588382188E-14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148.40707092284572</v>
      </c>
      <c r="AO83" s="62">
        <f t="shared" si="90"/>
        <v>162.45539016632631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1.2754246567340974</v>
      </c>
      <c r="AW83" s="23">
        <f>EXP(-LN(2)/2)*AW82+(1-EXP(-LN(2)/2))/(LN(2)/2)*AQ83*AT83*VLOOKUP('Données projet'!$B$10,Paramètres!$A$1:$I$89,3,0)*0.475*44/12</f>
        <v>2.8951624371937152E-7</v>
      </c>
      <c r="AX83" s="23">
        <f t="shared" si="60"/>
        <v>1.2754249462503411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2.8080648917239162E-14</v>
      </c>
      <c r="BF83" s="14">
        <f t="shared" si="91"/>
        <v>4.8906278147460642E-13</v>
      </c>
      <c r="BG83" s="22">
        <f t="shared" si="61"/>
        <v>9.0069147459913104E-13</v>
      </c>
      <c r="BH83" s="62">
        <f t="shared" si="62"/>
        <v>293.33333333333422</v>
      </c>
      <c r="BI83" s="62">
        <f ca="1">AVERAGE(OFFSET($BH$3,0,0,'Données projet'!$E$11+1,1))-AVERAGE(OFFSET($H$3,0,0,'Données projet'!$E$11+1,1))</f>
        <v>113.38017445149029</v>
      </c>
      <c r="BJ83" s="62">
        <f t="shared" si="92"/>
        <v>108.36144594421921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293.33333333333519</v>
      </c>
      <c r="S84" s="62">
        <f ca="1">AVERAGE(OFFSET($R$3,0,0,'Données projet'!$E$9+1,1))-AVERAGE(OFFSET($H$3,0,0,'Données projet'!$E$9+1,1))</f>
        <v>313.92223852157559</v>
      </c>
      <c r="T84" s="62">
        <f t="shared" si="88"/>
        <v>394.03759949558702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2.5369056831752972</v>
      </c>
      <c r="AB84" s="23">
        <f>EXP(-LN(2)/2)*AB83+(1-EXP(-LN(2)/2))/(LN(2)/2)*V84*Y84*VLOOKUP('Données projet'!$B$9,Paramètres!$A$1:$I$89,3,0)*0.475*44/12</f>
        <v>6.9555180901140731E-8</v>
      </c>
      <c r="AC84" s="24">
        <f t="shared" si="57"/>
        <v>2.5369057527304779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-3.2514435588382188E-14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148.40707092284572</v>
      </c>
      <c r="AO84" s="62">
        <f t="shared" si="90"/>
        <v>162.45539016632631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1.2405481024240359</v>
      </c>
      <c r="AW84" s="23">
        <f>EXP(-LN(2)/2)*AW83+(1-EXP(-LN(2)/2))/(LN(2)/2)*AQ84*AT84*VLOOKUP('Données projet'!$B$10,Paramètres!$A$1:$I$89,3,0)*0.475*44/12</f>
        <v>2.047188991976248E-7</v>
      </c>
      <c r="AX84" s="23">
        <f t="shared" si="60"/>
        <v>1.2405483071429351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2.8080648917239162E-14</v>
      </c>
      <c r="BF84" s="14">
        <f t="shared" si="91"/>
        <v>4.8906278147460642E-13</v>
      </c>
      <c r="BG84" s="22">
        <f t="shared" si="61"/>
        <v>9.0069147459913104E-13</v>
      </c>
      <c r="BH84" s="62">
        <f t="shared" si="62"/>
        <v>293.33333333333422</v>
      </c>
      <c r="BI84" s="62">
        <f ca="1">AVERAGE(OFFSET($BH$3,0,0,'Données projet'!$E$11+1,1))-AVERAGE(OFFSET($H$3,0,0,'Données projet'!$E$11+1,1))</f>
        <v>113.38017445149029</v>
      </c>
      <c r="BJ84" s="62">
        <f t="shared" si="92"/>
        <v>108.36144594421921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293.33333333333519</v>
      </c>
      <c r="S85" s="62">
        <f ca="1">AVERAGE(OFFSET($R$3,0,0,'Données projet'!$E$9+1,1))-AVERAGE(OFFSET($H$3,0,0,'Données projet'!$E$9+1,1))</f>
        <v>313.92223852157559</v>
      </c>
      <c r="T85" s="62">
        <f t="shared" si="88"/>
        <v>394.03759949558702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2.4675338638587969</v>
      </c>
      <c r="AB85" s="23">
        <f>EXP(-LN(2)/2)*AB84+(1-EXP(-LN(2)/2))/(LN(2)/2)*V85*Y85*VLOOKUP('Données projet'!$B$9,Paramètres!$A$1:$I$89,3,0)*0.475*44/12</f>
        <v>4.9182940081853649E-8</v>
      </c>
      <c r="AC85" s="24">
        <f t="shared" si="57"/>
        <v>2.4675339130417369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-3.2514435588382188E-14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148.40707092284572</v>
      </c>
      <c r="AO85" s="62">
        <f t="shared" si="90"/>
        <v>162.45539016632631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1.2066252493256613</v>
      </c>
      <c r="AW85" s="23">
        <f>EXP(-LN(2)/2)*AW84+(1-EXP(-LN(2)/2))/(LN(2)/2)*AQ85*AT85*VLOOKUP('Données projet'!$B$10,Paramètres!$A$1:$I$89,3,0)*0.475*44/12</f>
        <v>1.4475812185968576E-7</v>
      </c>
      <c r="AX85" s="23">
        <f t="shared" si="60"/>
        <v>1.2066253940837832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2.8080648917239162E-14</v>
      </c>
      <c r="BF85" s="14">
        <f t="shared" si="91"/>
        <v>4.8906278147460642E-13</v>
      </c>
      <c r="BG85" s="22">
        <f t="shared" si="61"/>
        <v>9.0069147459913104E-13</v>
      </c>
      <c r="BH85" s="62">
        <f t="shared" si="62"/>
        <v>293.33333333333422</v>
      </c>
      <c r="BI85" s="62">
        <f ca="1">AVERAGE(OFFSET($BH$3,0,0,'Données projet'!$E$11+1,1))-AVERAGE(OFFSET($H$3,0,0,'Données projet'!$E$11+1,1))</f>
        <v>113.38017445149029</v>
      </c>
      <c r="BJ85" s="62">
        <f t="shared" si="92"/>
        <v>108.36144594421921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293.33333333333519</v>
      </c>
      <c r="S86" s="62">
        <f ca="1">AVERAGE(OFFSET($R$3,0,0,'Données projet'!$E$9+1,1))-AVERAGE(OFFSET($H$3,0,0,'Données projet'!$E$9+1,1))</f>
        <v>313.92223852157559</v>
      </c>
      <c r="T86" s="62">
        <f t="shared" si="88"/>
        <v>394.03759949558702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2.400059020589612</v>
      </c>
      <c r="AB86" s="23">
        <f>EXP(-LN(2)/2)*AB85+(1-EXP(-LN(2)/2))/(LN(2)/2)*V86*Y86*VLOOKUP('Données projet'!$B$9,Paramètres!$A$1:$I$89,3,0)*0.475*44/12</f>
        <v>3.4777590450570366E-8</v>
      </c>
      <c r="AC86" s="24">
        <f t="shared" si="57"/>
        <v>2.4000590553672025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-3.2514435588382188E-14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148.40707092284572</v>
      </c>
      <c r="AO86" s="62">
        <f t="shared" si="90"/>
        <v>162.45539016632631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1.173630018429187</v>
      </c>
      <c r="AW86" s="23">
        <f>EXP(-LN(2)/2)*AW85+(1-EXP(-LN(2)/2))/(LN(2)/2)*AQ86*AT86*VLOOKUP('Données projet'!$B$10,Paramètres!$A$1:$I$89,3,0)*0.475*44/12</f>
        <v>1.023594495988124E-7</v>
      </c>
      <c r="AX86" s="23">
        <f t="shared" si="60"/>
        <v>1.1736301207886366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2.8080648917239162E-14</v>
      </c>
      <c r="BF86" s="14">
        <f t="shared" si="91"/>
        <v>4.8906278147460642E-13</v>
      </c>
      <c r="BG86" s="22">
        <f t="shared" si="61"/>
        <v>9.0069147459913104E-13</v>
      </c>
      <c r="BH86" s="62">
        <f t="shared" si="62"/>
        <v>293.33333333333422</v>
      </c>
      <c r="BI86" s="62">
        <f ca="1">AVERAGE(OFFSET($BH$3,0,0,'Données projet'!$E$11+1,1))-AVERAGE(OFFSET($H$3,0,0,'Données projet'!$E$11+1,1))</f>
        <v>113.38017445149029</v>
      </c>
      <c r="BJ86" s="62">
        <f t="shared" si="92"/>
        <v>108.36144594421921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293.33333333333519</v>
      </c>
      <c r="S87" s="62">
        <f ca="1">AVERAGE(OFFSET($R$3,0,0,'Données projet'!$E$9+1,1))-AVERAGE(OFFSET($H$3,0,0,'Données projet'!$E$9+1,1))</f>
        <v>313.92223852157559</v>
      </c>
      <c r="T87" s="62">
        <f t="shared" si="88"/>
        <v>394.03759949558702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2.3344292804579707</v>
      </c>
      <c r="AB87" s="23">
        <f>EXP(-LN(2)/2)*AB86+(1-EXP(-LN(2)/2))/(LN(2)/2)*V87*Y87*VLOOKUP('Données projet'!$B$9,Paramètres!$A$1:$I$89,3,0)*0.475*44/12</f>
        <v>2.4591470040926825E-8</v>
      </c>
      <c r="AC87" s="24">
        <f t="shared" si="57"/>
        <v>2.3344293050494409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-3.2514435588382188E-14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148.40707092284572</v>
      </c>
      <c r="AO87" s="62">
        <f t="shared" si="90"/>
        <v>162.45539016632631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1.1415370438567205</v>
      </c>
      <c r="AW87" s="23">
        <f>EXP(-LN(2)/2)*AW86+(1-EXP(-LN(2)/2))/(LN(2)/2)*AQ87*AT87*VLOOKUP('Données projet'!$B$10,Paramètres!$A$1:$I$89,3,0)*0.475*44/12</f>
        <v>7.237906092984288E-8</v>
      </c>
      <c r="AX87" s="23">
        <f t="shared" si="60"/>
        <v>1.1415371162357815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2.8080648917239162E-14</v>
      </c>
      <c r="BF87" s="14">
        <f t="shared" si="91"/>
        <v>4.8906278147460642E-13</v>
      </c>
      <c r="BG87" s="22">
        <f t="shared" si="61"/>
        <v>9.0069147459913104E-13</v>
      </c>
      <c r="BH87" s="62">
        <f t="shared" si="62"/>
        <v>293.33333333333422</v>
      </c>
      <c r="BI87" s="62">
        <f ca="1">AVERAGE(OFFSET($BH$3,0,0,'Données projet'!$E$11+1,1))-AVERAGE(OFFSET($H$3,0,0,'Données projet'!$E$11+1,1))</f>
        <v>113.38017445149029</v>
      </c>
      <c r="BJ87" s="62">
        <f t="shared" si="92"/>
        <v>108.36144594421921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293.33333333333519</v>
      </c>
      <c r="S88" s="62">
        <f ca="1">AVERAGE(OFFSET($R$3,0,0,'Données projet'!$E$9+1,1))-AVERAGE(OFFSET($H$3,0,0,'Données projet'!$E$9+1,1))</f>
        <v>313.92223852157559</v>
      </c>
      <c r="T88" s="62">
        <f t="shared" si="88"/>
        <v>394.03759949558702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2.2705941890215469</v>
      </c>
      <c r="AB88" s="23">
        <f>EXP(-LN(2)/2)*AB87+(1-EXP(-LN(2)/2))/(LN(2)/2)*V88*Y88*VLOOKUP('Données projet'!$B$9,Paramètres!$A$1:$I$89,3,0)*0.475*44/12</f>
        <v>1.7388795225285183E-8</v>
      </c>
      <c r="AC88" s="24">
        <f t="shared" si="57"/>
        <v>2.2705942064103422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-3.2514435588382188E-14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148.40707092284572</v>
      </c>
      <c r="AO88" s="62">
        <f t="shared" si="90"/>
        <v>162.45539016632631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1.1103216533616345</v>
      </c>
      <c r="AW88" s="23">
        <f>EXP(-LN(2)/2)*AW87+(1-EXP(-LN(2)/2))/(LN(2)/2)*AQ88*AT88*VLOOKUP('Données projet'!$B$10,Paramètres!$A$1:$I$89,3,0)*0.475*44/12</f>
        <v>5.1179724799406201E-8</v>
      </c>
      <c r="AX88" s="23">
        <f t="shared" si="60"/>
        <v>1.1103217045413594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2.8080648917239162E-14</v>
      </c>
      <c r="BF88" s="14">
        <f t="shared" si="91"/>
        <v>4.8906278147460642E-13</v>
      </c>
      <c r="BG88" s="22">
        <f t="shared" si="61"/>
        <v>9.0069147459913104E-13</v>
      </c>
      <c r="BH88" s="62">
        <f t="shared" si="62"/>
        <v>293.33333333333422</v>
      </c>
      <c r="BI88" s="62">
        <f ca="1">AVERAGE(OFFSET($BH$3,0,0,'Données projet'!$E$11+1,1))-AVERAGE(OFFSET($H$3,0,0,'Données projet'!$E$11+1,1))</f>
        <v>113.38017445149029</v>
      </c>
      <c r="BJ88" s="62">
        <f t="shared" si="92"/>
        <v>108.36144594421921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293.33333333333519</v>
      </c>
      <c r="S89" s="62">
        <f ca="1">AVERAGE(OFFSET($R$3,0,0,'Données projet'!$E$9+1,1))-AVERAGE(OFFSET($H$3,0,0,'Données projet'!$E$9+1,1))</f>
        <v>313.92223852157559</v>
      </c>
      <c r="T89" s="62">
        <f t="shared" si="88"/>
        <v>394.03759949558702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2.2085046715173937</v>
      </c>
      <c r="AB89" s="23">
        <f>EXP(-LN(2)/2)*AB88+(1-EXP(-LN(2)/2))/(LN(2)/2)*V89*Y89*VLOOKUP('Données projet'!$B$9,Paramètres!$A$1:$I$89,3,0)*0.475*44/12</f>
        <v>1.2295735020463412E-8</v>
      </c>
      <c r="AC89" s="24">
        <f t="shared" si="57"/>
        <v>2.2085046838131288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-3.2514435588382188E-14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148.40707092284572</v>
      </c>
      <c r="AO89" s="62">
        <f t="shared" si="90"/>
        <v>162.45539016632631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1.0799598493611824</v>
      </c>
      <c r="AW89" s="23">
        <f>EXP(-LN(2)/2)*AW88+(1-EXP(-LN(2)/2))/(LN(2)/2)*AQ89*AT89*VLOOKUP('Données projet'!$B$10,Paramètres!$A$1:$I$89,3,0)*0.475*44/12</f>
        <v>3.618953046492144E-8</v>
      </c>
      <c r="AX89" s="23">
        <f t="shared" si="60"/>
        <v>1.0799598855507129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2.8080648917239162E-14</v>
      </c>
      <c r="BF89" s="14">
        <f t="shared" si="91"/>
        <v>4.8906278147460642E-13</v>
      </c>
      <c r="BG89" s="22">
        <f t="shared" si="61"/>
        <v>9.0069147459913104E-13</v>
      </c>
      <c r="BH89" s="62">
        <f t="shared" si="62"/>
        <v>293.33333333333422</v>
      </c>
      <c r="BI89" s="62">
        <f ca="1">AVERAGE(OFFSET($BH$3,0,0,'Données projet'!$E$11+1,1))-AVERAGE(OFFSET($H$3,0,0,'Données projet'!$E$11+1,1))</f>
        <v>113.38017445149029</v>
      </c>
      <c r="BJ89" s="62">
        <f t="shared" si="92"/>
        <v>108.36144594421921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293.33333333333519</v>
      </c>
      <c r="S90" s="62">
        <f ca="1">AVERAGE(OFFSET($R$3,0,0,'Données projet'!$E$9+1,1))-AVERAGE(OFFSET($H$3,0,0,'Données projet'!$E$9+1,1))</f>
        <v>313.92223852157559</v>
      </c>
      <c r="T90" s="62">
        <f t="shared" si="88"/>
        <v>394.03759949558702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2.1481129951345377</v>
      </c>
      <c r="AB90" s="23">
        <f>EXP(-LN(2)/2)*AB89+(1-EXP(-LN(2)/2))/(LN(2)/2)*V90*Y90*VLOOKUP('Données projet'!$B$9,Paramètres!$A$1:$I$89,3,0)*0.475*44/12</f>
        <v>8.6943976126425914E-9</v>
      </c>
      <c r="AC90" s="24">
        <f t="shared" si="57"/>
        <v>2.1481130038289353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-3.2514435588382188E-14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148.40707092284572</v>
      </c>
      <c r="AO90" s="62">
        <f t="shared" si="90"/>
        <v>162.45539016632631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1.0504282904877806</v>
      </c>
      <c r="AW90" s="23">
        <f>EXP(-LN(2)/2)*AW89+(1-EXP(-LN(2)/2))/(LN(2)/2)*AQ90*AT90*VLOOKUP('Données projet'!$B$10,Paramètres!$A$1:$I$89,3,0)*0.475*44/12</f>
        <v>2.55898623997031E-8</v>
      </c>
      <c r="AX90" s="23">
        <f t="shared" si="60"/>
        <v>1.0504283160776431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2.8080648917239162E-14</v>
      </c>
      <c r="BF90" s="14">
        <f t="shared" si="91"/>
        <v>4.8906278147460642E-13</v>
      </c>
      <c r="BG90" s="22">
        <f t="shared" si="61"/>
        <v>9.0069147459913104E-13</v>
      </c>
      <c r="BH90" s="62">
        <f t="shared" si="62"/>
        <v>293.33333333333422</v>
      </c>
      <c r="BI90" s="62">
        <f ca="1">AVERAGE(OFFSET($BH$3,0,0,'Données projet'!$E$11+1,1))-AVERAGE(OFFSET($H$3,0,0,'Données projet'!$E$11+1,1))</f>
        <v>113.38017445149029</v>
      </c>
      <c r="BJ90" s="62">
        <f t="shared" si="92"/>
        <v>108.36144594421921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293.33333333333519</v>
      </c>
      <c r="S91" s="62">
        <f ca="1">AVERAGE(OFFSET($R$3,0,0,'Données projet'!$E$9+1,1))-AVERAGE(OFFSET($H$3,0,0,'Données projet'!$E$9+1,1))</f>
        <v>313.92223852157559</v>
      </c>
      <c r="T91" s="62">
        <f t="shared" si="88"/>
        <v>394.03759949558702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2.089372732318231</v>
      </c>
      <c r="AB91" s="23">
        <f>EXP(-LN(2)/2)*AB90+(1-EXP(-LN(2)/2))/(LN(2)/2)*V91*Y91*VLOOKUP('Données projet'!$B$9,Paramètres!$A$1:$I$89,3,0)*0.475*44/12</f>
        <v>6.1478675102317062E-9</v>
      </c>
      <c r="AC91" s="24">
        <f t="shared" si="57"/>
        <v>2.0893727384660985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-3.2514435588382188E-14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148.40707092284572</v>
      </c>
      <c r="AO91" s="62">
        <f t="shared" si="90"/>
        <v>162.45539016632631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1.0217042736447692</v>
      </c>
      <c r="AW91" s="23">
        <f>EXP(-LN(2)/2)*AW90+(1-EXP(-LN(2)/2))/(LN(2)/2)*AQ91*AT91*VLOOKUP('Données projet'!$B$10,Paramètres!$A$1:$I$89,3,0)*0.475*44/12</f>
        <v>1.809476523246072E-8</v>
      </c>
      <c r="AX91" s="23">
        <f t="shared" si="60"/>
        <v>1.0217042917395345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2.8080648917239162E-14</v>
      </c>
      <c r="BF91" s="14">
        <f t="shared" si="91"/>
        <v>4.8906278147460642E-13</v>
      </c>
      <c r="BG91" s="22">
        <f t="shared" si="61"/>
        <v>9.0069147459913104E-13</v>
      </c>
      <c r="BH91" s="62">
        <f t="shared" si="62"/>
        <v>293.33333333333422</v>
      </c>
      <c r="BI91" s="62">
        <f ca="1">AVERAGE(OFFSET($BH$3,0,0,'Données projet'!$E$11+1,1))-AVERAGE(OFFSET($H$3,0,0,'Données projet'!$E$11+1,1))</f>
        <v>113.38017445149029</v>
      </c>
      <c r="BJ91" s="62">
        <f t="shared" si="92"/>
        <v>108.36144594421921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293.33333333333519</v>
      </c>
      <c r="S92" s="62">
        <f ca="1">AVERAGE(OFFSET($R$3,0,0,'Données projet'!$E$9+1,1))-AVERAGE(OFFSET($H$3,0,0,'Données projet'!$E$9+1,1))</f>
        <v>313.92223852157559</v>
      </c>
      <c r="T92" s="62">
        <f t="shared" si="88"/>
        <v>394.03759949558702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2.0322387250776521</v>
      </c>
      <c r="AB92" s="23">
        <f>EXP(-LN(2)/2)*AB91+(1-EXP(-LN(2)/2))/(LN(2)/2)*V92*Y92*VLOOKUP('Données projet'!$B$9,Paramètres!$A$1:$I$89,3,0)*0.475*44/12</f>
        <v>4.3471988063212957E-9</v>
      </c>
      <c r="AC92" s="24">
        <f t="shared" si="57"/>
        <v>2.0322387294248507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-3.2514435588382188E-14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148.40707092284572</v>
      </c>
      <c r="AO92" s="62">
        <f t="shared" si="90"/>
        <v>162.45539016632631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0.99376571655286039</v>
      </c>
      <c r="AW92" s="23">
        <f>EXP(-LN(2)/2)*AW91+(1-EXP(-LN(2)/2))/(LN(2)/2)*AQ92*AT92*VLOOKUP('Données projet'!$B$10,Paramètres!$A$1:$I$89,3,0)*0.475*44/12</f>
        <v>1.279493119985155E-8</v>
      </c>
      <c r="AX92" s="23">
        <f t="shared" si="60"/>
        <v>0.99376572934779162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2.8080648917239162E-14</v>
      </c>
      <c r="BF92" s="14">
        <f t="shared" si="91"/>
        <v>4.8906278147460642E-13</v>
      </c>
      <c r="BG92" s="22">
        <f t="shared" si="61"/>
        <v>9.0069147459913104E-13</v>
      </c>
      <c r="BH92" s="62">
        <f t="shared" si="62"/>
        <v>293.33333333333422</v>
      </c>
      <c r="BI92" s="62">
        <f ca="1">AVERAGE(OFFSET($BH$3,0,0,'Données projet'!$E$11+1,1))-AVERAGE(OFFSET($H$3,0,0,'Données projet'!$E$11+1,1))</f>
        <v>113.38017445149029</v>
      </c>
      <c r="BJ92" s="62">
        <f t="shared" si="92"/>
        <v>108.36144594421921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293.33333333333519</v>
      </c>
      <c r="S93" s="62">
        <f ca="1">AVERAGE(OFFSET($R$3,0,0,'Données projet'!$E$9+1,1))-AVERAGE(OFFSET($H$3,0,0,'Données projet'!$E$9+1,1))</f>
        <v>313.92223852157559</v>
      </c>
      <c r="T93" s="62">
        <f t="shared" si="88"/>
        <v>394.03759949558702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1.976667050269614</v>
      </c>
      <c r="AB93" s="23">
        <f>EXP(-LN(2)/2)*AB92+(1-EXP(-LN(2)/2))/(LN(2)/2)*V93*Y93*VLOOKUP('Données projet'!$B$9,Paramètres!$A$1:$I$89,3,0)*0.475*44/12</f>
        <v>3.0739337551158531E-9</v>
      </c>
      <c r="AC93" s="24">
        <f t="shared" si="57"/>
        <v>1.9766670533435478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-3.2514435588382188E-14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148.40707092284572</v>
      </c>
      <c r="AO93" s="62">
        <f t="shared" si="90"/>
        <v>162.45539016632631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0.96659114077385466</v>
      </c>
      <c r="AW93" s="23">
        <f>EXP(-LN(2)/2)*AW92+(1-EXP(-LN(2)/2))/(LN(2)/2)*AQ93*AT93*VLOOKUP('Données projet'!$B$10,Paramètres!$A$1:$I$89,3,0)*0.475*44/12</f>
        <v>9.04738261623036E-9</v>
      </c>
      <c r="AX93" s="23">
        <f t="shared" si="60"/>
        <v>0.96659114982123728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2.8080648917239162E-14</v>
      </c>
      <c r="BF93" s="14">
        <f t="shared" si="91"/>
        <v>4.8906278147460642E-13</v>
      </c>
      <c r="BG93" s="22">
        <f t="shared" si="61"/>
        <v>9.0069147459913104E-13</v>
      </c>
      <c r="BH93" s="62">
        <f t="shared" si="62"/>
        <v>293.33333333333422</v>
      </c>
      <c r="BI93" s="62">
        <f ca="1">AVERAGE(OFFSET($BH$3,0,0,'Données projet'!$E$11+1,1))-AVERAGE(OFFSET($H$3,0,0,'Données projet'!$E$11+1,1))</f>
        <v>113.38017445149029</v>
      </c>
      <c r="BJ93" s="62">
        <f t="shared" si="92"/>
        <v>108.36144594421921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293.33333333333519</v>
      </c>
      <c r="S94" s="62">
        <f ca="1">AVERAGE(OFFSET($R$3,0,0,'Données projet'!$E$9+1,1))-AVERAGE(OFFSET($H$3,0,0,'Données projet'!$E$9+1,1))</f>
        <v>313.92223852157559</v>
      </c>
      <c r="T94" s="62">
        <f t="shared" si="88"/>
        <v>394.03759949558702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1.9226149858315889</v>
      </c>
      <c r="AB94" s="23">
        <f>EXP(-LN(2)/2)*AB93+(1-EXP(-LN(2)/2))/(LN(2)/2)*V94*Y94*VLOOKUP('Données projet'!$B$9,Paramètres!$A$1:$I$89,3,0)*0.475*44/12</f>
        <v>2.1735994031606479E-9</v>
      </c>
      <c r="AC94" s="24">
        <f t="shared" si="57"/>
        <v>1.9226149880051882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-3.2514435588382188E-14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148.40707092284572</v>
      </c>
      <c r="AO94" s="62">
        <f t="shared" si="90"/>
        <v>162.45539016632631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0.9401596551985747</v>
      </c>
      <c r="AW94" s="23">
        <f>EXP(-LN(2)/2)*AW93+(1-EXP(-LN(2)/2))/(LN(2)/2)*AQ94*AT94*VLOOKUP('Données projet'!$B$10,Paramètres!$A$1:$I$89,3,0)*0.475*44/12</f>
        <v>6.3974655999257751E-9</v>
      </c>
      <c r="AX94" s="23">
        <f t="shared" si="60"/>
        <v>0.94015966159604025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2.8080648917239162E-14</v>
      </c>
      <c r="BF94" s="14">
        <f t="shared" si="91"/>
        <v>4.8906278147460642E-13</v>
      </c>
      <c r="BG94" s="22">
        <f t="shared" si="61"/>
        <v>9.0069147459913104E-13</v>
      </c>
      <c r="BH94" s="62">
        <f t="shared" si="62"/>
        <v>293.33333333333422</v>
      </c>
      <c r="BI94" s="62">
        <f ca="1">AVERAGE(OFFSET($BH$3,0,0,'Données projet'!$E$11+1,1))-AVERAGE(OFFSET($H$3,0,0,'Données projet'!$E$11+1,1))</f>
        <v>113.38017445149029</v>
      </c>
      <c r="BJ94" s="62">
        <f t="shared" si="92"/>
        <v>108.36144594421921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293.33333333333519</v>
      </c>
      <c r="S95" s="62">
        <f ca="1">AVERAGE(OFFSET($R$3,0,0,'Données projet'!$E$9+1,1))-AVERAGE(OFFSET($H$3,0,0,'Données projet'!$E$9+1,1))</f>
        <v>313.92223852157559</v>
      </c>
      <c r="T95" s="62">
        <f t="shared" si="88"/>
        <v>394.03759949558702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1.8700409779380962</v>
      </c>
      <c r="AB95" s="23">
        <f>EXP(-LN(2)/2)*AB94+(1-EXP(-LN(2)/2))/(LN(2)/2)*V95*Y95*VLOOKUP('Données projet'!$B$9,Paramètres!$A$1:$I$89,3,0)*0.475*44/12</f>
        <v>1.5369668775579265E-9</v>
      </c>
      <c r="AC95" s="24">
        <f t="shared" si="57"/>
        <v>1.870040979475063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-3.2514435588382188E-14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148.40707092284572</v>
      </c>
      <c r="AO95" s="62">
        <f t="shared" si="90"/>
        <v>162.45539016632631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0.91445093998632221</v>
      </c>
      <c r="AW95" s="23">
        <f>EXP(-LN(2)/2)*AW94+(1-EXP(-LN(2)/2))/(LN(2)/2)*AQ95*AT95*VLOOKUP('Données projet'!$B$10,Paramètres!$A$1:$I$89,3,0)*0.475*44/12</f>
        <v>4.52369130811518E-9</v>
      </c>
      <c r="AX95" s="23">
        <f t="shared" si="60"/>
        <v>0.91445094451001352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2.8080648917239162E-14</v>
      </c>
      <c r="BF95" s="14">
        <f t="shared" si="91"/>
        <v>4.8906278147460642E-13</v>
      </c>
      <c r="BG95" s="22">
        <f t="shared" si="61"/>
        <v>9.0069147459913104E-13</v>
      </c>
      <c r="BH95" s="62">
        <f t="shared" si="62"/>
        <v>293.33333333333422</v>
      </c>
      <c r="BI95" s="62">
        <f ca="1">AVERAGE(OFFSET($BH$3,0,0,'Données projet'!$E$11+1,1))-AVERAGE(OFFSET($H$3,0,0,'Données projet'!$E$11+1,1))</f>
        <v>113.38017445149029</v>
      </c>
      <c r="BJ95" s="62">
        <f t="shared" si="92"/>
        <v>108.36144594421921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293.33333333333519</v>
      </c>
      <c r="S96" s="62">
        <f ca="1">AVERAGE(OFFSET($R$3,0,0,'Données projet'!$E$9+1,1))-AVERAGE(OFFSET($H$3,0,0,'Données projet'!$E$9+1,1))</f>
        <v>313.92223852157559</v>
      </c>
      <c r="T96" s="62">
        <f t="shared" si="88"/>
        <v>394.03759949558702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1.8189046090551979</v>
      </c>
      <c r="AB96" s="23">
        <f>EXP(-LN(2)/2)*AB95+(1-EXP(-LN(2)/2))/(LN(2)/2)*V96*Y96*VLOOKUP('Données projet'!$B$9,Paramètres!$A$1:$I$89,3,0)*0.475*44/12</f>
        <v>1.0867997015803239E-9</v>
      </c>
      <c r="AC96" s="24">
        <f t="shared" si="57"/>
        <v>1.8189046101419977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-3.2514435588382188E-14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148.40707092284572</v>
      </c>
      <c r="AO96" s="62">
        <f t="shared" si="90"/>
        <v>162.45539016632631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0.88944523094351124</v>
      </c>
      <c r="AW96" s="23">
        <f>EXP(-LN(2)/2)*AW95+(1-EXP(-LN(2)/2))/(LN(2)/2)*AQ96*AT96*VLOOKUP('Données projet'!$B$10,Paramètres!$A$1:$I$89,3,0)*0.475*44/12</f>
        <v>3.1987327999628875E-9</v>
      </c>
      <c r="AX96" s="23">
        <f t="shared" si="60"/>
        <v>0.88944523414224408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2.8080648917239162E-14</v>
      </c>
      <c r="BF96" s="14">
        <f t="shared" si="91"/>
        <v>4.8906278147460642E-13</v>
      </c>
      <c r="BG96" s="22">
        <f t="shared" si="61"/>
        <v>9.0069147459913104E-13</v>
      </c>
      <c r="BH96" s="62">
        <f t="shared" si="62"/>
        <v>293.33333333333422</v>
      </c>
      <c r="BI96" s="62">
        <f ca="1">AVERAGE(OFFSET($BH$3,0,0,'Données projet'!$E$11+1,1))-AVERAGE(OFFSET($H$3,0,0,'Données projet'!$E$11+1,1))</f>
        <v>113.38017445149029</v>
      </c>
      <c r="BJ96" s="62">
        <f t="shared" si="92"/>
        <v>108.36144594421921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293.33333333333519</v>
      </c>
      <c r="S97" s="62">
        <f ca="1">AVERAGE(OFFSET($R$3,0,0,'Données projet'!$E$9+1,1))-AVERAGE(OFFSET($H$3,0,0,'Données projet'!$E$9+1,1))</f>
        <v>313.92223852157559</v>
      </c>
      <c r="T97" s="62">
        <f t="shared" si="88"/>
        <v>394.03759949558702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1.7691665668685472</v>
      </c>
      <c r="AB97" s="23">
        <f>EXP(-LN(2)/2)*AB96+(1-EXP(-LN(2)/2))/(LN(2)/2)*V97*Y97*VLOOKUP('Données projet'!$B$9,Paramètres!$A$1:$I$89,3,0)*0.475*44/12</f>
        <v>7.6848343877896327E-10</v>
      </c>
      <c r="AC97" s="24">
        <f t="shared" si="57"/>
        <v>1.7691665676370307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-3.2514435588382188E-14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148.40707092284572</v>
      </c>
      <c r="AO97" s="62">
        <f t="shared" si="90"/>
        <v>162.45539016632631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0.86512330432946905</v>
      </c>
      <c r="AW97" s="23">
        <f>EXP(-LN(2)/2)*AW96+(1-EXP(-LN(2)/2))/(LN(2)/2)*AQ97*AT97*VLOOKUP('Données projet'!$B$10,Paramètres!$A$1:$I$89,3,0)*0.475*44/12</f>
        <v>2.26184565405759E-9</v>
      </c>
      <c r="AX97" s="23">
        <f t="shared" si="60"/>
        <v>0.86512330659131464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2.8080648917239162E-14</v>
      </c>
      <c r="BF97" s="14">
        <f t="shared" si="91"/>
        <v>4.8906278147460642E-13</v>
      </c>
      <c r="BG97" s="22">
        <f t="shared" si="61"/>
        <v>9.0069147459913104E-13</v>
      </c>
      <c r="BH97" s="62">
        <f t="shared" si="62"/>
        <v>293.33333333333422</v>
      </c>
      <c r="BI97" s="62">
        <f ca="1">AVERAGE(OFFSET($BH$3,0,0,'Données projet'!$E$11+1,1))-AVERAGE(OFFSET($H$3,0,0,'Données projet'!$E$11+1,1))</f>
        <v>113.38017445149029</v>
      </c>
      <c r="BJ97" s="62">
        <f t="shared" si="92"/>
        <v>108.36144594421921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293.33333333333519</v>
      </c>
      <c r="S98" s="62">
        <f ca="1">AVERAGE(OFFSET($R$3,0,0,'Données projet'!$E$9+1,1))-AVERAGE(OFFSET($H$3,0,0,'Données projet'!$E$9+1,1))</f>
        <v>313.92223852157559</v>
      </c>
      <c r="T98" s="62">
        <f t="shared" si="88"/>
        <v>394.03759949558702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1.7207886140611006</v>
      </c>
      <c r="AB98" s="23">
        <f>EXP(-LN(2)/2)*AB97+(1-EXP(-LN(2)/2))/(LN(2)/2)*V98*Y98*VLOOKUP('Données projet'!$B$9,Paramètres!$A$1:$I$89,3,0)*0.475*44/12</f>
        <v>5.4339985079016196E-10</v>
      </c>
      <c r="AC98" s="24">
        <f t="shared" si="57"/>
        <v>1.7207886146045004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-3.2514435588382188E-14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148.40707092284572</v>
      </c>
      <c r="AO98" s="62">
        <f t="shared" si="90"/>
        <v>162.45539016632631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0.84146646207772235</v>
      </c>
      <c r="AW98" s="23">
        <f>EXP(-LN(2)/2)*AW97+(1-EXP(-LN(2)/2))/(LN(2)/2)*AQ98*AT98*VLOOKUP('Données projet'!$B$10,Paramètres!$A$1:$I$89,3,0)*0.475*44/12</f>
        <v>1.5993663999814438E-9</v>
      </c>
      <c r="AX98" s="23">
        <f t="shared" si="60"/>
        <v>0.84146646367708877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2.8080648917239162E-14</v>
      </c>
      <c r="BF98" s="14">
        <f t="shared" si="91"/>
        <v>4.8906278147460642E-13</v>
      </c>
      <c r="BG98" s="22">
        <f t="shared" si="61"/>
        <v>9.0069147459913104E-13</v>
      </c>
      <c r="BH98" s="62">
        <f t="shared" si="62"/>
        <v>293.33333333333422</v>
      </c>
      <c r="BI98" s="62">
        <f ca="1">AVERAGE(OFFSET($BH$3,0,0,'Données projet'!$E$11+1,1))-AVERAGE(OFFSET($H$3,0,0,'Données projet'!$E$11+1,1))</f>
        <v>113.38017445149029</v>
      </c>
      <c r="BJ98" s="62">
        <f t="shared" si="92"/>
        <v>108.36144594421921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293.33333333333519</v>
      </c>
      <c r="S99" s="62">
        <f ca="1">AVERAGE(OFFSET($R$3,0,0,'Données projet'!$E$9+1,1))-AVERAGE(OFFSET($H$3,0,0,'Données projet'!$E$9+1,1))</f>
        <v>313.92223852157559</v>
      </c>
      <c r="T99" s="62">
        <f t="shared" si="88"/>
        <v>394.03759949558702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1.6737335589172595</v>
      </c>
      <c r="AB99" s="23">
        <f>EXP(-LN(2)/2)*AB98+(1-EXP(-LN(2)/2))/(LN(2)/2)*V99*Y99*VLOOKUP('Données projet'!$B$9,Paramètres!$A$1:$I$89,3,0)*0.475*44/12</f>
        <v>3.8424171938948164E-10</v>
      </c>
      <c r="AC99" s="24">
        <f t="shared" si="57"/>
        <v>1.6737335593015013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-3.2514435588382188E-14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148.40707092284572</v>
      </c>
      <c r="AO99" s="62">
        <f t="shared" si="90"/>
        <v>162.45539016632631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0.81845651742140901</v>
      </c>
      <c r="AW99" s="23">
        <f>EXP(-LN(2)/2)*AW98+(1-EXP(-LN(2)/2))/(LN(2)/2)*AQ99*AT99*VLOOKUP('Données projet'!$B$10,Paramètres!$A$1:$I$89,3,0)*0.475*44/12</f>
        <v>1.130922827028795E-9</v>
      </c>
      <c r="AX99" s="23">
        <f t="shared" si="60"/>
        <v>0.81845651855233181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2.8080648917239162E-14</v>
      </c>
      <c r="BF99" s="14">
        <f t="shared" si="91"/>
        <v>4.8906278147460642E-13</v>
      </c>
      <c r="BG99" s="22">
        <f t="shared" si="61"/>
        <v>9.0069147459913104E-13</v>
      </c>
      <c r="BH99" s="62">
        <f t="shared" si="62"/>
        <v>293.33333333333422</v>
      </c>
      <c r="BI99" s="62">
        <f ca="1">AVERAGE(OFFSET($BH$3,0,0,'Données projet'!$E$11+1,1))-AVERAGE(OFFSET($H$3,0,0,'Données projet'!$E$11+1,1))</f>
        <v>113.38017445149029</v>
      </c>
      <c r="BJ99" s="62">
        <f t="shared" si="92"/>
        <v>108.36144594421921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293.33333333333519</v>
      </c>
      <c r="S100" s="62">
        <f ca="1">AVERAGE(OFFSET($R$3,0,0,'Données projet'!$E$9+1,1))-AVERAGE(OFFSET($H$3,0,0,'Données projet'!$E$9+1,1))</f>
        <v>313.92223852157559</v>
      </c>
      <c r="T100" s="62">
        <f t="shared" si="88"/>
        <v>394.03759949558702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1.6279652267308447</v>
      </c>
      <c r="AB100" s="23">
        <f>EXP(-LN(2)/2)*AB99+(1-EXP(-LN(2)/2))/(LN(2)/2)*V100*Y100*VLOOKUP('Données projet'!$B$9,Paramètres!$A$1:$I$89,3,0)*0.475*44/12</f>
        <v>2.7169992539508098E-10</v>
      </c>
      <c r="AC100" s="24">
        <f t="shared" si="57"/>
        <v>1.6279652270025446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-3.2514435588382188E-14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148.40707092284572</v>
      </c>
      <c r="AO100" s="62">
        <f t="shared" si="90"/>
        <v>162.45539016632631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0.7960757809117629</v>
      </c>
      <c r="AW100" s="23">
        <f>EXP(-LN(2)/2)*AW99+(1-EXP(-LN(2)/2))/(LN(2)/2)*AQ100*AT100*VLOOKUP('Données projet'!$B$10,Paramètres!$A$1:$I$89,3,0)*0.475*44/12</f>
        <v>7.9968319999072189E-10</v>
      </c>
      <c r="AX100" s="23">
        <f t="shared" si="60"/>
        <v>0.79607578171144611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2.8080648917239162E-14</v>
      </c>
      <c r="BF100" s="14">
        <f t="shared" si="91"/>
        <v>4.8906278147460642E-13</v>
      </c>
      <c r="BG100" s="22">
        <f t="shared" si="61"/>
        <v>9.0069147459913104E-13</v>
      </c>
      <c r="BH100" s="62">
        <f t="shared" si="62"/>
        <v>293.33333333333422</v>
      </c>
      <c r="BI100" s="62">
        <f ca="1">AVERAGE(OFFSET($BH$3,0,0,'Données projet'!$E$11+1,1))-AVERAGE(OFFSET($H$3,0,0,'Données projet'!$E$11+1,1))</f>
        <v>113.38017445149029</v>
      </c>
      <c r="BJ100" s="62">
        <f t="shared" si="92"/>
        <v>108.36144594421921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293.33333333333519</v>
      </c>
      <c r="S101" s="62">
        <f ca="1">AVERAGE(OFFSET($R$3,0,0,'Données projet'!$E$9+1,1))-AVERAGE(OFFSET($H$3,0,0,'Données projet'!$E$9+1,1))</f>
        <v>313.92223852157559</v>
      </c>
      <c r="T101" s="62">
        <f t="shared" si="88"/>
        <v>394.03759949558702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1.5834484319949191</v>
      </c>
      <c r="AB101" s="23">
        <f>EXP(-LN(2)/2)*AB100+(1-EXP(-LN(2)/2))/(LN(2)/2)*V101*Y101*VLOOKUP('Données projet'!$B$9,Paramètres!$A$1:$I$89,3,0)*0.475*44/12</f>
        <v>1.9212085969474082E-10</v>
      </c>
      <c r="AC101" s="24">
        <f t="shared" si="57"/>
        <v>1.5834484321870399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-3.2514435588382188E-14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148.40707092284572</v>
      </c>
      <c r="AO101" s="62">
        <f t="shared" si="90"/>
        <v>162.45539016632631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0.77430704681892493</v>
      </c>
      <c r="AW101" s="23">
        <f>EXP(-LN(2)/2)*AW100+(1-EXP(-LN(2)/2))/(LN(2)/2)*AQ101*AT101*VLOOKUP('Données projet'!$B$10,Paramètres!$A$1:$I$89,3,0)*0.475*44/12</f>
        <v>5.654614135143975E-10</v>
      </c>
      <c r="AX101" s="23">
        <f t="shared" si="60"/>
        <v>0.77430704738438638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2.8080648917239162E-14</v>
      </c>
      <c r="BF101" s="14">
        <f t="shared" si="91"/>
        <v>4.8906278147460642E-13</v>
      </c>
      <c r="BG101" s="22">
        <f t="shared" si="61"/>
        <v>9.0069147459913104E-13</v>
      </c>
      <c r="BH101" s="62">
        <f t="shared" si="62"/>
        <v>293.33333333333422</v>
      </c>
      <c r="BI101" s="62">
        <f ca="1">AVERAGE(OFFSET($BH$3,0,0,'Données projet'!$E$11+1,1))-AVERAGE(OFFSET($H$3,0,0,'Données projet'!$E$11+1,1))</f>
        <v>113.38017445149029</v>
      </c>
      <c r="BJ101" s="62">
        <f t="shared" si="92"/>
        <v>108.36144594421921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293.33333333333519</v>
      </c>
      <c r="S102" s="62">
        <f ca="1">AVERAGE(OFFSET($R$3,0,0,'Données projet'!$E$9+1,1))-AVERAGE(OFFSET($H$3,0,0,'Données projet'!$E$9+1,1))</f>
        <v>313.92223852157559</v>
      </c>
      <c r="T102" s="62">
        <f t="shared" si="88"/>
        <v>394.03759949558702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1.5401489513520841</v>
      </c>
      <c r="AB102" s="23">
        <f>EXP(-LN(2)/2)*AB101+(1-EXP(-LN(2)/2))/(LN(2)/2)*V102*Y102*VLOOKUP('Données projet'!$B$9,Paramètres!$A$1:$I$89,3,0)*0.475*44/12</f>
        <v>1.3584996269754049E-10</v>
      </c>
      <c r="AC102" s="24">
        <f t="shared" si="57"/>
        <v>1.5401489514879341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-3.2514435588382188E-14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148.40707092284572</v>
      </c>
      <c r="AO102" s="62">
        <f t="shared" si="90"/>
        <v>162.45539016632631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0.75313357990462348</v>
      </c>
      <c r="AW102" s="23">
        <f>EXP(-LN(2)/2)*AW101+(1-EXP(-LN(2)/2))/(LN(2)/2)*AQ102*AT102*VLOOKUP('Données projet'!$B$10,Paramètres!$A$1:$I$89,3,0)*0.475*44/12</f>
        <v>3.9984159999536094E-10</v>
      </c>
      <c r="AX102" s="23">
        <f t="shared" si="60"/>
        <v>0.75313358030446509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2.8080648917239162E-14</v>
      </c>
      <c r="BF102" s="14">
        <f t="shared" si="91"/>
        <v>4.8906278147460642E-13</v>
      </c>
      <c r="BG102" s="22">
        <f t="shared" si="61"/>
        <v>9.0069147459913104E-13</v>
      </c>
      <c r="BH102" s="62">
        <f t="shared" si="62"/>
        <v>293.33333333333422</v>
      </c>
      <c r="BI102" s="62">
        <f ca="1">AVERAGE(OFFSET($BH$3,0,0,'Données projet'!$E$11+1,1))-AVERAGE(OFFSET($H$3,0,0,'Données projet'!$E$11+1,1))</f>
        <v>113.38017445149029</v>
      </c>
      <c r="BJ102" s="62">
        <f t="shared" si="92"/>
        <v>108.36144594421921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293.33333333333519</v>
      </c>
      <c r="S103" s="62">
        <f ca="1">AVERAGE(OFFSET($R$3,0,0,'Données projet'!$E$9+1,1))-AVERAGE(OFFSET($H$3,0,0,'Données projet'!$E$9+1,1))</f>
        <v>313.92223852157559</v>
      </c>
      <c r="T103" s="62">
        <f t="shared" si="88"/>
        <v>394.03759949558702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1.498033497284448</v>
      </c>
      <c r="AB103" s="23">
        <f>EXP(-LN(2)/2)*AB102+(1-EXP(-LN(2)/2))/(LN(2)/2)*V103*Y103*VLOOKUP('Données projet'!$B$9,Paramètres!$A$1:$I$89,3,0)*0.475*44/12</f>
        <v>9.6060429847370409E-11</v>
      </c>
      <c r="AC103" s="24">
        <f t="shared" si="57"/>
        <v>1.4980334973805085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-3.2514435588382188E-14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148.40707092284572</v>
      </c>
      <c r="AO103" s="62">
        <f t="shared" si="90"/>
        <v>162.45539016632631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0.73253910255655785</v>
      </c>
      <c r="AW103" s="23">
        <f>EXP(-LN(2)/2)*AW102+(1-EXP(-LN(2)/2))/(LN(2)/2)*AQ103*AT103*VLOOKUP('Données projet'!$B$10,Paramètres!$A$1:$I$89,3,0)*0.475*44/12</f>
        <v>2.8273070675719875E-10</v>
      </c>
      <c r="AX103" s="23">
        <f t="shared" si="60"/>
        <v>0.73253910283928858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2.8080648917239162E-14</v>
      </c>
      <c r="BF103" s="14">
        <f t="shared" si="91"/>
        <v>4.8906278147460642E-13</v>
      </c>
      <c r="BG103" s="22">
        <f t="shared" si="61"/>
        <v>9.0069147459913104E-13</v>
      </c>
      <c r="BH103" s="62">
        <f t="shared" si="62"/>
        <v>293.33333333333422</v>
      </c>
      <c r="BI103" s="62">
        <f ca="1">AVERAGE(OFFSET($BH$3,0,0,'Données projet'!$E$11+1,1))-AVERAGE(OFFSET($H$3,0,0,'Données projet'!$E$11+1,1))</f>
        <v>113.38017445149029</v>
      </c>
      <c r="BJ103" s="62">
        <f t="shared" si="92"/>
        <v>108.36144594421921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293.33333333333519</v>
      </c>
      <c r="S104" s="62">
        <f ca="1">AVERAGE(OFFSET($R$3,0,0,'Données projet'!$E$9+1,1))-AVERAGE(OFFSET($H$3,0,0,'Données projet'!$E$9+1,1))</f>
        <v>313.92223852157559</v>
      </c>
      <c r="T104" s="62">
        <f t="shared" si="88"/>
        <v>394.03759949558702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1.4570696925230469</v>
      </c>
      <c r="AB104" s="23">
        <f>EXP(-LN(2)/2)*AB103+(1-EXP(-LN(2)/2))/(LN(2)/2)*V104*Y104*VLOOKUP('Données projet'!$B$9,Paramètres!$A$1:$I$89,3,0)*0.475*44/12</f>
        <v>6.7924981348770245E-11</v>
      </c>
      <c r="AC104" s="24">
        <f t="shared" si="57"/>
        <v>1.4570696925909719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-3.2514435588382188E-14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148.40707092284572</v>
      </c>
      <c r="AO104" s="62">
        <f t="shared" si="90"/>
        <v>162.45539016632631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0.71250778227459166</v>
      </c>
      <c r="AW104" s="23">
        <f>EXP(-LN(2)/2)*AW103+(1-EXP(-LN(2)/2))/(LN(2)/2)*AQ104*AT104*VLOOKUP('Données projet'!$B$10,Paramètres!$A$1:$I$89,3,0)*0.475*44/12</f>
        <v>1.9992079999768047E-10</v>
      </c>
      <c r="AX104" s="23">
        <f t="shared" si="60"/>
        <v>0.71250778247451241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2.8080648917239162E-14</v>
      </c>
      <c r="BF104" s="14">
        <f t="shared" si="91"/>
        <v>4.8906278147460642E-13</v>
      </c>
      <c r="BG104" s="22">
        <f t="shared" si="61"/>
        <v>9.0069147459913104E-13</v>
      </c>
      <c r="BH104" s="62">
        <f t="shared" si="62"/>
        <v>293.33333333333422</v>
      </c>
      <c r="BI104" s="62">
        <f ca="1">AVERAGE(OFFSET($BH$3,0,0,'Données projet'!$E$11+1,1))-AVERAGE(OFFSET($H$3,0,0,'Données projet'!$E$11+1,1))</f>
        <v>113.38017445149029</v>
      </c>
      <c r="BJ104" s="62">
        <f t="shared" si="92"/>
        <v>108.36144594421921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293.33333333333519</v>
      </c>
      <c r="S105" s="62">
        <f ca="1">AVERAGE(OFFSET($R$3,0,0,'Données projet'!$E$9+1,1))-AVERAGE(OFFSET($H$3,0,0,'Données projet'!$E$9+1,1))</f>
        <v>313.92223852157559</v>
      </c>
      <c r="T105" s="62">
        <f t="shared" si="88"/>
        <v>394.03759949558702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1.4172260451570391</v>
      </c>
      <c r="AB105" s="23">
        <f>EXP(-LN(2)/2)*AB104+(1-EXP(-LN(2)/2))/(LN(2)/2)*V105*Y105*VLOOKUP('Données projet'!$B$9,Paramètres!$A$1:$I$89,3,0)*0.475*44/12</f>
        <v>4.8030214923685204E-11</v>
      </c>
      <c r="AC105" s="24">
        <f t="shared" si="57"/>
        <v>1.4172260452050693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-3.2514435588382188E-14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148.40707092284572</v>
      </c>
      <c r="AO105" s="62">
        <f t="shared" si="90"/>
        <v>162.45539016632631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0.69302421949913717</v>
      </c>
      <c r="AW105" s="23">
        <f>EXP(-LN(2)/2)*AW104+(1-EXP(-LN(2)/2))/(LN(2)/2)*AQ105*AT105*VLOOKUP('Données projet'!$B$10,Paramètres!$A$1:$I$89,3,0)*0.475*44/12</f>
        <v>1.4136535337859938E-10</v>
      </c>
      <c r="AX105" s="23">
        <f t="shared" si="60"/>
        <v>0.69302421964050254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2.8080648917239162E-14</v>
      </c>
      <c r="BF105" s="14">
        <f t="shared" si="91"/>
        <v>4.8906278147460642E-13</v>
      </c>
      <c r="BG105" s="22">
        <f t="shared" si="61"/>
        <v>9.0069147459913104E-13</v>
      </c>
      <c r="BH105" s="62">
        <f t="shared" si="62"/>
        <v>293.33333333333422</v>
      </c>
      <c r="BI105" s="62">
        <f ca="1">AVERAGE(OFFSET($BH$3,0,0,'Données projet'!$E$11+1,1))-AVERAGE(OFFSET($H$3,0,0,'Données projet'!$E$11+1,1))</f>
        <v>113.38017445149029</v>
      </c>
      <c r="BJ105" s="62">
        <f t="shared" si="92"/>
        <v>108.36144594421921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293.33333333333519</v>
      </c>
      <c r="S106" s="62">
        <f ca="1">AVERAGE(OFFSET($R$3,0,0,'Données projet'!$E$9+1,1))-AVERAGE(OFFSET($H$3,0,0,'Données projet'!$E$9+1,1))</f>
        <v>313.92223852157559</v>
      </c>
      <c r="T106" s="62">
        <f t="shared" si="88"/>
        <v>394.03759949558702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1.3784719244235413</v>
      </c>
      <c r="AB106" s="23">
        <f>EXP(-LN(2)/2)*AB105+(1-EXP(-LN(2)/2))/(LN(2)/2)*V106*Y106*VLOOKUP('Données projet'!$B$9,Paramètres!$A$1:$I$89,3,0)*0.475*44/12</f>
        <v>3.3962490674385123E-11</v>
      </c>
      <c r="AC106" s="24">
        <f t="shared" si="57"/>
        <v>1.3784719244575037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-3.2514435588382188E-14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148.40707092284572</v>
      </c>
      <c r="AO106" s="62">
        <f t="shared" si="90"/>
        <v>162.45539016632631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0.67407343577237344</v>
      </c>
      <c r="AW106" s="23">
        <f>EXP(-LN(2)/2)*AW105+(1-EXP(-LN(2)/2))/(LN(2)/2)*AQ106*AT106*VLOOKUP('Données projet'!$B$10,Paramètres!$A$1:$I$89,3,0)*0.475*44/12</f>
        <v>9.9960399998840236E-11</v>
      </c>
      <c r="AX106" s="23">
        <f t="shared" si="60"/>
        <v>0.67407343587233381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2.8080648917239162E-14</v>
      </c>
      <c r="BF106" s="14">
        <f t="shared" si="91"/>
        <v>4.8906278147460642E-13</v>
      </c>
      <c r="BG106" s="22">
        <f t="shared" si="61"/>
        <v>9.0069147459913104E-13</v>
      </c>
      <c r="BH106" s="62">
        <f t="shared" si="62"/>
        <v>293.33333333333422</v>
      </c>
      <c r="BI106" s="62">
        <f ca="1">AVERAGE(OFFSET($BH$3,0,0,'Données projet'!$E$11+1,1))-AVERAGE(OFFSET($H$3,0,0,'Données projet'!$E$11+1,1))</f>
        <v>113.38017445149029</v>
      </c>
      <c r="BJ106" s="62">
        <f t="shared" si="92"/>
        <v>108.36144594421921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293.33333333333519</v>
      </c>
      <c r="S107" s="62">
        <f ca="1">AVERAGE(OFFSET($R$3,0,0,'Données projet'!$E$9+1,1))-AVERAGE(OFFSET($H$3,0,0,'Données projet'!$E$9+1,1))</f>
        <v>313.92223852157559</v>
      </c>
      <c r="T107" s="62">
        <f t="shared" si="88"/>
        <v>394.03759949558702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1.3407775371594917</v>
      </c>
      <c r="AB107" s="23">
        <f>EXP(-LN(2)/2)*AB106+(1-EXP(-LN(2)/2))/(LN(2)/2)*V107*Y107*VLOOKUP('Données projet'!$B$9,Paramètres!$A$1:$I$89,3,0)*0.475*44/12</f>
        <v>2.4015107461842602E-11</v>
      </c>
      <c r="AC107" s="24">
        <f t="shared" si="57"/>
        <v>1.3407775371835067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-3.2514435588382188E-14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148.40707092284572</v>
      </c>
      <c r="AO107" s="62">
        <f t="shared" si="90"/>
        <v>162.45539016632631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0.65564086222319651</v>
      </c>
      <c r="AW107" s="23">
        <f>EXP(-LN(2)/2)*AW106+(1-EXP(-LN(2)/2))/(LN(2)/2)*AQ107*AT107*VLOOKUP('Données projet'!$B$10,Paramètres!$A$1:$I$89,3,0)*0.475*44/12</f>
        <v>7.0682676689299688E-11</v>
      </c>
      <c r="AX107" s="23">
        <f t="shared" si="60"/>
        <v>0.65564086229387919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2.8080648917239162E-14</v>
      </c>
      <c r="BF107" s="14">
        <f t="shared" si="91"/>
        <v>4.8906278147460642E-13</v>
      </c>
      <c r="BG107" s="22">
        <f t="shared" si="61"/>
        <v>9.0069147459913104E-13</v>
      </c>
      <c r="BH107" s="62">
        <f t="shared" si="62"/>
        <v>293.33333333333422</v>
      </c>
      <c r="BI107" s="62">
        <f ca="1">AVERAGE(OFFSET($BH$3,0,0,'Données projet'!$E$11+1,1))-AVERAGE(OFFSET($H$3,0,0,'Données projet'!$E$11+1,1))</f>
        <v>113.38017445149029</v>
      </c>
      <c r="BJ107" s="62">
        <f t="shared" si="92"/>
        <v>108.36144594421921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293.33333333333519</v>
      </c>
      <c r="S108" s="62">
        <f ca="1">AVERAGE(OFFSET($R$3,0,0,'Données projet'!$E$9+1,1))-AVERAGE(OFFSET($H$3,0,0,'Données projet'!$E$9+1,1))</f>
        <v>313.92223852157559</v>
      </c>
      <c r="T108" s="62">
        <f t="shared" si="88"/>
        <v>394.03759949558702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1.3041139048974391</v>
      </c>
      <c r="AB108" s="23">
        <f>EXP(-LN(2)/2)*AB107+(1-EXP(-LN(2)/2))/(LN(2)/2)*V108*Y108*VLOOKUP('Données projet'!$B$9,Paramètres!$A$1:$I$89,3,0)*0.475*44/12</f>
        <v>1.6981245337192561E-11</v>
      </c>
      <c r="AC108" s="24">
        <f t="shared" si="57"/>
        <v>1.3041139049144204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-3.2514435588382188E-14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148.40707092284572</v>
      </c>
      <c r="AO108" s="62">
        <f t="shared" si="90"/>
        <v>162.45539016632631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0.63771232836704872</v>
      </c>
      <c r="AW108" s="23">
        <f>EXP(-LN(2)/2)*AW107+(1-EXP(-LN(2)/2))/(LN(2)/2)*AQ108*AT108*VLOOKUP('Données projet'!$B$10,Paramètres!$A$1:$I$89,3,0)*0.475*44/12</f>
        <v>4.9980199999420118E-11</v>
      </c>
      <c r="AX108" s="23">
        <f t="shared" si="60"/>
        <v>0.63771232841702896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2.8080648917239162E-14</v>
      </c>
      <c r="BF108" s="14">
        <f t="shared" si="91"/>
        <v>4.8906278147460642E-13</v>
      </c>
      <c r="BG108" s="22">
        <f t="shared" si="61"/>
        <v>9.0069147459913104E-13</v>
      </c>
      <c r="BH108" s="62">
        <f t="shared" si="62"/>
        <v>293.33333333333422</v>
      </c>
      <c r="BI108" s="62">
        <f ca="1">AVERAGE(OFFSET($BH$3,0,0,'Données projet'!$E$11+1,1))-AVERAGE(OFFSET($H$3,0,0,'Données projet'!$E$11+1,1))</f>
        <v>113.38017445149029</v>
      </c>
      <c r="BJ108" s="62">
        <f t="shared" si="92"/>
        <v>108.36144594421921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293.33333333333519</v>
      </c>
      <c r="S109" s="62">
        <f ca="1">AVERAGE(OFFSET($R$3,0,0,'Données projet'!$E$9+1,1))-AVERAGE(OFFSET($H$3,0,0,'Données projet'!$E$9+1,1))</f>
        <v>313.92223852157559</v>
      </c>
      <c r="T109" s="62">
        <f t="shared" si="88"/>
        <v>394.03759949558702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1.2684528415876488</v>
      </c>
      <c r="AB109" s="23">
        <f>EXP(-LN(2)/2)*AB108+(1-EXP(-LN(2)/2))/(LN(2)/2)*V109*Y109*VLOOKUP('Données projet'!$B$9,Paramètres!$A$1:$I$89,3,0)*0.475*44/12</f>
        <v>1.2007553730921301E-11</v>
      </c>
      <c r="AC109" s="24">
        <f t="shared" si="57"/>
        <v>1.2684528415996563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-3.2514435588382188E-14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148.40707092284572</v>
      </c>
      <c r="AO109" s="62">
        <f t="shared" si="90"/>
        <v>162.45539016632631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0.62027405121201795</v>
      </c>
      <c r="AW109" s="23">
        <f>EXP(-LN(2)/2)*AW108+(1-EXP(-LN(2)/2))/(LN(2)/2)*AQ109*AT109*VLOOKUP('Données projet'!$B$10,Paramètres!$A$1:$I$89,3,0)*0.475*44/12</f>
        <v>3.5341338344649844E-11</v>
      </c>
      <c r="AX109" s="23">
        <f t="shared" si="60"/>
        <v>0.62027405124735924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2.8080648917239162E-14</v>
      </c>
      <c r="BF109" s="14">
        <f t="shared" si="91"/>
        <v>4.8906278147460642E-13</v>
      </c>
      <c r="BG109" s="22">
        <f t="shared" si="61"/>
        <v>9.0069147459913104E-13</v>
      </c>
      <c r="BH109" s="62">
        <f t="shared" si="62"/>
        <v>293.33333333333422</v>
      </c>
      <c r="BI109" s="62">
        <f ca="1">AVERAGE(OFFSET($BH$3,0,0,'Données projet'!$E$11+1,1))-AVERAGE(OFFSET($H$3,0,0,'Données projet'!$E$11+1,1))</f>
        <v>113.38017445149029</v>
      </c>
      <c r="BJ109" s="62">
        <f t="shared" si="92"/>
        <v>108.36144594421921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293.33333333333519</v>
      </c>
      <c r="S110" s="62">
        <f ca="1">AVERAGE(OFFSET($R$3,0,0,'Données projet'!$E$9+1,1))-AVERAGE(OFFSET($H$3,0,0,'Données projet'!$E$9+1,1))</f>
        <v>313.92223852157559</v>
      </c>
      <c r="T110" s="62">
        <f t="shared" si="88"/>
        <v>394.03759949558702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1.2337669319293987</v>
      </c>
      <c r="AB110" s="23">
        <f>EXP(-LN(2)/2)*AB109+(1-EXP(-LN(2)/2))/(LN(2)/2)*V110*Y110*VLOOKUP('Données projet'!$B$9,Paramètres!$A$1:$I$89,3,0)*0.475*44/12</f>
        <v>8.4906226685962807E-12</v>
      </c>
      <c r="AC110" s="24">
        <f t="shared" si="57"/>
        <v>1.2337669319378892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-3.2514435588382188E-14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148.40707092284572</v>
      </c>
      <c r="AO110" s="62">
        <f t="shared" si="90"/>
        <v>162.45539016632631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0.60331262466283064</v>
      </c>
      <c r="AW110" s="23">
        <f>EXP(-LN(2)/2)*AW109+(1-EXP(-LN(2)/2))/(LN(2)/2)*AQ110*AT110*VLOOKUP('Données projet'!$B$10,Paramètres!$A$1:$I$89,3,0)*0.475*44/12</f>
        <v>2.4990099999710059E-11</v>
      </c>
      <c r="AX110" s="23">
        <f t="shared" si="60"/>
        <v>0.60331262468782076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2.8080648917239162E-14</v>
      </c>
      <c r="BF110" s="14">
        <f t="shared" si="91"/>
        <v>4.8906278147460642E-13</v>
      </c>
      <c r="BG110" s="22">
        <f t="shared" si="61"/>
        <v>9.0069147459913104E-13</v>
      </c>
      <c r="BH110" s="62">
        <f t="shared" si="62"/>
        <v>293.33333333333422</v>
      </c>
      <c r="BI110" s="62">
        <f ca="1">AVERAGE(OFFSET($BH$3,0,0,'Données projet'!$E$11+1,1))-AVERAGE(OFFSET($H$3,0,0,'Données projet'!$E$11+1,1))</f>
        <v>113.38017445149029</v>
      </c>
      <c r="BJ110" s="62">
        <f t="shared" si="92"/>
        <v>108.36144594421921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293.33333333333519</v>
      </c>
      <c r="S111" s="62">
        <f ca="1">AVERAGE(OFFSET($R$3,0,0,'Données projet'!$E$9+1,1))-AVERAGE(OFFSET($H$3,0,0,'Données projet'!$E$9+1,1))</f>
        <v>313.92223852157559</v>
      </c>
      <c r="T111" s="62">
        <f t="shared" si="88"/>
        <v>394.03759949558702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1.2000295102948062</v>
      </c>
      <c r="AB111" s="23">
        <f>EXP(-LN(2)/2)*AB110+(1-EXP(-LN(2)/2))/(LN(2)/2)*V111*Y111*VLOOKUP('Données projet'!$B$9,Paramètres!$A$1:$I$89,3,0)*0.475*44/12</f>
        <v>6.0037768654606506E-12</v>
      </c>
      <c r="AC111" s="24">
        <f t="shared" si="57"/>
        <v>1.2000295103008101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-3.2514435588382188E-14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148.40707092284572</v>
      </c>
      <c r="AO111" s="62">
        <f t="shared" si="90"/>
        <v>162.45539016632631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0.58681500921459351</v>
      </c>
      <c r="AW111" s="23">
        <f>EXP(-LN(2)/2)*AW110+(1-EXP(-LN(2)/2))/(LN(2)/2)*AQ111*AT111*VLOOKUP('Données projet'!$B$10,Paramètres!$A$1:$I$89,3,0)*0.475*44/12</f>
        <v>1.7670669172324922E-11</v>
      </c>
      <c r="AX111" s="23">
        <f t="shared" si="60"/>
        <v>0.58681500923226415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2.8080648917239162E-14</v>
      </c>
      <c r="BF111" s="14">
        <f t="shared" si="91"/>
        <v>4.8906278147460642E-13</v>
      </c>
      <c r="BG111" s="22">
        <f t="shared" si="61"/>
        <v>9.0069147459913104E-13</v>
      </c>
      <c r="BH111" s="62">
        <f t="shared" si="62"/>
        <v>293.33333333333422</v>
      </c>
      <c r="BI111" s="62">
        <f ca="1">AVERAGE(OFFSET($BH$3,0,0,'Données projet'!$E$11+1,1))-AVERAGE(OFFSET($H$3,0,0,'Données projet'!$E$11+1,1))</f>
        <v>113.38017445149029</v>
      </c>
      <c r="BJ111" s="62">
        <f t="shared" si="92"/>
        <v>108.36144594421921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293.33333333333519</v>
      </c>
      <c r="S112" s="62">
        <f ca="1">AVERAGE(OFFSET($R$3,0,0,'Données projet'!$E$9+1,1))-AVERAGE(OFFSET($H$3,0,0,'Données projet'!$E$9+1,1))</f>
        <v>313.92223852157559</v>
      </c>
      <c r="T112" s="62">
        <f t="shared" si="88"/>
        <v>394.03759949558702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1.1672146402289856</v>
      </c>
      <c r="AB112" s="23">
        <f>EXP(-LN(2)/2)*AB111+(1-EXP(-LN(2)/2))/(LN(2)/2)*V112*Y112*VLOOKUP('Données projet'!$B$9,Paramètres!$A$1:$I$89,3,0)*0.475*44/12</f>
        <v>4.2453113342981403E-12</v>
      </c>
      <c r="AC112" s="24">
        <f t="shared" si="57"/>
        <v>1.1672146402332308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-3.2514435588382188E-14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148.40707092284572</v>
      </c>
      <c r="AO112" s="62">
        <f t="shared" si="90"/>
        <v>162.45539016632631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0.57076852192836025</v>
      </c>
      <c r="AW112" s="23">
        <f>EXP(-LN(2)/2)*AW111+(1-EXP(-LN(2)/2))/(LN(2)/2)*AQ112*AT112*VLOOKUP('Données projet'!$B$10,Paramètres!$A$1:$I$89,3,0)*0.475*44/12</f>
        <v>1.2495049999855029E-11</v>
      </c>
      <c r="AX112" s="23">
        <f t="shared" si="60"/>
        <v>0.57076852194085526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2.8080648917239162E-14</v>
      </c>
      <c r="BF112" s="14">
        <f t="shared" si="91"/>
        <v>4.8906278147460642E-13</v>
      </c>
      <c r="BG112" s="22">
        <f t="shared" si="61"/>
        <v>9.0069147459913104E-13</v>
      </c>
      <c r="BH112" s="62">
        <f t="shared" si="62"/>
        <v>293.33333333333422</v>
      </c>
      <c r="BI112" s="62">
        <f ca="1">AVERAGE(OFFSET($BH$3,0,0,'Données projet'!$E$11+1,1))-AVERAGE(OFFSET($H$3,0,0,'Données projet'!$E$11+1,1))</f>
        <v>113.38017445149029</v>
      </c>
      <c r="BJ112" s="62">
        <f t="shared" si="92"/>
        <v>108.36144594421921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293.33333333333519</v>
      </c>
      <c r="S113" s="62">
        <f ca="1">AVERAGE(OFFSET($R$3,0,0,'Données projet'!$E$9+1,1))-AVERAGE(OFFSET($H$3,0,0,'Données projet'!$E$9+1,1))</f>
        <v>313.92223852157559</v>
      </c>
      <c r="T113" s="62">
        <f t="shared" si="88"/>
        <v>394.03759949558702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1.1352970945107737</v>
      </c>
      <c r="AB113" s="23">
        <f>EXP(-LN(2)/2)*AB112+(1-EXP(-LN(2)/2))/(LN(2)/2)*V113*Y113*VLOOKUP('Données projet'!$B$9,Paramètres!$A$1:$I$89,3,0)*0.475*44/12</f>
        <v>3.0018884327303253E-12</v>
      </c>
      <c r="AC113" s="24">
        <f t="shared" si="57"/>
        <v>1.1352970945137755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-3.2514435588382188E-14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148.40707092284572</v>
      </c>
      <c r="AO113" s="62">
        <f t="shared" si="90"/>
        <v>162.45539016632631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0.55516082668081723</v>
      </c>
      <c r="AW113" s="23">
        <f>EXP(-LN(2)/2)*AW112+(1-EXP(-LN(2)/2))/(LN(2)/2)*AQ113*AT113*VLOOKUP('Données projet'!$B$10,Paramètres!$A$1:$I$89,3,0)*0.475*44/12</f>
        <v>8.835334586162461E-12</v>
      </c>
      <c r="AX113" s="23">
        <f t="shared" si="60"/>
        <v>0.55516082668965261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2.8080648917239162E-14</v>
      </c>
      <c r="BF113" s="14">
        <f t="shared" si="91"/>
        <v>4.8906278147460642E-13</v>
      </c>
      <c r="BG113" s="22">
        <f t="shared" si="61"/>
        <v>9.0069147459913104E-13</v>
      </c>
      <c r="BH113" s="62">
        <f t="shared" si="62"/>
        <v>293.33333333333422</v>
      </c>
      <c r="BI113" s="62">
        <f ca="1">AVERAGE(OFFSET($BH$3,0,0,'Données projet'!$E$11+1,1))-AVERAGE(OFFSET($H$3,0,0,'Données projet'!$E$11+1,1))</f>
        <v>113.38017445149029</v>
      </c>
      <c r="BJ113" s="62">
        <f t="shared" si="92"/>
        <v>108.36144594421921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293.33333333333519</v>
      </c>
      <c r="S114" s="62">
        <f ca="1">AVERAGE(OFFSET($R$3,0,0,'Données projet'!$E$9+1,1))-AVERAGE(OFFSET($H$3,0,0,'Données projet'!$E$9+1,1))</f>
        <v>313.92223852157559</v>
      </c>
      <c r="T114" s="62">
        <f t="shared" si="88"/>
        <v>394.03759949558702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1.1042523357586971</v>
      </c>
      <c r="AB114" s="23">
        <f>EXP(-LN(2)/2)*AB113+(1-EXP(-LN(2)/2))/(LN(2)/2)*V114*Y114*VLOOKUP('Données projet'!$B$9,Paramètres!$A$1:$I$89,3,0)*0.475*44/12</f>
        <v>2.1226556671490702E-12</v>
      </c>
      <c r="AC114" s="24">
        <f t="shared" si="57"/>
        <v>1.1042523357608198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-3.2514435588382188E-14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148.40707092284572</v>
      </c>
      <c r="AO114" s="62">
        <f t="shared" si="90"/>
        <v>162.45539016632631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0.53997992468059119</v>
      </c>
      <c r="AW114" s="23">
        <f>EXP(-LN(2)/2)*AW113+(1-EXP(-LN(2)/2))/(LN(2)/2)*AQ114*AT114*VLOOKUP('Données projet'!$B$10,Paramètres!$A$1:$I$89,3,0)*0.475*44/12</f>
        <v>6.2475249999275147E-12</v>
      </c>
      <c r="AX114" s="23">
        <f t="shared" si="60"/>
        <v>0.53997992468683875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2.8080648917239162E-14</v>
      </c>
      <c r="BF114" s="14">
        <f t="shared" si="91"/>
        <v>4.8906278147460642E-13</v>
      </c>
      <c r="BG114" s="22">
        <f t="shared" si="61"/>
        <v>9.0069147459913104E-13</v>
      </c>
      <c r="BH114" s="62">
        <f t="shared" si="62"/>
        <v>293.33333333333422</v>
      </c>
      <c r="BI114" s="62">
        <f ca="1">AVERAGE(OFFSET($BH$3,0,0,'Données projet'!$E$11+1,1))-AVERAGE(OFFSET($H$3,0,0,'Données projet'!$E$11+1,1))</f>
        <v>113.38017445149029</v>
      </c>
      <c r="BJ114" s="62">
        <f t="shared" si="92"/>
        <v>108.36144594421921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293.33333333333519</v>
      </c>
      <c r="S115" s="62">
        <f ca="1">AVERAGE(OFFSET($R$3,0,0,'Données projet'!$E$9+1,1))-AVERAGE(OFFSET($H$3,0,0,'Données projet'!$E$9+1,1))</f>
        <v>313.92223852157559</v>
      </c>
      <c r="T115" s="62">
        <f t="shared" si="88"/>
        <v>394.03759949558702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1.0740564975672691</v>
      </c>
      <c r="AB115" s="23">
        <f>EXP(-LN(2)/2)*AB114+(1-EXP(-LN(2)/2))/(LN(2)/2)*V115*Y115*VLOOKUP('Données projet'!$B$9,Paramètres!$A$1:$I$89,3,0)*0.475*44/12</f>
        <v>1.5009442163651626E-12</v>
      </c>
      <c r="AC115" s="24">
        <f t="shared" si="57"/>
        <v>1.0740564975687701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-3.2514435588382188E-14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148.40707092284572</v>
      </c>
      <c r="AO115" s="62">
        <f t="shared" si="90"/>
        <v>162.45539016632631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0.52521414524389032</v>
      </c>
      <c r="AW115" s="23">
        <f>EXP(-LN(2)/2)*AW114+(1-EXP(-LN(2)/2))/(LN(2)/2)*AQ115*AT115*VLOOKUP('Données projet'!$B$10,Paramètres!$A$1:$I$89,3,0)*0.475*44/12</f>
        <v>4.4176672930812305E-12</v>
      </c>
      <c r="AX115" s="23">
        <f t="shared" si="60"/>
        <v>0.52521414524830801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2.8080648917239162E-14</v>
      </c>
      <c r="BF115" s="14">
        <f t="shared" si="91"/>
        <v>4.8906278147460642E-13</v>
      </c>
      <c r="BG115" s="22">
        <f t="shared" si="61"/>
        <v>9.0069147459913104E-13</v>
      </c>
      <c r="BH115" s="62">
        <f t="shared" si="62"/>
        <v>293.33333333333422</v>
      </c>
      <c r="BI115" s="62">
        <f ca="1">AVERAGE(OFFSET($BH$3,0,0,'Données projet'!$E$11+1,1))-AVERAGE(OFFSET($H$3,0,0,'Données projet'!$E$11+1,1))</f>
        <v>113.38017445149029</v>
      </c>
      <c r="BJ115" s="62">
        <f t="shared" si="92"/>
        <v>108.36144594421921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293.33333333333519</v>
      </c>
      <c r="S116" s="62">
        <f ca="1">AVERAGE(OFFSET($R$3,0,0,'Données projet'!$E$9+1,1))-AVERAGE(OFFSET($H$3,0,0,'Données projet'!$E$9+1,1))</f>
        <v>313.92223852157559</v>
      </c>
      <c r="T116" s="62">
        <f t="shared" si="88"/>
        <v>394.03759949558702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1.0446863661591157</v>
      </c>
      <c r="AB116" s="23">
        <f>EXP(-LN(2)/2)*AB115+(1-EXP(-LN(2)/2))/(LN(2)/2)*V116*Y116*VLOOKUP('Données projet'!$B$9,Paramètres!$A$1:$I$89,3,0)*0.475*44/12</f>
        <v>1.0613278335745351E-12</v>
      </c>
      <c r="AC116" s="24">
        <f t="shared" si="57"/>
        <v>1.0446863661601771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-3.2514435588382188E-14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148.40707092284572</v>
      </c>
      <c r="AO116" s="62">
        <f t="shared" si="90"/>
        <v>162.45539016632631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0.51085213682238462</v>
      </c>
      <c r="AW116" s="23">
        <f>EXP(-LN(2)/2)*AW115+(1-EXP(-LN(2)/2))/(LN(2)/2)*AQ116*AT116*VLOOKUP('Données projet'!$B$10,Paramètres!$A$1:$I$89,3,0)*0.475*44/12</f>
        <v>3.1237624999637574E-12</v>
      </c>
      <c r="AX116" s="23">
        <f t="shared" si="60"/>
        <v>0.51085213682550834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2.8080648917239162E-14</v>
      </c>
      <c r="BF116" s="14">
        <f t="shared" si="91"/>
        <v>4.8906278147460642E-13</v>
      </c>
      <c r="BG116" s="22">
        <f t="shared" si="61"/>
        <v>9.0069147459913104E-13</v>
      </c>
      <c r="BH116" s="62">
        <f t="shared" si="62"/>
        <v>293.33333333333422</v>
      </c>
      <c r="BI116" s="62">
        <f ca="1">AVERAGE(OFFSET($BH$3,0,0,'Données projet'!$E$11+1,1))-AVERAGE(OFFSET($H$3,0,0,'Données projet'!$E$11+1,1))</f>
        <v>113.38017445149029</v>
      </c>
      <c r="BJ116" s="62">
        <f t="shared" si="92"/>
        <v>108.36144594421921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293.33333333333519</v>
      </c>
      <c r="S117" s="62">
        <f ca="1">AVERAGE(OFFSET($R$3,0,0,'Données projet'!$E$9+1,1))-AVERAGE(OFFSET($H$3,0,0,'Données projet'!$E$9+1,1))</f>
        <v>313.92223852157559</v>
      </c>
      <c r="T117" s="62">
        <f t="shared" si="88"/>
        <v>394.03759949558702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1.0161193625388263</v>
      </c>
      <c r="AB117" s="23">
        <f>EXP(-LN(2)/2)*AB116+(1-EXP(-LN(2)/2))/(LN(2)/2)*V117*Y117*VLOOKUP('Données projet'!$B$9,Paramètres!$A$1:$I$89,3,0)*0.475*44/12</f>
        <v>7.5047210818258132E-13</v>
      </c>
      <c r="AC117" s="24">
        <f t="shared" si="57"/>
        <v>1.0161193625395768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-3.2514435588382188E-14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148.40707092284572</v>
      </c>
      <c r="AO117" s="62">
        <f t="shared" si="90"/>
        <v>162.45539016632631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0.49688285827643019</v>
      </c>
      <c r="AW117" s="23">
        <f>EXP(-LN(2)/2)*AW116+(1-EXP(-LN(2)/2))/(LN(2)/2)*AQ117*AT117*VLOOKUP('Données projet'!$B$10,Paramètres!$A$1:$I$89,3,0)*0.475*44/12</f>
        <v>2.2088336465406152E-12</v>
      </c>
      <c r="AX117" s="23">
        <f t="shared" si="60"/>
        <v>0.49688285827863904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2.8080648917239162E-14</v>
      </c>
      <c r="BF117" s="14">
        <f t="shared" si="91"/>
        <v>4.8906278147460642E-13</v>
      </c>
      <c r="BG117" s="22">
        <f t="shared" si="61"/>
        <v>9.0069147459913104E-13</v>
      </c>
      <c r="BH117" s="62">
        <f t="shared" si="62"/>
        <v>293.33333333333422</v>
      </c>
      <c r="BI117" s="62">
        <f ca="1">AVERAGE(OFFSET($BH$3,0,0,'Données projet'!$E$11+1,1))-AVERAGE(OFFSET($H$3,0,0,'Données projet'!$E$11+1,1))</f>
        <v>113.38017445149029</v>
      </c>
      <c r="BJ117" s="62">
        <f t="shared" si="92"/>
        <v>108.36144594421921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293.33333333333519</v>
      </c>
      <c r="S118" s="62">
        <f ca="1">AVERAGE(OFFSET($R$3,0,0,'Données projet'!$E$9+1,1))-AVERAGE(OFFSET($H$3,0,0,'Données projet'!$E$9+1,1))</f>
        <v>313.92223852157559</v>
      </c>
      <c r="T118" s="62">
        <f t="shared" si="88"/>
        <v>394.03759949558702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0.98833352513480721</v>
      </c>
      <c r="AB118" s="23">
        <f>EXP(-LN(2)/2)*AB117+(1-EXP(-LN(2)/2))/(LN(2)/2)*V118*Y118*VLOOKUP('Données projet'!$B$9,Paramètres!$A$1:$I$89,3,0)*0.475*44/12</f>
        <v>5.3066391678726754E-13</v>
      </c>
      <c r="AC118" s="24">
        <f t="shared" si="57"/>
        <v>0.9883335251353379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-3.2514435588382188E-14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148.40707092284572</v>
      </c>
      <c r="AO118" s="62">
        <f t="shared" si="90"/>
        <v>162.45539016632631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0.48329557038692733</v>
      </c>
      <c r="AW118" s="23">
        <f>EXP(-LN(2)/2)*AW117+(1-EXP(-LN(2)/2))/(LN(2)/2)*AQ118*AT118*VLOOKUP('Données projet'!$B$10,Paramètres!$A$1:$I$89,3,0)*0.475*44/12</f>
        <v>1.5618812499818787E-12</v>
      </c>
      <c r="AX118" s="23">
        <f t="shared" si="60"/>
        <v>0.48329557038848919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2.8080648917239162E-14</v>
      </c>
      <c r="BF118" s="14">
        <f t="shared" si="91"/>
        <v>4.8906278147460642E-13</v>
      </c>
      <c r="BG118" s="22">
        <f t="shared" si="61"/>
        <v>9.0069147459913104E-13</v>
      </c>
      <c r="BH118" s="62">
        <f t="shared" si="62"/>
        <v>293.33333333333422</v>
      </c>
      <c r="BI118" s="62">
        <f ca="1">AVERAGE(OFFSET($BH$3,0,0,'Données projet'!$E$11+1,1))-AVERAGE(OFFSET($H$3,0,0,'Données projet'!$E$11+1,1))</f>
        <v>113.38017445149029</v>
      </c>
      <c r="BJ118" s="62">
        <f t="shared" si="92"/>
        <v>108.36144594421921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293.33333333333519</v>
      </c>
      <c r="S119" s="62">
        <f ca="1">AVERAGE(OFFSET($R$3,0,0,'Données projet'!$E$9+1,1))-AVERAGE(OFFSET($H$3,0,0,'Données projet'!$E$9+1,1))</f>
        <v>313.92223852157559</v>
      </c>
      <c r="T119" s="62">
        <f t="shared" si="88"/>
        <v>394.03759949558702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0.96130749291579465</v>
      </c>
      <c r="AB119" s="23">
        <f>EXP(-LN(2)/2)*AB118+(1-EXP(-LN(2)/2))/(LN(2)/2)*V119*Y119*VLOOKUP('Données projet'!$B$9,Paramètres!$A$1:$I$89,3,0)*0.475*44/12</f>
        <v>3.7523605409129066E-13</v>
      </c>
      <c r="AC119" s="24">
        <f t="shared" si="57"/>
        <v>0.9613074929161699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-3.2514435588382188E-14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148.40707092284572</v>
      </c>
      <c r="AO119" s="62">
        <f t="shared" si="90"/>
        <v>162.45539016632631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0.47007982759928735</v>
      </c>
      <c r="AW119" s="23">
        <f>EXP(-LN(2)/2)*AW118+(1-EXP(-LN(2)/2))/(LN(2)/2)*AQ119*AT119*VLOOKUP('Données projet'!$B$10,Paramètres!$A$1:$I$89,3,0)*0.475*44/12</f>
        <v>1.1044168232703076E-12</v>
      </c>
      <c r="AX119" s="23">
        <f t="shared" si="60"/>
        <v>0.47007982760039174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2.8080648917239162E-14</v>
      </c>
      <c r="BF119" s="14">
        <f t="shared" si="91"/>
        <v>4.8906278147460642E-13</v>
      </c>
      <c r="BG119" s="22">
        <f t="shared" si="61"/>
        <v>9.0069147459913104E-13</v>
      </c>
      <c r="BH119" s="62">
        <f t="shared" si="62"/>
        <v>293.33333333333422</v>
      </c>
      <c r="BI119" s="62">
        <f ca="1">AVERAGE(OFFSET($BH$3,0,0,'Données projet'!$E$11+1,1))-AVERAGE(OFFSET($H$3,0,0,'Données projet'!$E$11+1,1))</f>
        <v>113.38017445149029</v>
      </c>
      <c r="BJ119" s="62">
        <f t="shared" si="92"/>
        <v>108.36144594421921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293.33333333333519</v>
      </c>
      <c r="S120" s="62">
        <f ca="1">AVERAGE(OFFSET($R$3,0,0,'Données projet'!$E$9+1,1))-AVERAGE(OFFSET($H$3,0,0,'Données projet'!$E$9+1,1))</f>
        <v>313.92223852157559</v>
      </c>
      <c r="T120" s="62">
        <f t="shared" si="88"/>
        <v>394.03759949558702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0.93502048896904832</v>
      </c>
      <c r="AB120" s="23">
        <f>EXP(-LN(2)/2)*AB119+(1-EXP(-LN(2)/2))/(LN(2)/2)*V120*Y120*VLOOKUP('Données projet'!$B$9,Paramètres!$A$1:$I$89,3,0)*0.475*44/12</f>
        <v>2.6533195839363377E-13</v>
      </c>
      <c r="AC120" s="24">
        <f t="shared" si="57"/>
        <v>0.93502048896931367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-3.2514435588382188E-14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148.40707092284572</v>
      </c>
      <c r="AO120" s="62">
        <f t="shared" si="90"/>
        <v>162.45539016632631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0.4572254699931611</v>
      </c>
      <c r="AW120" s="23">
        <f>EXP(-LN(2)/2)*AW119+(1-EXP(-LN(2)/2))/(LN(2)/2)*AQ120*AT120*VLOOKUP('Données projet'!$B$10,Paramètres!$A$1:$I$89,3,0)*0.475*44/12</f>
        <v>7.8094062499093934E-13</v>
      </c>
      <c r="AX120" s="23">
        <f t="shared" si="60"/>
        <v>0.45722546999394204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2.8080648917239162E-14</v>
      </c>
      <c r="BF120" s="14">
        <f t="shared" si="91"/>
        <v>4.8906278147460642E-13</v>
      </c>
      <c r="BG120" s="22">
        <f t="shared" si="61"/>
        <v>9.0069147459913104E-13</v>
      </c>
      <c r="BH120" s="62">
        <f t="shared" si="62"/>
        <v>293.33333333333422</v>
      </c>
      <c r="BI120" s="62">
        <f ca="1">AVERAGE(OFFSET($BH$3,0,0,'Données projet'!$E$11+1,1))-AVERAGE(OFFSET($H$3,0,0,'Données projet'!$E$11+1,1))</f>
        <v>113.38017445149029</v>
      </c>
      <c r="BJ120" s="62">
        <f t="shared" si="92"/>
        <v>108.36144594421921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293.33333333333519</v>
      </c>
      <c r="S121" s="62">
        <f ca="1">AVERAGE(OFFSET($R$3,0,0,'Données projet'!$E$9+1,1))-AVERAGE(OFFSET($H$3,0,0,'Données projet'!$E$9+1,1))</f>
        <v>313.92223852157559</v>
      </c>
      <c r="T121" s="62">
        <f t="shared" si="88"/>
        <v>394.03759949558702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0.90945230452759918</v>
      </c>
      <c r="AB121" s="23">
        <f>EXP(-LN(2)/2)*AB120+(1-EXP(-LN(2)/2))/(LN(2)/2)*V121*Y121*VLOOKUP('Données projet'!$B$9,Paramètres!$A$1:$I$89,3,0)*0.475*44/12</f>
        <v>1.8761802704564533E-13</v>
      </c>
      <c r="AC121" s="24">
        <f t="shared" si="57"/>
        <v>0.9094523045277868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-3.2514435588382188E-14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148.40707092284572</v>
      </c>
      <c r="AO121" s="62">
        <f t="shared" si="90"/>
        <v>162.45539016632631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0.44472261547175562</v>
      </c>
      <c r="AW121" s="23">
        <f>EXP(-LN(2)/2)*AW120+(1-EXP(-LN(2)/2))/(LN(2)/2)*AQ121*AT121*VLOOKUP('Données projet'!$B$10,Paramètres!$A$1:$I$89,3,0)*0.475*44/12</f>
        <v>5.5220841163515381E-13</v>
      </c>
      <c r="AX121" s="23">
        <f t="shared" si="60"/>
        <v>0.44472261547230785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2.8080648917239162E-14</v>
      </c>
      <c r="BF121" s="14">
        <f t="shared" si="91"/>
        <v>4.8906278147460642E-13</v>
      </c>
      <c r="BG121" s="22">
        <f t="shared" si="61"/>
        <v>9.0069147459913104E-13</v>
      </c>
      <c r="BH121" s="62">
        <f t="shared" si="62"/>
        <v>293.33333333333422</v>
      </c>
      <c r="BI121" s="62">
        <f ca="1">AVERAGE(OFFSET($BH$3,0,0,'Données projet'!$E$11+1,1))-AVERAGE(OFFSET($H$3,0,0,'Données projet'!$E$11+1,1))</f>
        <v>113.38017445149029</v>
      </c>
      <c r="BJ121" s="62">
        <f t="shared" si="92"/>
        <v>108.36144594421921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293.33333333333519</v>
      </c>
      <c r="S122" s="62">
        <f ca="1">AVERAGE(OFFSET($R$3,0,0,'Données projet'!$E$9+1,1))-AVERAGE(OFFSET($H$3,0,0,'Données projet'!$E$9+1,1))</f>
        <v>313.92223852157559</v>
      </c>
      <c r="T122" s="62">
        <f t="shared" si="88"/>
        <v>394.03759949558702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0.88458328343427384</v>
      </c>
      <c r="AB122" s="23">
        <f>EXP(-LN(2)/2)*AB121+(1-EXP(-LN(2)/2))/(LN(2)/2)*V122*Y122*VLOOKUP('Données projet'!$B$9,Paramètres!$A$1:$I$89,3,0)*0.475*44/12</f>
        <v>1.3266597919681689E-13</v>
      </c>
      <c r="AC122" s="24">
        <f t="shared" si="57"/>
        <v>0.88458328343440651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-3.2514435588382188E-14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148.40707092284572</v>
      </c>
      <c r="AO122" s="62">
        <f t="shared" si="90"/>
        <v>162.45539016632631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0.43256165216473452</v>
      </c>
      <c r="AW122" s="23">
        <f>EXP(-LN(2)/2)*AW121+(1-EXP(-LN(2)/2))/(LN(2)/2)*AQ122*AT122*VLOOKUP('Données projet'!$B$10,Paramètres!$A$1:$I$89,3,0)*0.475*44/12</f>
        <v>3.9047031249546967E-13</v>
      </c>
      <c r="AX122" s="23">
        <f t="shared" si="60"/>
        <v>0.43256165216512499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2.8080648917239162E-14</v>
      </c>
      <c r="BF122" s="14">
        <f t="shared" si="91"/>
        <v>4.8906278147460642E-13</v>
      </c>
      <c r="BG122" s="22">
        <f t="shared" si="61"/>
        <v>9.0069147459913104E-13</v>
      </c>
      <c r="BH122" s="62">
        <f t="shared" si="62"/>
        <v>293.33333333333422</v>
      </c>
      <c r="BI122" s="62">
        <f ca="1">AVERAGE(OFFSET($BH$3,0,0,'Données projet'!$E$11+1,1))-AVERAGE(OFFSET($H$3,0,0,'Données projet'!$E$11+1,1))</f>
        <v>113.38017445149029</v>
      </c>
      <c r="BJ122" s="62">
        <f t="shared" si="92"/>
        <v>108.36144594421921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293.33333333333519</v>
      </c>
      <c r="S123" s="62">
        <f ca="1">AVERAGE(OFFSET($R$3,0,0,'Données projet'!$E$9+1,1))-AVERAGE(OFFSET($H$3,0,0,'Données projet'!$E$9+1,1))</f>
        <v>313.92223852157559</v>
      </c>
      <c r="T123" s="62">
        <f t="shared" si="88"/>
        <v>394.03759949558702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0.86039430703055053</v>
      </c>
      <c r="AB123" s="23">
        <f>EXP(-LN(2)/2)*AB122+(1-EXP(-LN(2)/2))/(LN(2)/2)*V123*Y123*VLOOKUP('Données projet'!$B$9,Paramètres!$A$1:$I$89,3,0)*0.475*44/12</f>
        <v>9.3809013522822665E-14</v>
      </c>
      <c r="AC123" s="24">
        <f t="shared" si="57"/>
        <v>0.86039430703064435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-3.2514435588382188E-14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148.40707092284572</v>
      </c>
      <c r="AO123" s="62">
        <f t="shared" si="90"/>
        <v>162.45539016632631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0.42073323103886118</v>
      </c>
      <c r="AW123" s="23">
        <f>EXP(-LN(2)/2)*AW122+(1-EXP(-LN(2)/2))/(LN(2)/2)*AQ123*AT123*VLOOKUP('Données projet'!$B$10,Paramètres!$A$1:$I$89,3,0)*0.475*44/12</f>
        <v>2.7610420581757691E-13</v>
      </c>
      <c r="AX123" s="23">
        <f t="shared" si="60"/>
        <v>0.42073323103913729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2.8080648917239162E-14</v>
      </c>
      <c r="BF123" s="14">
        <f t="shared" si="91"/>
        <v>4.8906278147460642E-13</v>
      </c>
      <c r="BG123" s="22">
        <f t="shared" si="61"/>
        <v>9.0069147459913104E-13</v>
      </c>
      <c r="BH123" s="62">
        <f t="shared" si="62"/>
        <v>293.33333333333422</v>
      </c>
      <c r="BI123" s="62">
        <f ca="1">AVERAGE(OFFSET($BH$3,0,0,'Données projet'!$E$11+1,1))-AVERAGE(OFFSET($H$3,0,0,'Données projet'!$E$11+1,1))</f>
        <v>113.38017445149029</v>
      </c>
      <c r="BJ123" s="62">
        <f t="shared" si="92"/>
        <v>108.36144594421921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293.33333333333519</v>
      </c>
      <c r="S124" s="62">
        <f ca="1">AVERAGE(OFFSET($R$3,0,0,'Données projet'!$E$9+1,1))-AVERAGE(OFFSET($H$3,0,0,'Données projet'!$E$9+1,1))</f>
        <v>313.92223852157559</v>
      </c>
      <c r="T124" s="62">
        <f t="shared" si="88"/>
        <v>394.03759949558702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0.83686677945862997</v>
      </c>
      <c r="AB124" s="23">
        <f>EXP(-LN(2)/2)*AB123+(1-EXP(-LN(2)/2))/(LN(2)/2)*V124*Y124*VLOOKUP('Données projet'!$B$9,Paramètres!$A$1:$I$89,3,0)*0.475*44/12</f>
        <v>6.6332989598408443E-14</v>
      </c>
      <c r="AC124" s="24">
        <f t="shared" si="57"/>
        <v>0.83686677945869625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-3.2514435588382188E-14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148.40707092284572</v>
      </c>
      <c r="AO124" s="62">
        <f t="shared" si="90"/>
        <v>162.45539016632631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0.40922825871070451</v>
      </c>
      <c r="AW124" s="23">
        <f>EXP(-LN(2)/2)*AW123+(1-EXP(-LN(2)/2))/(LN(2)/2)*AQ124*AT124*VLOOKUP('Données projet'!$B$10,Paramètres!$A$1:$I$89,3,0)*0.475*44/12</f>
        <v>1.9523515624773484E-13</v>
      </c>
      <c r="AX124" s="23">
        <f t="shared" si="60"/>
        <v>0.40922825871089974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2.8080648917239162E-14</v>
      </c>
      <c r="BF124" s="14">
        <f t="shared" si="91"/>
        <v>4.8906278147460642E-13</v>
      </c>
      <c r="BG124" s="22">
        <f t="shared" si="61"/>
        <v>9.0069147459913104E-13</v>
      </c>
      <c r="BH124" s="62">
        <f t="shared" si="62"/>
        <v>293.33333333333422</v>
      </c>
      <c r="BI124" s="62">
        <f ca="1">AVERAGE(OFFSET($BH$3,0,0,'Données projet'!$E$11+1,1))-AVERAGE(OFFSET($H$3,0,0,'Données projet'!$E$11+1,1))</f>
        <v>113.38017445149029</v>
      </c>
      <c r="BJ124" s="62">
        <f t="shared" si="92"/>
        <v>108.36144594421921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293.33333333333519</v>
      </c>
      <c r="S125" s="62">
        <f ca="1">AVERAGE(OFFSET($R$3,0,0,'Données projet'!$E$9+1,1))-AVERAGE(OFFSET($H$3,0,0,'Données projet'!$E$9+1,1))</f>
        <v>313.92223852157559</v>
      </c>
      <c r="T125" s="62">
        <f t="shared" si="88"/>
        <v>394.03759949558702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0.81398261336542244</v>
      </c>
      <c r="AB125" s="23">
        <f>EXP(-LN(2)/2)*AB124+(1-EXP(-LN(2)/2))/(LN(2)/2)*V125*Y125*VLOOKUP('Données projet'!$B$9,Paramètres!$A$1:$I$89,3,0)*0.475*44/12</f>
        <v>4.6904506761411333E-14</v>
      </c>
      <c r="AC125" s="24">
        <f t="shared" si="57"/>
        <v>0.81398261336546929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-3.2514435588382188E-14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148.40707092284572</v>
      </c>
      <c r="AO125" s="62">
        <f t="shared" si="90"/>
        <v>162.45539016632631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0.39803789045588145</v>
      </c>
      <c r="AW125" s="23">
        <f>EXP(-LN(2)/2)*AW124+(1-EXP(-LN(2)/2))/(LN(2)/2)*AQ125*AT125*VLOOKUP('Données projet'!$B$10,Paramètres!$A$1:$I$89,3,0)*0.475*44/12</f>
        <v>1.3805210290878845E-13</v>
      </c>
      <c r="AX125" s="23">
        <f t="shared" si="60"/>
        <v>0.39803789045601951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2.8080648917239162E-14</v>
      </c>
      <c r="BF125" s="14">
        <f t="shared" si="91"/>
        <v>4.8906278147460642E-13</v>
      </c>
      <c r="BG125" s="22">
        <f t="shared" si="61"/>
        <v>9.0069147459913104E-13</v>
      </c>
      <c r="BH125" s="62">
        <f t="shared" si="62"/>
        <v>293.33333333333422</v>
      </c>
      <c r="BI125" s="62">
        <f ca="1">AVERAGE(OFFSET($BH$3,0,0,'Données projet'!$E$11+1,1))-AVERAGE(OFFSET($H$3,0,0,'Données projet'!$E$11+1,1))</f>
        <v>113.38017445149029</v>
      </c>
      <c r="BJ125" s="62">
        <f t="shared" si="92"/>
        <v>108.36144594421921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293.33333333333519</v>
      </c>
      <c r="S126" s="62">
        <f ca="1">AVERAGE(OFFSET($R$3,0,0,'Données projet'!$E$9+1,1))-AVERAGE(OFFSET($H$3,0,0,'Données projet'!$E$9+1,1))</f>
        <v>313.92223852157559</v>
      </c>
      <c r="T126" s="62">
        <f t="shared" si="88"/>
        <v>394.03759949558702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0.79172421599745968</v>
      </c>
      <c r="AB126" s="23">
        <f>EXP(-LN(2)/2)*AB125+(1-EXP(-LN(2)/2))/(LN(2)/2)*V126*Y126*VLOOKUP('Données projet'!$B$9,Paramètres!$A$1:$I$89,3,0)*0.475*44/12</f>
        <v>3.3166494799204221E-14</v>
      </c>
      <c r="AC126" s="24">
        <f t="shared" si="57"/>
        <v>0.79172421599749288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-3.2514435588382188E-14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148.40707092284572</v>
      </c>
      <c r="AO126" s="62">
        <f t="shared" si="90"/>
        <v>162.45539016632631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0.38715352340946246</v>
      </c>
      <c r="AW126" s="23">
        <f>EXP(-LN(2)/2)*AW125+(1-EXP(-LN(2)/2))/(LN(2)/2)*AQ126*AT126*VLOOKUP('Données projet'!$B$10,Paramètres!$A$1:$I$89,3,0)*0.475*44/12</f>
        <v>9.7617578123867418E-14</v>
      </c>
      <c r="AX126" s="23">
        <f t="shared" si="60"/>
        <v>0.38715352340956011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2.8080648917239162E-14</v>
      </c>
      <c r="BF126" s="14">
        <f t="shared" si="91"/>
        <v>4.8906278147460642E-13</v>
      </c>
      <c r="BG126" s="22">
        <f t="shared" si="61"/>
        <v>9.0069147459913104E-13</v>
      </c>
      <c r="BH126" s="62">
        <f t="shared" si="62"/>
        <v>293.33333333333422</v>
      </c>
      <c r="BI126" s="62">
        <f ca="1">AVERAGE(OFFSET($BH$3,0,0,'Données projet'!$E$11+1,1))-AVERAGE(OFFSET($H$3,0,0,'Données projet'!$E$11+1,1))</f>
        <v>113.38017445149029</v>
      </c>
      <c r="BJ126" s="62">
        <f t="shared" si="92"/>
        <v>108.36144594421921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293.33333333333519</v>
      </c>
      <c r="S127" s="62">
        <f ca="1">AVERAGE(OFFSET($R$3,0,0,'Données projet'!$E$9+1,1))-AVERAGE(OFFSET($H$3,0,0,'Données projet'!$E$9+1,1))</f>
        <v>313.92223852157559</v>
      </c>
      <c r="T127" s="62">
        <f t="shared" si="88"/>
        <v>394.03759949558702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0.77007447567604215</v>
      </c>
      <c r="AB127" s="23">
        <f>EXP(-LN(2)/2)*AB126+(1-EXP(-LN(2)/2))/(LN(2)/2)*V127*Y127*VLOOKUP('Données projet'!$B$9,Paramètres!$A$1:$I$89,3,0)*0.475*44/12</f>
        <v>2.3452253380705666E-14</v>
      </c>
      <c r="AC127" s="24">
        <f t="shared" si="57"/>
        <v>0.77007447567606557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-3.2514435588382188E-14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148.40707092284572</v>
      </c>
      <c r="AO127" s="62">
        <f t="shared" si="90"/>
        <v>162.45539016632631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0.37656678995231174</v>
      </c>
      <c r="AW127" s="23">
        <f>EXP(-LN(2)/2)*AW126+(1-EXP(-LN(2)/2))/(LN(2)/2)*AQ127*AT127*VLOOKUP('Données projet'!$B$10,Paramètres!$A$1:$I$89,3,0)*0.475*44/12</f>
        <v>6.9026051454394226E-14</v>
      </c>
      <c r="AX127" s="23">
        <f t="shared" si="60"/>
        <v>0.37656678995238074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2.8080648917239162E-14</v>
      </c>
      <c r="BF127" s="14">
        <f t="shared" si="91"/>
        <v>4.8906278147460642E-13</v>
      </c>
      <c r="BG127" s="22">
        <f t="shared" si="61"/>
        <v>9.0069147459913104E-13</v>
      </c>
      <c r="BH127" s="62">
        <f t="shared" si="62"/>
        <v>293.33333333333422</v>
      </c>
      <c r="BI127" s="62">
        <f ca="1">AVERAGE(OFFSET($BH$3,0,0,'Données projet'!$E$11+1,1))-AVERAGE(OFFSET($H$3,0,0,'Données projet'!$E$11+1,1))</f>
        <v>113.38017445149029</v>
      </c>
      <c r="BJ127" s="62">
        <f t="shared" si="92"/>
        <v>108.36144594421921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293.33333333333519</v>
      </c>
      <c r="S128" s="62">
        <f ca="1">AVERAGE(OFFSET($R$3,0,0,'Données projet'!$E$9+1,1))-AVERAGE(OFFSET($H$3,0,0,'Données projet'!$E$9+1,1))</f>
        <v>313.92223852157559</v>
      </c>
      <c r="T128" s="62">
        <f t="shared" si="88"/>
        <v>394.03759949558702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0.74901674864222412</v>
      </c>
      <c r="AB128" s="23">
        <f>EXP(-LN(2)/2)*AB127+(1-EXP(-LN(2)/2))/(LN(2)/2)*V128*Y128*VLOOKUP('Données projet'!$B$9,Paramètres!$A$1:$I$89,3,0)*0.475*44/12</f>
        <v>1.6583247399602111E-14</v>
      </c>
      <c r="AC128" s="24">
        <f t="shared" si="57"/>
        <v>0.74901674864224066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-3.2514435588382188E-14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148.40707092284572</v>
      </c>
      <c r="AO128" s="62">
        <f t="shared" si="90"/>
        <v>162.45539016632631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0.36626955127827893</v>
      </c>
      <c r="AW128" s="23">
        <f>EXP(-LN(2)/2)*AW127+(1-EXP(-LN(2)/2))/(LN(2)/2)*AQ128*AT128*VLOOKUP('Données projet'!$B$10,Paramètres!$A$1:$I$89,3,0)*0.475*44/12</f>
        <v>4.8808789061933709E-14</v>
      </c>
      <c r="AX128" s="23">
        <f t="shared" si="60"/>
        <v>0.36626955127832772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2.8080648917239162E-14</v>
      </c>
      <c r="BF128" s="14">
        <f t="shared" si="91"/>
        <v>4.8906278147460642E-13</v>
      </c>
      <c r="BG128" s="22">
        <f t="shared" si="61"/>
        <v>9.0069147459913104E-13</v>
      </c>
      <c r="BH128" s="62">
        <f t="shared" si="62"/>
        <v>293.33333333333422</v>
      </c>
      <c r="BI128" s="62">
        <f ca="1">AVERAGE(OFFSET($BH$3,0,0,'Données projet'!$E$11+1,1))-AVERAGE(OFFSET($H$3,0,0,'Données projet'!$E$11+1,1))</f>
        <v>113.38017445149029</v>
      </c>
      <c r="BJ128" s="62">
        <f t="shared" si="92"/>
        <v>108.36144594421921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293.33333333333519</v>
      </c>
      <c r="S129" s="62">
        <f ca="1">AVERAGE(OFFSET($R$3,0,0,'Données projet'!$E$9+1,1))-AVERAGE(OFFSET($H$3,0,0,'Données projet'!$E$9+1,1))</f>
        <v>313.92223852157559</v>
      </c>
      <c r="T129" s="62">
        <f t="shared" si="88"/>
        <v>394.03759949558702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0.72853484626152354</v>
      </c>
      <c r="AB129" s="23">
        <f>EXP(-LN(2)/2)*AB128+(1-EXP(-LN(2)/2))/(LN(2)/2)*V129*Y129*VLOOKUP('Données projet'!$B$9,Paramètres!$A$1:$I$89,3,0)*0.475*44/12</f>
        <v>1.1726126690352833E-14</v>
      </c>
      <c r="AC129" s="24">
        <f t="shared" si="57"/>
        <v>0.72853484626153531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-3.2514435588382188E-14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148.40707092284572</v>
      </c>
      <c r="AO129" s="62">
        <f t="shared" si="90"/>
        <v>162.45539016632631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0.35625389113729583</v>
      </c>
      <c r="AW129" s="23">
        <f>EXP(-LN(2)/2)*AW128+(1-EXP(-LN(2)/2))/(LN(2)/2)*AQ129*AT129*VLOOKUP('Données projet'!$B$10,Paramètres!$A$1:$I$89,3,0)*0.475*44/12</f>
        <v>3.4513025727197113E-14</v>
      </c>
      <c r="AX129" s="23">
        <f t="shared" si="60"/>
        <v>0.35625389113733036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2.8080648917239162E-14</v>
      </c>
      <c r="BF129" s="14">
        <f t="shared" si="91"/>
        <v>4.8906278147460642E-13</v>
      </c>
      <c r="BG129" s="22">
        <f t="shared" si="61"/>
        <v>9.0069147459913104E-13</v>
      </c>
      <c r="BH129" s="62">
        <f t="shared" si="62"/>
        <v>293.33333333333422</v>
      </c>
      <c r="BI129" s="62">
        <f ca="1">AVERAGE(OFFSET($BH$3,0,0,'Données projet'!$E$11+1,1))-AVERAGE(OFFSET($H$3,0,0,'Données projet'!$E$11+1,1))</f>
        <v>113.38017445149029</v>
      </c>
      <c r="BJ129" s="62">
        <f t="shared" si="92"/>
        <v>108.36144594421921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293.33333333333519</v>
      </c>
      <c r="S130" s="62">
        <f ca="1">AVERAGE(OFFSET($R$3,0,0,'Données projet'!$E$9+1,1))-AVERAGE(OFFSET($H$3,0,0,'Données projet'!$E$9+1,1))</f>
        <v>313.92223852157559</v>
      </c>
      <c r="T130" s="62">
        <f t="shared" si="88"/>
        <v>394.03759949558702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0.70861302257851966</v>
      </c>
      <c r="AB130" s="23">
        <f>EXP(-LN(2)/2)*AB129+(1-EXP(-LN(2)/2))/(LN(2)/2)*V130*Y130*VLOOKUP('Données projet'!$B$9,Paramètres!$A$1:$I$89,3,0)*0.475*44/12</f>
        <v>8.2916236998010553E-15</v>
      </c>
      <c r="AC130" s="24">
        <f t="shared" si="57"/>
        <v>0.70861302257852798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-3.2514435588382188E-14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148.40707092284572</v>
      </c>
      <c r="AO130" s="62">
        <f t="shared" si="90"/>
        <v>162.45539016632631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0.34651210974956859</v>
      </c>
      <c r="AW130" s="23">
        <f>EXP(-LN(2)/2)*AW129+(1-EXP(-LN(2)/2))/(LN(2)/2)*AQ130*AT130*VLOOKUP('Données projet'!$B$10,Paramètres!$A$1:$I$89,3,0)*0.475*44/12</f>
        <v>2.4404394530966854E-14</v>
      </c>
      <c r="AX130" s="23">
        <f t="shared" si="60"/>
        <v>0.34651210974959301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2.8080648917239162E-14</v>
      </c>
      <c r="BF130" s="14">
        <f t="shared" si="91"/>
        <v>4.8906278147460642E-13</v>
      </c>
      <c r="BG130" s="22">
        <f t="shared" si="61"/>
        <v>9.0069147459913104E-13</v>
      </c>
      <c r="BH130" s="62">
        <f t="shared" si="62"/>
        <v>293.33333333333422</v>
      </c>
      <c r="BI130" s="62">
        <f ca="1">AVERAGE(OFFSET($BH$3,0,0,'Données projet'!$E$11+1,1))-AVERAGE(OFFSET($H$3,0,0,'Données projet'!$E$11+1,1))</f>
        <v>113.38017445149029</v>
      </c>
      <c r="BJ130" s="62">
        <f t="shared" si="92"/>
        <v>108.36144594421921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293.33333333333519</v>
      </c>
      <c r="S131" s="62">
        <f ca="1">AVERAGE(OFFSET($R$3,0,0,'Données projet'!$E$9+1,1))-AVERAGE(OFFSET($H$3,0,0,'Données projet'!$E$9+1,1))</f>
        <v>313.92223852157559</v>
      </c>
      <c r="T131" s="62">
        <f t="shared" si="88"/>
        <v>394.03759949558702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0.68923596221177075</v>
      </c>
      <c r="AB131" s="23">
        <f>EXP(-LN(2)/2)*AB130+(1-EXP(-LN(2)/2))/(LN(2)/2)*V131*Y131*VLOOKUP('Données projet'!$B$9,Paramètres!$A$1:$I$89,3,0)*0.475*44/12</f>
        <v>5.8630633451764166E-15</v>
      </c>
      <c r="AC131" s="24">
        <f t="shared" si="57"/>
        <v>0.68923596221177663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-3.2514435588382188E-14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148.40707092284572</v>
      </c>
      <c r="AO131" s="62">
        <f t="shared" si="90"/>
        <v>162.45539016632631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0.33703671788618672</v>
      </c>
      <c r="AW131" s="23">
        <f>EXP(-LN(2)/2)*AW130+(1-EXP(-LN(2)/2))/(LN(2)/2)*AQ131*AT131*VLOOKUP('Données projet'!$B$10,Paramètres!$A$1:$I$89,3,0)*0.475*44/12</f>
        <v>1.7256512863598557E-14</v>
      </c>
      <c r="AX131" s="23">
        <f t="shared" si="60"/>
        <v>0.33703671788620398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2.8080648917239162E-14</v>
      </c>
      <c r="BF131" s="14">
        <f t="shared" si="91"/>
        <v>4.8906278147460642E-13</v>
      </c>
      <c r="BG131" s="22">
        <f t="shared" si="61"/>
        <v>9.0069147459913104E-13</v>
      </c>
      <c r="BH131" s="62">
        <f t="shared" si="62"/>
        <v>293.33333333333422</v>
      </c>
      <c r="BI131" s="62">
        <f ca="1">AVERAGE(OFFSET($BH$3,0,0,'Données projet'!$E$11+1,1))-AVERAGE(OFFSET($H$3,0,0,'Données projet'!$E$11+1,1))</f>
        <v>113.38017445149029</v>
      </c>
      <c r="BJ131" s="62">
        <f t="shared" si="92"/>
        <v>108.36144594421921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293.33333333333519</v>
      </c>
      <c r="S132" s="62">
        <f ca="1">AVERAGE(OFFSET($R$3,0,0,'Données projet'!$E$9+1,1))-AVERAGE(OFFSET($H$3,0,0,'Données projet'!$E$9+1,1))</f>
        <v>313.92223852157559</v>
      </c>
      <c r="T132" s="62">
        <f t="shared" si="88"/>
        <v>394.03759949558702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0.67038876857974594</v>
      </c>
      <c r="AB132" s="23">
        <f>EXP(-LN(2)/2)*AB131+(1-EXP(-LN(2)/2))/(LN(2)/2)*V132*Y132*VLOOKUP('Données projet'!$B$9,Paramètres!$A$1:$I$89,3,0)*0.475*44/12</f>
        <v>4.1458118499005277E-15</v>
      </c>
      <c r="AC132" s="24">
        <f t="shared" ref="AC132:AC153" si="111">SUM(Z132:AB132)</f>
        <v>0.67038876857975005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-3.2514435588382188E-14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148.40707092284572</v>
      </c>
      <c r="AO132" s="62">
        <f t="shared" si="90"/>
        <v>162.45539016632631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0.32782043111159825</v>
      </c>
      <c r="AW132" s="23">
        <f>EXP(-LN(2)/2)*AW131+(1-EXP(-LN(2)/2))/(LN(2)/2)*AQ132*AT132*VLOOKUP('Données projet'!$B$10,Paramètres!$A$1:$I$89,3,0)*0.475*44/12</f>
        <v>1.2202197265483427E-14</v>
      </c>
      <c r="AX132" s="23">
        <f t="shared" ref="AX132:AX153" si="114">SUM(AU132:AW132)</f>
        <v>0.32782043111161047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2.8080648917239162E-14</v>
      </c>
      <c r="BF132" s="14">
        <f t="shared" si="91"/>
        <v>4.8906278147460642E-13</v>
      </c>
      <c r="BG132" s="22">
        <f t="shared" ref="BG132:BG153" si="115">(BE132+BF132)*0.475*44/12</f>
        <v>9.0069147459913104E-13</v>
      </c>
      <c r="BH132" s="62">
        <f t="shared" ref="BH132:BH195" si="116">BG132+(AY132+AZ132)*44/12</f>
        <v>293.33333333333422</v>
      </c>
      <c r="BI132" s="62">
        <f ca="1">AVERAGE(OFFSET($BH$3,0,0,'Données projet'!$E$11+1,1))-AVERAGE(OFFSET($H$3,0,0,'Données projet'!$E$11+1,1))</f>
        <v>113.38017445149029</v>
      </c>
      <c r="BJ132" s="62">
        <f t="shared" si="92"/>
        <v>108.36144594421921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293.33333333333519</v>
      </c>
      <c r="S133" s="62">
        <f ca="1">AVERAGE(OFFSET($R$3,0,0,'Données projet'!$E$9+1,1))-AVERAGE(OFFSET($H$3,0,0,'Données projet'!$E$9+1,1))</f>
        <v>313.92223852157559</v>
      </c>
      <c r="T133" s="62">
        <f t="shared" ref="T133:T196" si="142">$T$3</f>
        <v>394.03759949558702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0.65205695244871964</v>
      </c>
      <c r="AB133" s="23">
        <f>EXP(-LN(2)/2)*AB132+(1-EXP(-LN(2)/2))/(LN(2)/2)*V133*Y133*VLOOKUP('Données projet'!$B$9,Paramètres!$A$1:$I$89,3,0)*0.475*44/12</f>
        <v>2.9315316725882083E-15</v>
      </c>
      <c r="AC133" s="24">
        <f t="shared" si="111"/>
        <v>0.65205695244872253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-3.2514435588382188E-14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148.40707092284572</v>
      </c>
      <c r="AO133" s="62">
        <f t="shared" ref="AO133:AO196" si="144">$AO$3</f>
        <v>162.45539016632631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0.31885616418352436</v>
      </c>
      <c r="AW133" s="23">
        <f>EXP(-LN(2)/2)*AW132+(1-EXP(-LN(2)/2))/(LN(2)/2)*AQ133*AT133*VLOOKUP('Données projet'!$B$10,Paramètres!$A$1:$I$89,3,0)*0.475*44/12</f>
        <v>8.6282564317992783E-15</v>
      </c>
      <c r="AX133" s="23">
        <f t="shared" si="114"/>
        <v>0.31885616418353296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2.8080648917239162E-14</v>
      </c>
      <c r="BF133" s="14">
        <f t="shared" ref="BF133:BF153" si="145">EXP(-1.0587+0.8836*LN(BE133)+0.284)</f>
        <v>4.8906278147460642E-13</v>
      </c>
      <c r="BG133" s="22">
        <f t="shared" si="115"/>
        <v>9.0069147459913104E-13</v>
      </c>
      <c r="BH133" s="62">
        <f t="shared" si="116"/>
        <v>293.33333333333422</v>
      </c>
      <c r="BI133" s="62">
        <f ca="1">AVERAGE(OFFSET($BH$3,0,0,'Données projet'!$E$11+1,1))-AVERAGE(OFFSET($H$3,0,0,'Données projet'!$E$11+1,1))</f>
        <v>113.38017445149029</v>
      </c>
      <c r="BJ133" s="62">
        <f t="shared" ref="BJ133:BJ196" si="146">$BJ$3</f>
        <v>108.36144594421921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293.33333333333519</v>
      </c>
      <c r="S134" s="62">
        <f ca="1">AVERAGE(OFFSET($R$3,0,0,'Données projet'!$E$9+1,1))-AVERAGE(OFFSET($H$3,0,0,'Données projet'!$E$9+1,1))</f>
        <v>313.92223852157559</v>
      </c>
      <c r="T134" s="62">
        <f t="shared" si="142"/>
        <v>394.03759949558702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0.63422642079382452</v>
      </c>
      <c r="AB134" s="23">
        <f>EXP(-LN(2)/2)*AB133+(1-EXP(-LN(2)/2))/(LN(2)/2)*V134*Y134*VLOOKUP('Données projet'!$B$9,Paramètres!$A$1:$I$89,3,0)*0.475*44/12</f>
        <v>2.0729059249502638E-15</v>
      </c>
      <c r="AC134" s="24">
        <f t="shared" si="111"/>
        <v>0.63422642079382663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-3.2514435588382188E-14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148.40707092284572</v>
      </c>
      <c r="AO134" s="62">
        <f t="shared" si="144"/>
        <v>162.45539016632631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0.31013702560600898</v>
      </c>
      <c r="AW134" s="23">
        <f>EXP(-LN(2)/2)*AW133+(1-EXP(-LN(2)/2))/(LN(2)/2)*AQ134*AT134*VLOOKUP('Données projet'!$B$10,Paramètres!$A$1:$I$89,3,0)*0.475*44/12</f>
        <v>6.1010986327417136E-15</v>
      </c>
      <c r="AX134" s="23">
        <f t="shared" si="114"/>
        <v>0.31013702560601508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2.8080648917239162E-14</v>
      </c>
      <c r="BF134" s="14">
        <f t="shared" si="145"/>
        <v>4.8906278147460642E-13</v>
      </c>
      <c r="BG134" s="22">
        <f t="shared" si="115"/>
        <v>9.0069147459913104E-13</v>
      </c>
      <c r="BH134" s="62">
        <f t="shared" si="116"/>
        <v>293.33333333333422</v>
      </c>
      <c r="BI134" s="62">
        <f ca="1">AVERAGE(OFFSET($BH$3,0,0,'Données projet'!$E$11+1,1))-AVERAGE(OFFSET($H$3,0,0,'Données projet'!$E$11+1,1))</f>
        <v>113.38017445149029</v>
      </c>
      <c r="BJ134" s="62">
        <f t="shared" si="146"/>
        <v>108.36144594421921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293.33333333333519</v>
      </c>
      <c r="S135" s="62">
        <f ca="1">AVERAGE(OFFSET($R$3,0,0,'Données projet'!$E$9+1,1))-AVERAGE(OFFSET($H$3,0,0,'Données projet'!$E$9+1,1))</f>
        <v>313.92223852157559</v>
      </c>
      <c r="T135" s="62">
        <f t="shared" si="142"/>
        <v>394.03759949558702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0.61688346596469945</v>
      </c>
      <c r="AB135" s="23">
        <f>EXP(-LN(2)/2)*AB134+(1-EXP(-LN(2)/2))/(LN(2)/2)*V135*Y135*VLOOKUP('Données projet'!$B$9,Paramètres!$A$1:$I$89,3,0)*0.475*44/12</f>
        <v>1.4657658362941041E-15</v>
      </c>
      <c r="AC135" s="24">
        <f t="shared" si="111"/>
        <v>0.61688346596470089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-3.2514435588382188E-14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148.40707092284572</v>
      </c>
      <c r="AO135" s="62">
        <f t="shared" si="144"/>
        <v>162.45539016632631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0.30165631233141532</v>
      </c>
      <c r="AW135" s="23">
        <f>EXP(-LN(2)/2)*AW134+(1-EXP(-LN(2)/2))/(LN(2)/2)*AQ135*AT135*VLOOKUP('Données projet'!$B$10,Paramètres!$A$1:$I$89,3,0)*0.475*44/12</f>
        <v>4.3141282158996391E-15</v>
      </c>
      <c r="AX135" s="23">
        <f t="shared" si="114"/>
        <v>0.30165631233141965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2.8080648917239162E-14</v>
      </c>
      <c r="BF135" s="14">
        <f t="shared" si="145"/>
        <v>4.8906278147460642E-13</v>
      </c>
      <c r="BG135" s="22">
        <f t="shared" si="115"/>
        <v>9.0069147459913104E-13</v>
      </c>
      <c r="BH135" s="62">
        <f t="shared" si="116"/>
        <v>293.33333333333422</v>
      </c>
      <c r="BI135" s="62">
        <f ca="1">AVERAGE(OFFSET($BH$3,0,0,'Données projet'!$E$11+1,1))-AVERAGE(OFFSET($H$3,0,0,'Données projet'!$E$11+1,1))</f>
        <v>113.38017445149029</v>
      </c>
      <c r="BJ135" s="62">
        <f t="shared" si="146"/>
        <v>108.36144594421921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293.33333333333519</v>
      </c>
      <c r="S136" s="62">
        <f ca="1">AVERAGE(OFFSET($R$3,0,0,'Données projet'!$E$9+1,1))-AVERAGE(OFFSET($H$3,0,0,'Données projet'!$E$9+1,1))</f>
        <v>313.92223852157559</v>
      </c>
      <c r="T136" s="62">
        <f t="shared" si="142"/>
        <v>394.03759949558702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0.60001475514740321</v>
      </c>
      <c r="AB136" s="23">
        <f>EXP(-LN(2)/2)*AB135+(1-EXP(-LN(2)/2))/(LN(2)/2)*V136*Y136*VLOOKUP('Données projet'!$B$9,Paramètres!$A$1:$I$89,3,0)*0.475*44/12</f>
        <v>1.0364529624751319E-15</v>
      </c>
      <c r="AC136" s="24">
        <f t="shared" si="111"/>
        <v>0.60001475514740421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-3.2514435588382188E-14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148.40707092284572</v>
      </c>
      <c r="AO136" s="62">
        <f t="shared" si="144"/>
        <v>162.45539016632631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0.29340750460729675</v>
      </c>
      <c r="AW136" s="23">
        <f>EXP(-LN(2)/2)*AW135+(1-EXP(-LN(2)/2))/(LN(2)/2)*AQ136*AT136*VLOOKUP('Données projet'!$B$10,Paramètres!$A$1:$I$89,3,0)*0.475*44/12</f>
        <v>3.0505493163708568E-15</v>
      </c>
      <c r="AX136" s="23">
        <f t="shared" si="114"/>
        <v>0.29340750460729981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2.8080648917239162E-14</v>
      </c>
      <c r="BF136" s="14">
        <f t="shared" si="145"/>
        <v>4.8906278147460642E-13</v>
      </c>
      <c r="BG136" s="22">
        <f t="shared" si="115"/>
        <v>9.0069147459913104E-13</v>
      </c>
      <c r="BH136" s="62">
        <f t="shared" si="116"/>
        <v>293.33333333333422</v>
      </c>
      <c r="BI136" s="62">
        <f ca="1">AVERAGE(OFFSET($BH$3,0,0,'Données projet'!$E$11+1,1))-AVERAGE(OFFSET($H$3,0,0,'Données projet'!$E$11+1,1))</f>
        <v>113.38017445149029</v>
      </c>
      <c r="BJ136" s="62">
        <f t="shared" si="146"/>
        <v>108.36144594421921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293.33333333333519</v>
      </c>
      <c r="S137" s="62">
        <f ca="1">AVERAGE(OFFSET($R$3,0,0,'Données projet'!$E$9+1,1))-AVERAGE(OFFSET($H$3,0,0,'Données projet'!$E$9+1,1))</f>
        <v>313.92223852157559</v>
      </c>
      <c r="T137" s="62">
        <f t="shared" si="142"/>
        <v>394.03759949558702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0.5836073201144929</v>
      </c>
      <c r="AB137" s="23">
        <f>EXP(-LN(2)/2)*AB136+(1-EXP(-LN(2)/2))/(LN(2)/2)*V137*Y137*VLOOKUP('Données projet'!$B$9,Paramètres!$A$1:$I$89,3,0)*0.475*44/12</f>
        <v>7.3288291814705207E-16</v>
      </c>
      <c r="AC137" s="24">
        <f t="shared" si="111"/>
        <v>0.58360732011449368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-3.2514435588382188E-14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148.40707092284572</v>
      </c>
      <c r="AO137" s="62">
        <f t="shared" si="144"/>
        <v>162.45539016632631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0.28538426096418013</v>
      </c>
      <c r="AW137" s="23">
        <f>EXP(-LN(2)/2)*AW136+(1-EXP(-LN(2)/2))/(LN(2)/2)*AQ137*AT137*VLOOKUP('Données projet'!$B$10,Paramètres!$A$1:$I$89,3,0)*0.475*44/12</f>
        <v>2.1570641079498196E-15</v>
      </c>
      <c r="AX137" s="23">
        <f t="shared" si="114"/>
        <v>0.28538426096418229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2.8080648917239162E-14</v>
      </c>
      <c r="BF137" s="14">
        <f t="shared" si="145"/>
        <v>4.8906278147460642E-13</v>
      </c>
      <c r="BG137" s="22">
        <f t="shared" si="115"/>
        <v>9.0069147459913104E-13</v>
      </c>
      <c r="BH137" s="62">
        <f t="shared" si="116"/>
        <v>293.33333333333422</v>
      </c>
      <c r="BI137" s="62">
        <f ca="1">AVERAGE(OFFSET($BH$3,0,0,'Données projet'!$E$11+1,1))-AVERAGE(OFFSET($H$3,0,0,'Données projet'!$E$11+1,1))</f>
        <v>113.38017445149029</v>
      </c>
      <c r="BJ137" s="62">
        <f t="shared" si="146"/>
        <v>108.36144594421921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293.33333333333519</v>
      </c>
      <c r="S138" s="62">
        <f ca="1">AVERAGE(OFFSET($R$3,0,0,'Données projet'!$E$9+1,1))-AVERAGE(OFFSET($H$3,0,0,'Données projet'!$E$9+1,1))</f>
        <v>313.92223852157559</v>
      </c>
      <c r="T138" s="62">
        <f t="shared" si="142"/>
        <v>394.03759949558702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0.56764854725538694</v>
      </c>
      <c r="AB138" s="23">
        <f>EXP(-LN(2)/2)*AB137+(1-EXP(-LN(2)/2))/(LN(2)/2)*V138*Y138*VLOOKUP('Données projet'!$B$9,Paramètres!$A$1:$I$89,3,0)*0.475*44/12</f>
        <v>5.1822648123756596E-16</v>
      </c>
      <c r="AC138" s="24">
        <f t="shared" si="111"/>
        <v>0.56764854725538749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-3.2514435588382188E-14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148.40707092284572</v>
      </c>
      <c r="AO138" s="62">
        <f t="shared" si="144"/>
        <v>162.45539016632631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0.27758041334040862</v>
      </c>
      <c r="AW138" s="23">
        <f>EXP(-LN(2)/2)*AW137+(1-EXP(-LN(2)/2))/(LN(2)/2)*AQ138*AT138*VLOOKUP('Données projet'!$B$10,Paramètres!$A$1:$I$89,3,0)*0.475*44/12</f>
        <v>1.5252746581854284E-15</v>
      </c>
      <c r="AX138" s="23">
        <f t="shared" si="114"/>
        <v>0.27758041334041011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2.8080648917239162E-14</v>
      </c>
      <c r="BF138" s="14">
        <f t="shared" si="145"/>
        <v>4.8906278147460642E-13</v>
      </c>
      <c r="BG138" s="22">
        <f t="shared" si="115"/>
        <v>9.0069147459913104E-13</v>
      </c>
      <c r="BH138" s="62">
        <f t="shared" si="116"/>
        <v>293.33333333333422</v>
      </c>
      <c r="BI138" s="62">
        <f ca="1">AVERAGE(OFFSET($BH$3,0,0,'Données projet'!$E$11+1,1))-AVERAGE(OFFSET($H$3,0,0,'Données projet'!$E$11+1,1))</f>
        <v>113.38017445149029</v>
      </c>
      <c r="BJ138" s="62">
        <f t="shared" si="146"/>
        <v>108.36144594421921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293.33333333333519</v>
      </c>
      <c r="S139" s="62">
        <f ca="1">AVERAGE(OFFSET($R$3,0,0,'Données projet'!$E$9+1,1))-AVERAGE(OFFSET($H$3,0,0,'Données projet'!$E$9+1,1))</f>
        <v>313.92223852157559</v>
      </c>
      <c r="T139" s="62">
        <f t="shared" si="142"/>
        <v>394.03759949558702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0.55212616787934865</v>
      </c>
      <c r="AB139" s="23">
        <f>EXP(-LN(2)/2)*AB138+(1-EXP(-LN(2)/2))/(LN(2)/2)*V139*Y139*VLOOKUP('Données projet'!$B$9,Paramètres!$A$1:$I$89,3,0)*0.475*44/12</f>
        <v>3.6644145907352604E-16</v>
      </c>
      <c r="AC139" s="24">
        <f t="shared" si="111"/>
        <v>0.55212616787934898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-3.2514435588382188E-14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148.40707092284572</v>
      </c>
      <c r="AO139" s="62">
        <f t="shared" si="144"/>
        <v>162.45539016632631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0.2699899623402956</v>
      </c>
      <c r="AW139" s="23">
        <f>EXP(-LN(2)/2)*AW138+(1-EXP(-LN(2)/2))/(LN(2)/2)*AQ139*AT139*VLOOKUP('Données projet'!$B$10,Paramètres!$A$1:$I$89,3,0)*0.475*44/12</f>
        <v>1.0785320539749098E-15</v>
      </c>
      <c r="AX139" s="23">
        <f t="shared" si="114"/>
        <v>0.26998996234029665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2.8080648917239162E-14</v>
      </c>
      <c r="BF139" s="14">
        <f t="shared" si="145"/>
        <v>4.8906278147460642E-13</v>
      </c>
      <c r="BG139" s="22">
        <f t="shared" si="115"/>
        <v>9.0069147459913104E-13</v>
      </c>
      <c r="BH139" s="62">
        <f t="shared" si="116"/>
        <v>293.33333333333422</v>
      </c>
      <c r="BI139" s="62">
        <f ca="1">AVERAGE(OFFSET($BH$3,0,0,'Données projet'!$E$11+1,1))-AVERAGE(OFFSET($H$3,0,0,'Données projet'!$E$11+1,1))</f>
        <v>113.38017445149029</v>
      </c>
      <c r="BJ139" s="62">
        <f t="shared" si="146"/>
        <v>108.36144594421921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293.33333333333519</v>
      </c>
      <c r="S140" s="62">
        <f ca="1">AVERAGE(OFFSET($R$3,0,0,'Données projet'!$E$9+1,1))-AVERAGE(OFFSET($H$3,0,0,'Données projet'!$E$9+1,1))</f>
        <v>313.92223852157559</v>
      </c>
      <c r="T140" s="62">
        <f t="shared" si="142"/>
        <v>394.03759949558702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0.53702824878363464</v>
      </c>
      <c r="AB140" s="23">
        <f>EXP(-LN(2)/2)*AB139+(1-EXP(-LN(2)/2))/(LN(2)/2)*V140*Y140*VLOOKUP('Données projet'!$B$9,Paramètres!$A$1:$I$89,3,0)*0.475*44/12</f>
        <v>2.5911324061878298E-16</v>
      </c>
      <c r="AC140" s="24">
        <f t="shared" si="111"/>
        <v>0.53702824878363487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-3.2514435588382188E-14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148.40707092284572</v>
      </c>
      <c r="AO140" s="62">
        <f t="shared" si="144"/>
        <v>162.45539016632631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0.26260707262194516</v>
      </c>
      <c r="AW140" s="23">
        <f>EXP(-LN(2)/2)*AW139+(1-EXP(-LN(2)/2))/(LN(2)/2)*AQ140*AT140*VLOOKUP('Données projet'!$B$10,Paramètres!$A$1:$I$89,3,0)*0.475*44/12</f>
        <v>7.626373290927142E-16</v>
      </c>
      <c r="AX140" s="23">
        <f t="shared" si="114"/>
        <v>0.26260707262194594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2.8080648917239162E-14</v>
      </c>
      <c r="BF140" s="14">
        <f t="shared" si="145"/>
        <v>4.8906278147460642E-13</v>
      </c>
      <c r="BG140" s="22">
        <f t="shared" si="115"/>
        <v>9.0069147459913104E-13</v>
      </c>
      <c r="BH140" s="62">
        <f t="shared" si="116"/>
        <v>293.33333333333422</v>
      </c>
      <c r="BI140" s="62">
        <f ca="1">AVERAGE(OFFSET($BH$3,0,0,'Données projet'!$E$11+1,1))-AVERAGE(OFFSET($H$3,0,0,'Données projet'!$E$11+1,1))</f>
        <v>113.38017445149029</v>
      </c>
      <c r="BJ140" s="62">
        <f t="shared" si="146"/>
        <v>108.36144594421921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293.33333333333519</v>
      </c>
      <c r="S141" s="62">
        <f ca="1">AVERAGE(OFFSET($R$3,0,0,'Données projet'!$E$9+1,1))-AVERAGE(OFFSET($H$3,0,0,'Données projet'!$E$9+1,1))</f>
        <v>313.92223852157559</v>
      </c>
      <c r="T141" s="62">
        <f t="shared" si="142"/>
        <v>394.03759949558702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0.52234318307955796</v>
      </c>
      <c r="AB141" s="23">
        <f>EXP(-LN(2)/2)*AB140+(1-EXP(-LN(2)/2))/(LN(2)/2)*V141*Y141*VLOOKUP('Données projet'!$B$9,Paramètres!$A$1:$I$89,3,0)*0.475*44/12</f>
        <v>1.8322072953676302E-16</v>
      </c>
      <c r="AC141" s="24">
        <f t="shared" si="111"/>
        <v>0.52234318307955818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-3.2514435588382188E-14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148.40707092284572</v>
      </c>
      <c r="AO141" s="62">
        <f t="shared" si="144"/>
        <v>162.45539016632631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0.25542606841119231</v>
      </c>
      <c r="AW141" s="23">
        <f>EXP(-LN(2)/2)*AW140+(1-EXP(-LN(2)/2))/(LN(2)/2)*AQ141*AT141*VLOOKUP('Données projet'!$B$10,Paramètres!$A$1:$I$89,3,0)*0.475*44/12</f>
        <v>5.3926602698745489E-16</v>
      </c>
      <c r="AX141" s="23">
        <f t="shared" si="114"/>
        <v>0.25542606841119286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2.8080648917239162E-14</v>
      </c>
      <c r="BF141" s="14">
        <f t="shared" si="145"/>
        <v>4.8906278147460642E-13</v>
      </c>
      <c r="BG141" s="22">
        <f t="shared" si="115"/>
        <v>9.0069147459913104E-13</v>
      </c>
      <c r="BH141" s="62">
        <f t="shared" si="116"/>
        <v>293.33333333333422</v>
      </c>
      <c r="BI141" s="62">
        <f ca="1">AVERAGE(OFFSET($BH$3,0,0,'Données projet'!$E$11+1,1))-AVERAGE(OFFSET($H$3,0,0,'Données projet'!$E$11+1,1))</f>
        <v>113.38017445149029</v>
      </c>
      <c r="BJ141" s="62">
        <f t="shared" si="146"/>
        <v>108.36144594421921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293.33333333333519</v>
      </c>
      <c r="S142" s="62">
        <f ca="1">AVERAGE(OFFSET($R$3,0,0,'Données projet'!$E$9+1,1))-AVERAGE(OFFSET($H$3,0,0,'Données projet'!$E$9+1,1))</f>
        <v>313.92223852157559</v>
      </c>
      <c r="T142" s="62">
        <f t="shared" si="142"/>
        <v>394.03759949558702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0.50805968126941325</v>
      </c>
      <c r="AB142" s="23">
        <f>EXP(-LN(2)/2)*AB141+(1-EXP(-LN(2)/2))/(LN(2)/2)*V142*Y142*VLOOKUP('Données projet'!$B$9,Paramètres!$A$1:$I$89,3,0)*0.475*44/12</f>
        <v>1.2955662030939149E-16</v>
      </c>
      <c r="AC142" s="24">
        <f t="shared" si="111"/>
        <v>0.50805968126941337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-3.2514435588382188E-14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148.40707092284572</v>
      </c>
      <c r="AO142" s="62">
        <f t="shared" si="144"/>
        <v>162.45539016632631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0.2484414291382151</v>
      </c>
      <c r="AW142" s="23">
        <f>EXP(-LN(2)/2)*AW141+(1-EXP(-LN(2)/2))/(LN(2)/2)*AQ142*AT142*VLOOKUP('Données projet'!$B$10,Paramètres!$A$1:$I$89,3,0)*0.475*44/12</f>
        <v>3.813186645463571E-16</v>
      </c>
      <c r="AX142" s="23">
        <f t="shared" si="114"/>
        <v>0.24844142913821549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2.8080648917239162E-14</v>
      </c>
      <c r="BF142" s="14">
        <f t="shared" si="145"/>
        <v>4.8906278147460642E-13</v>
      </c>
      <c r="BG142" s="22">
        <f t="shared" si="115"/>
        <v>9.0069147459913104E-13</v>
      </c>
      <c r="BH142" s="62">
        <f t="shared" si="116"/>
        <v>293.33333333333422</v>
      </c>
      <c r="BI142" s="62">
        <f ca="1">AVERAGE(OFFSET($BH$3,0,0,'Données projet'!$E$11+1,1))-AVERAGE(OFFSET($H$3,0,0,'Données projet'!$E$11+1,1))</f>
        <v>113.38017445149029</v>
      </c>
      <c r="BJ142" s="62">
        <f t="shared" si="146"/>
        <v>108.36144594421921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293.33333333333519</v>
      </c>
      <c r="S143" s="62">
        <f ca="1">AVERAGE(OFFSET($R$3,0,0,'Données projet'!$E$9+1,1))-AVERAGE(OFFSET($H$3,0,0,'Données projet'!$E$9+1,1))</f>
        <v>313.92223852157559</v>
      </c>
      <c r="T143" s="62">
        <f t="shared" si="142"/>
        <v>394.03759949558702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0.49416676256740372</v>
      </c>
      <c r="AB143" s="23">
        <f>EXP(-LN(2)/2)*AB142+(1-EXP(-LN(2)/2))/(LN(2)/2)*V143*Y143*VLOOKUP('Données projet'!$B$9,Paramètres!$A$1:$I$89,3,0)*0.475*44/12</f>
        <v>9.1610364768381509E-17</v>
      </c>
      <c r="AC143" s="24">
        <f t="shared" si="111"/>
        <v>0.49416676256740383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-3.2514435588382188E-14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148.40707092284572</v>
      </c>
      <c r="AO143" s="62">
        <f t="shared" si="144"/>
        <v>162.45539016632631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0.24164778519346367</v>
      </c>
      <c r="AW143" s="23">
        <f>EXP(-LN(2)/2)*AW142+(1-EXP(-LN(2)/2))/(LN(2)/2)*AQ143*AT143*VLOOKUP('Données projet'!$B$10,Paramètres!$A$1:$I$89,3,0)*0.475*44/12</f>
        <v>2.6963301349372745E-16</v>
      </c>
      <c r="AX143" s="23">
        <f t="shared" si="114"/>
        <v>0.24164778519346394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2.8080648917239162E-14</v>
      </c>
      <c r="BF143" s="14">
        <f t="shared" si="145"/>
        <v>4.8906278147460642E-13</v>
      </c>
      <c r="BG143" s="22">
        <f t="shared" si="115"/>
        <v>9.0069147459913104E-13</v>
      </c>
      <c r="BH143" s="62">
        <f t="shared" si="116"/>
        <v>293.33333333333422</v>
      </c>
      <c r="BI143" s="62">
        <f ca="1">AVERAGE(OFFSET($BH$3,0,0,'Données projet'!$E$11+1,1))-AVERAGE(OFFSET($H$3,0,0,'Données projet'!$E$11+1,1))</f>
        <v>113.38017445149029</v>
      </c>
      <c r="BJ143" s="62">
        <f t="shared" si="146"/>
        <v>108.36144594421921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293.33333333333519</v>
      </c>
      <c r="S144" s="62">
        <f ca="1">AVERAGE(OFFSET($R$3,0,0,'Données projet'!$E$9+1,1))-AVERAGE(OFFSET($H$3,0,0,'Données projet'!$E$9+1,1))</f>
        <v>313.92223852157559</v>
      </c>
      <c r="T144" s="62">
        <f t="shared" si="142"/>
        <v>394.03759949558702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0.48065374645789744</v>
      </c>
      <c r="AB144" s="23">
        <f>EXP(-LN(2)/2)*AB143+(1-EXP(-LN(2)/2))/(LN(2)/2)*V144*Y144*VLOOKUP('Données projet'!$B$9,Paramètres!$A$1:$I$89,3,0)*0.475*44/12</f>
        <v>6.4778310154695745E-17</v>
      </c>
      <c r="AC144" s="24">
        <f t="shared" si="111"/>
        <v>0.48065374645789749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-3.2514435588382188E-14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148.40707092284572</v>
      </c>
      <c r="AO144" s="62">
        <f t="shared" si="144"/>
        <v>162.45539016632631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0.23503991379964367</v>
      </c>
      <c r="AW144" s="23">
        <f>EXP(-LN(2)/2)*AW143+(1-EXP(-LN(2)/2))/(LN(2)/2)*AQ144*AT144*VLOOKUP('Données projet'!$B$10,Paramètres!$A$1:$I$89,3,0)*0.475*44/12</f>
        <v>1.9065933227317855E-16</v>
      </c>
      <c r="AX144" s="23">
        <f t="shared" si="114"/>
        <v>0.23503991379964387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2.8080648917239162E-14</v>
      </c>
      <c r="BF144" s="14">
        <f t="shared" si="145"/>
        <v>4.8906278147460642E-13</v>
      </c>
      <c r="BG144" s="22">
        <f t="shared" si="115"/>
        <v>9.0069147459913104E-13</v>
      </c>
      <c r="BH144" s="62">
        <f t="shared" si="116"/>
        <v>293.33333333333422</v>
      </c>
      <c r="BI144" s="62">
        <f ca="1">AVERAGE(OFFSET($BH$3,0,0,'Données projet'!$E$11+1,1))-AVERAGE(OFFSET($H$3,0,0,'Données projet'!$E$11+1,1))</f>
        <v>113.38017445149029</v>
      </c>
      <c r="BJ144" s="62">
        <f t="shared" si="146"/>
        <v>108.36144594421921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293.33333333333519</v>
      </c>
      <c r="S145" s="62">
        <f ca="1">AVERAGE(OFFSET($R$3,0,0,'Données projet'!$E$9+1,1))-AVERAGE(OFFSET($H$3,0,0,'Données projet'!$E$9+1,1))</f>
        <v>313.92223852157559</v>
      </c>
      <c r="T145" s="62">
        <f t="shared" si="142"/>
        <v>394.03759949558702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0.46751024448452427</v>
      </c>
      <c r="AB145" s="23">
        <f>EXP(-LN(2)/2)*AB144+(1-EXP(-LN(2)/2))/(LN(2)/2)*V145*Y145*VLOOKUP('Données projet'!$B$9,Paramètres!$A$1:$I$89,3,0)*0.475*44/12</f>
        <v>4.5805182384190754E-17</v>
      </c>
      <c r="AC145" s="24">
        <f t="shared" si="111"/>
        <v>0.46751024448452433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-3.2514435588382188E-14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148.40707092284572</v>
      </c>
      <c r="AO145" s="62">
        <f t="shared" si="144"/>
        <v>162.45539016632631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0.22861273499658055</v>
      </c>
      <c r="AW145" s="23">
        <f>EXP(-LN(2)/2)*AW144+(1-EXP(-LN(2)/2))/(LN(2)/2)*AQ145*AT145*VLOOKUP('Données projet'!$B$10,Paramètres!$A$1:$I$89,3,0)*0.475*44/12</f>
        <v>1.3481650674686372E-16</v>
      </c>
      <c r="AX145" s="23">
        <f t="shared" si="114"/>
        <v>0.22861273499658069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2.8080648917239162E-14</v>
      </c>
      <c r="BF145" s="14">
        <f t="shared" si="145"/>
        <v>4.8906278147460642E-13</v>
      </c>
      <c r="BG145" s="22">
        <f t="shared" si="115"/>
        <v>9.0069147459913104E-13</v>
      </c>
      <c r="BH145" s="62">
        <f t="shared" si="116"/>
        <v>293.33333333333422</v>
      </c>
      <c r="BI145" s="62">
        <f ca="1">AVERAGE(OFFSET($BH$3,0,0,'Données projet'!$E$11+1,1))-AVERAGE(OFFSET($H$3,0,0,'Données projet'!$E$11+1,1))</f>
        <v>113.38017445149029</v>
      </c>
      <c r="BJ145" s="62">
        <f t="shared" si="146"/>
        <v>108.36144594421921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293.33333333333519</v>
      </c>
      <c r="S146" s="62">
        <f ca="1">AVERAGE(OFFSET($R$3,0,0,'Données projet'!$E$9+1,1))-AVERAGE(OFFSET($H$3,0,0,'Données projet'!$E$9+1,1))</f>
        <v>313.92223852157559</v>
      </c>
      <c r="T146" s="62">
        <f t="shared" si="142"/>
        <v>394.03759949558702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0.4547261522637997</v>
      </c>
      <c r="AB146" s="23">
        <f>EXP(-LN(2)/2)*AB145+(1-EXP(-LN(2)/2))/(LN(2)/2)*V146*Y146*VLOOKUP('Données projet'!$B$9,Paramètres!$A$1:$I$89,3,0)*0.475*44/12</f>
        <v>3.2389155077347872E-17</v>
      </c>
      <c r="AC146" s="24">
        <f t="shared" si="111"/>
        <v>0.45472615226379975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-3.2514435588382188E-14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148.40707092284572</v>
      </c>
      <c r="AO146" s="62">
        <f t="shared" si="144"/>
        <v>162.45539016632631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0.22236130773587781</v>
      </c>
      <c r="AW146" s="23">
        <f>EXP(-LN(2)/2)*AW145+(1-EXP(-LN(2)/2))/(LN(2)/2)*AQ146*AT146*VLOOKUP('Données projet'!$B$10,Paramètres!$A$1:$I$89,3,0)*0.475*44/12</f>
        <v>9.5329666136589275E-17</v>
      </c>
      <c r="AX146" s="23">
        <f t="shared" si="114"/>
        <v>0.22236130773587789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2.8080648917239162E-14</v>
      </c>
      <c r="BF146" s="14">
        <f t="shared" si="145"/>
        <v>4.8906278147460642E-13</v>
      </c>
      <c r="BG146" s="22">
        <f t="shared" si="115"/>
        <v>9.0069147459913104E-13</v>
      </c>
      <c r="BH146" s="62">
        <f t="shared" si="116"/>
        <v>293.33333333333422</v>
      </c>
      <c r="BI146" s="62">
        <f ca="1">AVERAGE(OFFSET($BH$3,0,0,'Données projet'!$E$11+1,1))-AVERAGE(OFFSET($H$3,0,0,'Données projet'!$E$11+1,1))</f>
        <v>113.38017445149029</v>
      </c>
      <c r="BJ146" s="62">
        <f t="shared" si="146"/>
        <v>108.36144594421921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293.33333333333519</v>
      </c>
      <c r="S147" s="62">
        <f ca="1">AVERAGE(OFFSET($R$3,0,0,'Données projet'!$E$9+1,1))-AVERAGE(OFFSET($H$3,0,0,'Données projet'!$E$9+1,1))</f>
        <v>313.92223852157559</v>
      </c>
      <c r="T147" s="62">
        <f t="shared" si="142"/>
        <v>394.03759949558702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0.44229164171713703</v>
      </c>
      <c r="AB147" s="23">
        <f>EXP(-LN(2)/2)*AB146+(1-EXP(-LN(2)/2))/(LN(2)/2)*V147*Y147*VLOOKUP('Données projet'!$B$9,Paramètres!$A$1:$I$89,3,0)*0.475*44/12</f>
        <v>2.2902591192095377E-17</v>
      </c>
      <c r="AC147" s="24">
        <f t="shared" si="111"/>
        <v>0.44229164171713703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-3.2514435588382188E-14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148.40707092284572</v>
      </c>
      <c r="AO147" s="62">
        <f t="shared" si="144"/>
        <v>162.45539016632631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0.21628082608236726</v>
      </c>
      <c r="AW147" s="23">
        <f>EXP(-LN(2)/2)*AW146+(1-EXP(-LN(2)/2))/(LN(2)/2)*AQ147*AT147*VLOOKUP('Données projet'!$B$10,Paramètres!$A$1:$I$89,3,0)*0.475*44/12</f>
        <v>6.7408253373431862E-17</v>
      </c>
      <c r="AX147" s="23">
        <f t="shared" si="114"/>
        <v>0.21628082608236732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2.8080648917239162E-14</v>
      </c>
      <c r="BF147" s="14">
        <f t="shared" si="145"/>
        <v>4.8906278147460642E-13</v>
      </c>
      <c r="BG147" s="22">
        <f t="shared" si="115"/>
        <v>9.0069147459913104E-13</v>
      </c>
      <c r="BH147" s="62">
        <f t="shared" si="116"/>
        <v>293.33333333333422</v>
      </c>
      <c r="BI147" s="62">
        <f ca="1">AVERAGE(OFFSET($BH$3,0,0,'Données projet'!$E$11+1,1))-AVERAGE(OFFSET($H$3,0,0,'Données projet'!$E$11+1,1))</f>
        <v>113.38017445149029</v>
      </c>
      <c r="BJ147" s="62">
        <f t="shared" si="146"/>
        <v>108.36144594421921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293.33333333333519</v>
      </c>
      <c r="S148" s="62">
        <f ca="1">AVERAGE(OFFSET($R$3,0,0,'Données projet'!$E$9+1,1))-AVERAGE(OFFSET($H$3,0,0,'Données projet'!$E$9+1,1))</f>
        <v>313.92223852157559</v>
      </c>
      <c r="T148" s="62">
        <f t="shared" si="142"/>
        <v>394.03759949558702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0.43019715351527538</v>
      </c>
      <c r="AB148" s="23">
        <f>EXP(-LN(2)/2)*AB147+(1-EXP(-LN(2)/2))/(LN(2)/2)*V148*Y148*VLOOKUP('Données projet'!$B$9,Paramètres!$A$1:$I$89,3,0)*0.475*44/12</f>
        <v>1.6194577538673936E-17</v>
      </c>
      <c r="AC148" s="24">
        <f t="shared" si="111"/>
        <v>0.43019715351527538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-3.2514435588382188E-14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148.40707092284572</v>
      </c>
      <c r="AO148" s="62">
        <f t="shared" si="144"/>
        <v>162.45539016632631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0.21036661551943059</v>
      </c>
      <c r="AW148" s="23">
        <f>EXP(-LN(2)/2)*AW147+(1-EXP(-LN(2)/2))/(LN(2)/2)*AQ148*AT148*VLOOKUP('Données projet'!$B$10,Paramètres!$A$1:$I$89,3,0)*0.475*44/12</f>
        <v>4.7664833068294638E-17</v>
      </c>
      <c r="AX148" s="23">
        <f t="shared" si="114"/>
        <v>0.21036661551943064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2.8080648917239162E-14</v>
      </c>
      <c r="BF148" s="14">
        <f t="shared" si="145"/>
        <v>4.8906278147460642E-13</v>
      </c>
      <c r="BG148" s="22">
        <f t="shared" si="115"/>
        <v>9.0069147459913104E-13</v>
      </c>
      <c r="BH148" s="62">
        <f t="shared" si="116"/>
        <v>293.33333333333422</v>
      </c>
      <c r="BI148" s="62">
        <f ca="1">AVERAGE(OFFSET($BH$3,0,0,'Données projet'!$E$11+1,1))-AVERAGE(OFFSET($H$3,0,0,'Données projet'!$E$11+1,1))</f>
        <v>113.38017445149029</v>
      </c>
      <c r="BJ148" s="62">
        <f t="shared" si="146"/>
        <v>108.36144594421921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293.33333333333519</v>
      </c>
      <c r="S149" s="62">
        <f ca="1">AVERAGE(OFFSET($R$3,0,0,'Données projet'!$E$9+1,1))-AVERAGE(OFFSET($H$3,0,0,'Données projet'!$E$9+1,1))</f>
        <v>313.92223852157559</v>
      </c>
      <c r="T149" s="62">
        <f t="shared" si="142"/>
        <v>394.03759949558702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0.4184333897293151</v>
      </c>
      <c r="AB149" s="23">
        <f>EXP(-LN(2)/2)*AB148+(1-EXP(-LN(2)/2))/(LN(2)/2)*V149*Y149*VLOOKUP('Données projet'!$B$9,Paramètres!$A$1:$I$89,3,0)*0.475*44/12</f>
        <v>1.1451295596047689E-17</v>
      </c>
      <c r="AC149" s="24">
        <f t="shared" si="111"/>
        <v>0.4184333897293151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-3.2514435588382188E-14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148.40707092284572</v>
      </c>
      <c r="AO149" s="62">
        <f t="shared" si="144"/>
        <v>162.45539016632631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0.20461412935535225</v>
      </c>
      <c r="AW149" s="23">
        <f>EXP(-LN(2)/2)*AW148+(1-EXP(-LN(2)/2))/(LN(2)/2)*AQ149*AT149*VLOOKUP('Données projet'!$B$10,Paramètres!$A$1:$I$89,3,0)*0.475*44/12</f>
        <v>3.3704126686715931E-17</v>
      </c>
      <c r="AX149" s="23">
        <f t="shared" si="114"/>
        <v>0.20461412935535228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2.8080648917239162E-14</v>
      </c>
      <c r="BF149" s="14">
        <f t="shared" si="145"/>
        <v>4.8906278147460642E-13</v>
      </c>
      <c r="BG149" s="22">
        <f t="shared" si="115"/>
        <v>9.0069147459913104E-13</v>
      </c>
      <c r="BH149" s="62">
        <f t="shared" si="116"/>
        <v>293.33333333333422</v>
      </c>
      <c r="BI149" s="62">
        <f ca="1">AVERAGE(OFFSET($BH$3,0,0,'Données projet'!$E$11+1,1))-AVERAGE(OFFSET($H$3,0,0,'Données projet'!$E$11+1,1))</f>
        <v>113.38017445149029</v>
      </c>
      <c r="BJ149" s="62">
        <f t="shared" si="146"/>
        <v>108.36144594421921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293.33333333333519</v>
      </c>
      <c r="S150" s="62">
        <f ca="1">AVERAGE(OFFSET($R$3,0,0,'Données projet'!$E$9+1,1))-AVERAGE(OFFSET($H$3,0,0,'Données projet'!$E$9+1,1))</f>
        <v>313.92223852157559</v>
      </c>
      <c r="T150" s="62">
        <f t="shared" si="142"/>
        <v>394.03759949558702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0.40699130668271133</v>
      </c>
      <c r="AB150" s="23">
        <f>EXP(-LN(2)/2)*AB149+(1-EXP(-LN(2)/2))/(LN(2)/2)*V150*Y150*VLOOKUP('Données projet'!$B$9,Paramètres!$A$1:$I$89,3,0)*0.475*44/12</f>
        <v>8.0972887693369681E-18</v>
      </c>
      <c r="AC150" s="24">
        <f t="shared" si="111"/>
        <v>0.40699130668271133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-3.2514435588382188E-14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148.40707092284572</v>
      </c>
      <c r="AO150" s="62">
        <f t="shared" si="144"/>
        <v>162.45539016632631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0.19901894522794072</v>
      </c>
      <c r="AW150" s="23">
        <f>EXP(-LN(2)/2)*AW149+(1-EXP(-LN(2)/2))/(LN(2)/2)*AQ150*AT150*VLOOKUP('Données projet'!$B$10,Paramètres!$A$1:$I$89,3,0)*0.475*44/12</f>
        <v>2.3832416534147319E-17</v>
      </c>
      <c r="AX150" s="23">
        <f t="shared" si="114"/>
        <v>0.19901894522794075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2.8080648917239162E-14</v>
      </c>
      <c r="BF150" s="14">
        <f t="shared" si="145"/>
        <v>4.8906278147460642E-13</v>
      </c>
      <c r="BG150" s="22">
        <f t="shared" si="115"/>
        <v>9.0069147459913104E-13</v>
      </c>
      <c r="BH150" s="62">
        <f t="shared" si="116"/>
        <v>293.33333333333422</v>
      </c>
      <c r="BI150" s="62">
        <f ca="1">AVERAGE(OFFSET($BH$3,0,0,'Données projet'!$E$11+1,1))-AVERAGE(OFFSET($H$3,0,0,'Données projet'!$E$11+1,1))</f>
        <v>113.38017445149029</v>
      </c>
      <c r="BJ150" s="62">
        <f t="shared" si="146"/>
        <v>108.36144594421921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293.33333333333519</v>
      </c>
      <c r="S151" s="62">
        <f ca="1">AVERAGE(OFFSET($R$3,0,0,'Données projet'!$E$9+1,1))-AVERAGE(OFFSET($H$3,0,0,'Données projet'!$E$9+1,1))</f>
        <v>313.92223852157559</v>
      </c>
      <c r="T151" s="62">
        <f t="shared" si="142"/>
        <v>394.03759949558702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0.39586210799872995</v>
      </c>
      <c r="AB151" s="23">
        <f>EXP(-LN(2)/2)*AB150+(1-EXP(-LN(2)/2))/(LN(2)/2)*V151*Y151*VLOOKUP('Données projet'!$B$9,Paramètres!$A$1:$I$89,3,0)*0.475*44/12</f>
        <v>5.7256477980238443E-18</v>
      </c>
      <c r="AC151" s="24">
        <f t="shared" si="111"/>
        <v>0.39586210799872995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-3.2514435588382188E-14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148.40707092284572</v>
      </c>
      <c r="AO151" s="62">
        <f t="shared" si="144"/>
        <v>162.45539016632631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0.19357676170473123</v>
      </c>
      <c r="AW151" s="23">
        <f>EXP(-LN(2)/2)*AW150+(1-EXP(-LN(2)/2))/(LN(2)/2)*AQ151*AT151*VLOOKUP('Données projet'!$B$10,Paramètres!$A$1:$I$89,3,0)*0.475*44/12</f>
        <v>1.6852063343357965E-17</v>
      </c>
      <c r="AX151" s="23">
        <f t="shared" si="114"/>
        <v>0.19357676170473126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2.8080648917239162E-14</v>
      </c>
      <c r="BF151" s="14">
        <f t="shared" si="145"/>
        <v>4.8906278147460642E-13</v>
      </c>
      <c r="BG151" s="22">
        <f t="shared" si="115"/>
        <v>9.0069147459913104E-13</v>
      </c>
      <c r="BH151" s="62">
        <f t="shared" si="116"/>
        <v>293.33333333333422</v>
      </c>
      <c r="BI151" s="62">
        <f ca="1">AVERAGE(OFFSET($BH$3,0,0,'Données projet'!$E$11+1,1))-AVERAGE(OFFSET($H$3,0,0,'Données projet'!$E$11+1,1))</f>
        <v>113.38017445149029</v>
      </c>
      <c r="BJ151" s="62">
        <f t="shared" si="146"/>
        <v>108.36144594421921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293.33333333333519</v>
      </c>
      <c r="S152" s="62">
        <f ca="1">AVERAGE(OFFSET($R$3,0,0,'Données projet'!$E$9+1,1))-AVERAGE(OFFSET($H$3,0,0,'Données projet'!$E$9+1,1))</f>
        <v>313.92223852157559</v>
      </c>
      <c r="T152" s="62">
        <f t="shared" si="142"/>
        <v>394.03759949558702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0.38503723783802118</v>
      </c>
      <c r="AB152" s="23">
        <f>EXP(-LN(2)/2)*AB151+(1-EXP(-LN(2)/2))/(LN(2)/2)*V152*Y152*VLOOKUP('Données projet'!$B$9,Paramètres!$A$1:$I$89,3,0)*0.475*44/12</f>
        <v>4.0486443846684841E-18</v>
      </c>
      <c r="AC152" s="24">
        <f t="shared" si="111"/>
        <v>0.38503723783802118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-3.2514435588382188E-14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148.40707092284572</v>
      </c>
      <c r="AO152" s="62">
        <f t="shared" si="144"/>
        <v>162.45539016632631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0.18828339497615587</v>
      </c>
      <c r="AW152" s="23">
        <f>EXP(-LN(2)/2)*AW151+(1-EXP(-LN(2)/2))/(LN(2)/2)*AQ152*AT152*VLOOKUP('Données projet'!$B$10,Paramètres!$A$1:$I$89,3,0)*0.475*44/12</f>
        <v>1.1916208267073659E-17</v>
      </c>
      <c r="AX152" s="23">
        <f t="shared" si="114"/>
        <v>0.18828339497615587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2.8080648917239162E-14</v>
      </c>
      <c r="BF152" s="14">
        <f t="shared" si="145"/>
        <v>4.8906278147460642E-13</v>
      </c>
      <c r="BG152" s="22">
        <f t="shared" si="115"/>
        <v>9.0069147459913104E-13</v>
      </c>
      <c r="BH152" s="62">
        <f t="shared" si="116"/>
        <v>293.33333333333422</v>
      </c>
      <c r="BI152" s="62">
        <f ca="1">AVERAGE(OFFSET($BH$3,0,0,'Données projet'!$E$11+1,1))-AVERAGE(OFFSET($H$3,0,0,'Données projet'!$E$11+1,1))</f>
        <v>113.38017445149029</v>
      </c>
      <c r="BJ152" s="62">
        <f t="shared" si="146"/>
        <v>108.36144594421921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293.33333333333519</v>
      </c>
      <c r="S153" s="62">
        <f ca="1">AVERAGE(OFFSET($R$3,0,0,'Données projet'!$E$9+1,1))-AVERAGE(OFFSET($H$3,0,0,'Données projet'!$E$9+1,1))</f>
        <v>313.92223852157559</v>
      </c>
      <c r="T153" s="62">
        <f t="shared" si="142"/>
        <v>394.03759949558702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0.37450837432111217</v>
      </c>
      <c r="AB153" s="23">
        <f>EXP(-LN(2)/2)*AB152+(1-EXP(-LN(2)/2))/(LN(2)/2)*V153*Y153*VLOOKUP('Données projet'!$B$9,Paramètres!$A$1:$I$89,3,0)*0.475*44/12</f>
        <v>2.8628238990119221E-18</v>
      </c>
      <c r="AC153" s="24">
        <f t="shared" si="111"/>
        <v>0.37450837432111217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-3.2514435588382188E-14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148.40707092284572</v>
      </c>
      <c r="AO153" s="62">
        <f t="shared" si="144"/>
        <v>162.45539016632631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0.18313477563913946</v>
      </c>
      <c r="AW153" s="23">
        <f>EXP(-LN(2)/2)*AW152+(1-EXP(-LN(2)/2))/(LN(2)/2)*AQ153*AT153*VLOOKUP('Données projet'!$B$10,Paramètres!$A$1:$I$89,3,0)*0.475*44/12</f>
        <v>8.4260316716789827E-18</v>
      </c>
      <c r="AX153" s="23">
        <f t="shared" si="114"/>
        <v>0.18313477563913946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2.8080648917239162E-14</v>
      </c>
      <c r="BF153" s="14">
        <f t="shared" si="145"/>
        <v>4.8906278147460642E-13</v>
      </c>
      <c r="BG153" s="22">
        <f t="shared" si="115"/>
        <v>9.0069147459913104E-13</v>
      </c>
      <c r="BH153" s="62">
        <f t="shared" si="116"/>
        <v>293.33333333333422</v>
      </c>
      <c r="BI153" s="62">
        <f ca="1">AVERAGE(OFFSET($BH$3,0,0,'Données projet'!$E$11+1,1))-AVERAGE(OFFSET($H$3,0,0,'Données projet'!$E$11+1,1))</f>
        <v>113.38017445149029</v>
      </c>
      <c r="BJ153" s="62">
        <f t="shared" si="146"/>
        <v>108.36144594421921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293.33333333333519</v>
      </c>
      <c r="S154" s="62">
        <f ca="1">AVERAGE(OFFSET($R$3,0,0,'Données projet'!$E$9+1,1))-AVERAGE(OFFSET($H$3,0,0,'Données projet'!$E$9+1,1))</f>
        <v>313.92223852157559</v>
      </c>
      <c r="T154" s="62">
        <f t="shared" si="142"/>
        <v>394.03759949558702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0.36426742313076188</v>
      </c>
      <c r="AB154" s="23">
        <f>EXP(-LN(2)/2)*AB153+(1-EXP(-LN(2)/2))/(LN(2)/2)*V154*Y154*VLOOKUP('Données projet'!$B$9,Paramètres!$A$1:$I$89,3,0)*0.475*44/12</f>
        <v>2.024322192334242E-18</v>
      </c>
      <c r="AC154" s="24">
        <f t="shared" ref="AC154:AC203" si="163">SUM(Z154:AB154)</f>
        <v>0.36426742313076188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-3.2514435588382188E-14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148.40707092284572</v>
      </c>
      <c r="AO154" s="62">
        <f t="shared" si="144"/>
        <v>162.45539016632631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0.17812694556864792</v>
      </c>
      <c r="AW154" s="23">
        <f>EXP(-LN(2)/2)*AW153+(1-EXP(-LN(2)/2))/(LN(2)/2)*AQ154*AT154*VLOOKUP('Données projet'!$B$10,Paramètres!$A$1:$I$89,3,0)*0.475*44/12</f>
        <v>5.9581041335368297E-18</v>
      </c>
      <c r="AX154" s="23">
        <f t="shared" ref="AX154:AX203" si="166">SUM(AU154:AW154)</f>
        <v>0.17812694556864792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2.8080648917239162E-14</v>
      </c>
      <c r="BF154" s="14">
        <f t="shared" ref="BF154:BF203" si="167">EXP(-1.0587+0.8836*LN(BE154)+0.284)</f>
        <v>4.8906278147460642E-13</v>
      </c>
      <c r="BG154" s="22">
        <f t="shared" ref="BG154:BG203" si="168">(BE154+BF154)*0.475*44/12</f>
        <v>9.0069147459913104E-13</v>
      </c>
      <c r="BH154" s="62">
        <f t="shared" si="116"/>
        <v>293.33333333333422</v>
      </c>
      <c r="BI154" s="62">
        <f ca="1">AVERAGE(OFFSET($BH$3,0,0,'Données projet'!$E$11+1,1))-AVERAGE(OFFSET($H$3,0,0,'Données projet'!$E$11+1,1))</f>
        <v>113.38017445149029</v>
      </c>
      <c r="BJ154" s="62">
        <f t="shared" si="146"/>
        <v>108.36144594421921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293.33333333333519</v>
      </c>
      <c r="S155" s="62">
        <f ca="1">AVERAGE(OFFSET($R$3,0,0,'Données projet'!$E$9+1,1))-AVERAGE(OFFSET($H$3,0,0,'Données projet'!$E$9+1,1))</f>
        <v>313.92223852157559</v>
      </c>
      <c r="T155" s="62">
        <f t="shared" si="142"/>
        <v>394.03759949558702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0.35430651128925994</v>
      </c>
      <c r="AB155" s="23">
        <f>EXP(-LN(2)/2)*AB154+(1-EXP(-LN(2)/2))/(LN(2)/2)*V155*Y155*VLOOKUP('Données projet'!$B$9,Paramètres!$A$1:$I$89,3,0)*0.475*44/12</f>
        <v>1.4314119495059611E-18</v>
      </c>
      <c r="AC155" s="24">
        <f t="shared" si="163"/>
        <v>0.35430651128925994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-3.2514435588382188E-14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148.40707092284572</v>
      </c>
      <c r="AO155" s="62">
        <f t="shared" si="144"/>
        <v>162.45539016632631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0.17325605487478429</v>
      </c>
      <c r="AW155" s="23">
        <f>EXP(-LN(2)/2)*AW154+(1-EXP(-LN(2)/2))/(LN(2)/2)*AQ155*AT155*VLOOKUP('Données projet'!$B$10,Paramètres!$A$1:$I$89,3,0)*0.475*44/12</f>
        <v>4.2130158358394914E-18</v>
      </c>
      <c r="AX155" s="23">
        <f t="shared" si="166"/>
        <v>0.17325605487478429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2.8080648917239162E-14</v>
      </c>
      <c r="BF155" s="14">
        <f t="shared" si="167"/>
        <v>4.8906278147460642E-13</v>
      </c>
      <c r="BG155" s="22">
        <f t="shared" si="168"/>
        <v>9.0069147459913104E-13</v>
      </c>
      <c r="BH155" s="62">
        <f t="shared" si="116"/>
        <v>293.33333333333422</v>
      </c>
      <c r="BI155" s="62">
        <f ca="1">AVERAGE(OFFSET($BH$3,0,0,'Données projet'!$E$11+1,1))-AVERAGE(OFFSET($H$3,0,0,'Données projet'!$E$11+1,1))</f>
        <v>113.38017445149029</v>
      </c>
      <c r="BJ155" s="62">
        <f t="shared" si="146"/>
        <v>108.36144594421921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293.33333333333519</v>
      </c>
      <c r="S156" s="62">
        <f ca="1">AVERAGE(OFFSET($R$3,0,0,'Données projet'!$E$9+1,1))-AVERAGE(OFFSET($H$3,0,0,'Données projet'!$E$9+1,1))</f>
        <v>313.92223852157559</v>
      </c>
      <c r="T156" s="62">
        <f t="shared" si="142"/>
        <v>394.03759949558702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0.34461798110588548</v>
      </c>
      <c r="AB156" s="23">
        <f>EXP(-LN(2)/2)*AB155+(1-EXP(-LN(2)/2))/(LN(2)/2)*V156*Y156*VLOOKUP('Données projet'!$B$9,Paramètres!$A$1:$I$89,3,0)*0.475*44/12</f>
        <v>1.012161096167121E-18</v>
      </c>
      <c r="AC156" s="24">
        <f t="shared" si="163"/>
        <v>0.34461798110588548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-3.2514435588382188E-14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148.40707092284572</v>
      </c>
      <c r="AO156" s="62">
        <f t="shared" si="144"/>
        <v>162.45539016632631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0.16851835894309336</v>
      </c>
      <c r="AW156" s="23">
        <f>EXP(-LN(2)/2)*AW155+(1-EXP(-LN(2)/2))/(LN(2)/2)*AQ156*AT156*VLOOKUP('Données projet'!$B$10,Paramètres!$A$1:$I$89,3,0)*0.475*44/12</f>
        <v>2.9790520667684149E-18</v>
      </c>
      <c r="AX156" s="23">
        <f t="shared" si="166"/>
        <v>0.16851835894309336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2.8080648917239162E-14</v>
      </c>
      <c r="BF156" s="14">
        <f t="shared" si="167"/>
        <v>4.8906278147460642E-13</v>
      </c>
      <c r="BG156" s="22">
        <f t="shared" si="168"/>
        <v>9.0069147459913104E-13</v>
      </c>
      <c r="BH156" s="62">
        <f t="shared" si="116"/>
        <v>293.33333333333422</v>
      </c>
      <c r="BI156" s="62">
        <f ca="1">AVERAGE(OFFSET($BH$3,0,0,'Données projet'!$E$11+1,1))-AVERAGE(OFFSET($H$3,0,0,'Données projet'!$E$11+1,1))</f>
        <v>113.38017445149029</v>
      </c>
      <c r="BJ156" s="62">
        <f t="shared" si="146"/>
        <v>108.36144594421921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293.33333333333519</v>
      </c>
      <c r="S157" s="62">
        <f ca="1">AVERAGE(OFFSET($R$3,0,0,'Données projet'!$E$9+1,1))-AVERAGE(OFFSET($H$3,0,0,'Données projet'!$E$9+1,1))</f>
        <v>313.92223852157559</v>
      </c>
      <c r="T157" s="62">
        <f t="shared" si="142"/>
        <v>394.03759949558702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0.33519438428987308</v>
      </c>
      <c r="AB157" s="23">
        <f>EXP(-LN(2)/2)*AB156+(1-EXP(-LN(2)/2))/(LN(2)/2)*V157*Y157*VLOOKUP('Données projet'!$B$9,Paramètres!$A$1:$I$89,3,0)*0.475*44/12</f>
        <v>7.1570597475298054E-19</v>
      </c>
      <c r="AC157" s="24">
        <f t="shared" si="163"/>
        <v>0.33519438428987308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-3.2514435588382188E-14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148.40707092284572</v>
      </c>
      <c r="AO157" s="62">
        <f t="shared" si="144"/>
        <v>162.45539016632631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0.16391021555579913</v>
      </c>
      <c r="AW157" s="23">
        <f>EXP(-LN(2)/2)*AW156+(1-EXP(-LN(2)/2))/(LN(2)/2)*AQ157*AT157*VLOOKUP('Données projet'!$B$10,Paramètres!$A$1:$I$89,3,0)*0.475*44/12</f>
        <v>2.1065079179197457E-18</v>
      </c>
      <c r="AX157" s="23">
        <f t="shared" si="166"/>
        <v>0.16391021555579913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2.8080648917239162E-14</v>
      </c>
      <c r="BF157" s="14">
        <f t="shared" si="167"/>
        <v>4.8906278147460642E-13</v>
      </c>
      <c r="BG157" s="22">
        <f t="shared" si="168"/>
        <v>9.0069147459913104E-13</v>
      </c>
      <c r="BH157" s="62">
        <f t="shared" si="116"/>
        <v>293.33333333333422</v>
      </c>
      <c r="BI157" s="62">
        <f ca="1">AVERAGE(OFFSET($BH$3,0,0,'Données projet'!$E$11+1,1))-AVERAGE(OFFSET($H$3,0,0,'Données projet'!$E$11+1,1))</f>
        <v>113.38017445149029</v>
      </c>
      <c r="BJ157" s="62">
        <f t="shared" si="146"/>
        <v>108.36144594421921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293.33333333333519</v>
      </c>
      <c r="S158" s="62">
        <f ca="1">AVERAGE(OFFSET($R$3,0,0,'Données projet'!$E$9+1,1))-AVERAGE(OFFSET($H$3,0,0,'Données projet'!$E$9+1,1))</f>
        <v>313.92223852157559</v>
      </c>
      <c r="T158" s="62">
        <f t="shared" si="142"/>
        <v>394.03759949558702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0.32602847622435993</v>
      </c>
      <c r="AB158" s="23">
        <f>EXP(-LN(2)/2)*AB157+(1-EXP(-LN(2)/2))/(LN(2)/2)*V158*Y158*VLOOKUP('Données projet'!$B$9,Paramètres!$A$1:$I$89,3,0)*0.475*44/12</f>
        <v>5.0608054808356051E-19</v>
      </c>
      <c r="AC158" s="24">
        <f t="shared" si="163"/>
        <v>0.32602847622435993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-3.2514435588382188E-14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148.40707092284572</v>
      </c>
      <c r="AO158" s="62">
        <f t="shared" si="144"/>
        <v>162.45539016632631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0.15942808209176218</v>
      </c>
      <c r="AW158" s="23">
        <f>EXP(-LN(2)/2)*AW157+(1-EXP(-LN(2)/2))/(LN(2)/2)*AQ158*AT158*VLOOKUP('Données projet'!$B$10,Paramètres!$A$1:$I$89,3,0)*0.475*44/12</f>
        <v>1.4895260333842074E-18</v>
      </c>
      <c r="AX158" s="23">
        <f t="shared" si="166"/>
        <v>0.15942808209176218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2.8080648917239162E-14</v>
      </c>
      <c r="BF158" s="14">
        <f t="shared" si="167"/>
        <v>4.8906278147460642E-13</v>
      </c>
      <c r="BG158" s="22">
        <f t="shared" si="168"/>
        <v>9.0069147459913104E-13</v>
      </c>
      <c r="BH158" s="62">
        <f t="shared" si="116"/>
        <v>293.33333333333422</v>
      </c>
      <c r="BI158" s="62">
        <f ca="1">AVERAGE(OFFSET($BH$3,0,0,'Données projet'!$E$11+1,1))-AVERAGE(OFFSET($H$3,0,0,'Données projet'!$E$11+1,1))</f>
        <v>113.38017445149029</v>
      </c>
      <c r="BJ158" s="62">
        <f t="shared" si="146"/>
        <v>108.36144594421921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293.33333333333519</v>
      </c>
      <c r="S159" s="62">
        <f ca="1">AVERAGE(OFFSET($R$3,0,0,'Données projet'!$E$9+1,1))-AVERAGE(OFFSET($H$3,0,0,'Données projet'!$E$9+1,1))</f>
        <v>313.92223852157559</v>
      </c>
      <c r="T159" s="62">
        <f t="shared" si="142"/>
        <v>394.03759949558702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0.31711321039691237</v>
      </c>
      <c r="AB159" s="23">
        <f>EXP(-LN(2)/2)*AB158+(1-EXP(-LN(2)/2))/(LN(2)/2)*V159*Y159*VLOOKUP('Données projet'!$B$9,Paramètres!$A$1:$I$89,3,0)*0.475*44/12</f>
        <v>3.5785298737649027E-19</v>
      </c>
      <c r="AC159" s="24">
        <f t="shared" si="163"/>
        <v>0.31711321039691237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-3.2514435588382188E-14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148.40707092284572</v>
      </c>
      <c r="AO159" s="62">
        <f t="shared" si="144"/>
        <v>162.45539016632631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0.15506851280300449</v>
      </c>
      <c r="AW159" s="23">
        <f>EXP(-LN(2)/2)*AW158+(1-EXP(-LN(2)/2))/(LN(2)/2)*AQ159*AT159*VLOOKUP('Données projet'!$B$10,Paramètres!$A$1:$I$89,3,0)*0.475*44/12</f>
        <v>1.0532539589598728E-18</v>
      </c>
      <c r="AX159" s="23">
        <f t="shared" si="166"/>
        <v>0.15506851280300449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2.8080648917239162E-14</v>
      </c>
      <c r="BF159" s="14">
        <f t="shared" si="167"/>
        <v>4.8906278147460642E-13</v>
      </c>
      <c r="BG159" s="22">
        <f t="shared" si="168"/>
        <v>9.0069147459913104E-13</v>
      </c>
      <c r="BH159" s="62">
        <f t="shared" si="116"/>
        <v>293.33333333333422</v>
      </c>
      <c r="BI159" s="62">
        <f ca="1">AVERAGE(OFFSET($BH$3,0,0,'Données projet'!$E$11+1,1))-AVERAGE(OFFSET($H$3,0,0,'Données projet'!$E$11+1,1))</f>
        <v>113.38017445149029</v>
      </c>
      <c r="BJ159" s="62">
        <f t="shared" si="146"/>
        <v>108.36144594421921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293.33333333333519</v>
      </c>
      <c r="S160" s="62">
        <f ca="1">AVERAGE(OFFSET($R$3,0,0,'Données projet'!$E$9+1,1))-AVERAGE(OFFSET($H$3,0,0,'Données projet'!$E$9+1,1))</f>
        <v>313.92223852157559</v>
      </c>
      <c r="T160" s="62">
        <f t="shared" si="142"/>
        <v>394.03759949558702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0.30844173298234984</v>
      </c>
      <c r="AB160" s="23">
        <f>EXP(-LN(2)/2)*AB159+(1-EXP(-LN(2)/2))/(LN(2)/2)*V160*Y160*VLOOKUP('Données projet'!$B$9,Paramètres!$A$1:$I$89,3,0)*0.475*44/12</f>
        <v>2.5304027404178025E-19</v>
      </c>
      <c r="AC160" s="24">
        <f t="shared" si="163"/>
        <v>0.30844173298234984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-3.2514435588382188E-14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148.40707092284572</v>
      </c>
      <c r="AO160" s="62">
        <f t="shared" si="144"/>
        <v>162.45539016632631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0.15082815616570766</v>
      </c>
      <c r="AW160" s="23">
        <f>EXP(-LN(2)/2)*AW159+(1-EXP(-LN(2)/2))/(LN(2)/2)*AQ160*AT160*VLOOKUP('Données projet'!$B$10,Paramètres!$A$1:$I$89,3,0)*0.475*44/12</f>
        <v>7.4476301669210371E-19</v>
      </c>
      <c r="AX160" s="23">
        <f t="shared" si="166"/>
        <v>0.15082815616570766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2.8080648917239162E-14</v>
      </c>
      <c r="BF160" s="14">
        <f t="shared" si="167"/>
        <v>4.8906278147460642E-13</v>
      </c>
      <c r="BG160" s="22">
        <f t="shared" si="168"/>
        <v>9.0069147459913104E-13</v>
      </c>
      <c r="BH160" s="62">
        <f t="shared" si="116"/>
        <v>293.33333333333422</v>
      </c>
      <c r="BI160" s="62">
        <f ca="1">AVERAGE(OFFSET($BH$3,0,0,'Données projet'!$E$11+1,1))-AVERAGE(OFFSET($H$3,0,0,'Données projet'!$E$11+1,1))</f>
        <v>113.38017445149029</v>
      </c>
      <c r="BJ160" s="62">
        <f t="shared" si="146"/>
        <v>108.36144594421921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293.33333333333519</v>
      </c>
      <c r="S161" s="62">
        <f ca="1">AVERAGE(OFFSET($R$3,0,0,'Données projet'!$E$9+1,1))-AVERAGE(OFFSET($H$3,0,0,'Données projet'!$E$9+1,1))</f>
        <v>313.92223852157559</v>
      </c>
      <c r="T161" s="62">
        <f t="shared" si="142"/>
        <v>394.03759949558702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0.30000737757370172</v>
      </c>
      <c r="AB161" s="23">
        <f>EXP(-LN(2)/2)*AB160+(1-EXP(-LN(2)/2))/(LN(2)/2)*V161*Y161*VLOOKUP('Données projet'!$B$9,Paramètres!$A$1:$I$89,3,0)*0.475*44/12</f>
        <v>1.7892649368824513E-19</v>
      </c>
      <c r="AC161" s="24">
        <f t="shared" si="163"/>
        <v>0.30000737757370172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-3.2514435588382188E-14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148.40707092284572</v>
      </c>
      <c r="AO161" s="62">
        <f t="shared" si="144"/>
        <v>162.45539016632631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0.14670375230364838</v>
      </c>
      <c r="AW161" s="23">
        <f>EXP(-LN(2)/2)*AW160+(1-EXP(-LN(2)/2))/(LN(2)/2)*AQ161*AT161*VLOOKUP('Données projet'!$B$10,Paramètres!$A$1:$I$89,3,0)*0.475*44/12</f>
        <v>5.2662697947993642E-19</v>
      </c>
      <c r="AX161" s="23">
        <f t="shared" si="166"/>
        <v>0.14670375230364838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2.8080648917239162E-14</v>
      </c>
      <c r="BF161" s="14">
        <f t="shared" si="167"/>
        <v>4.8906278147460642E-13</v>
      </c>
      <c r="BG161" s="22">
        <f t="shared" si="168"/>
        <v>9.0069147459913104E-13</v>
      </c>
      <c r="BH161" s="62">
        <f t="shared" si="116"/>
        <v>293.33333333333422</v>
      </c>
      <c r="BI161" s="62">
        <f ca="1">AVERAGE(OFFSET($BH$3,0,0,'Données projet'!$E$11+1,1))-AVERAGE(OFFSET($H$3,0,0,'Données projet'!$E$11+1,1))</f>
        <v>113.38017445149029</v>
      </c>
      <c r="BJ161" s="62">
        <f t="shared" si="146"/>
        <v>108.36144594421921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293.33333333333519</v>
      </c>
      <c r="S162" s="62">
        <f ca="1">AVERAGE(OFFSET($R$3,0,0,'Données projet'!$E$9+1,1))-AVERAGE(OFFSET($H$3,0,0,'Données projet'!$E$9+1,1))</f>
        <v>313.92223852157559</v>
      </c>
      <c r="T162" s="62">
        <f t="shared" si="142"/>
        <v>394.03759949558702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0.29180366005724651</v>
      </c>
      <c r="AB162" s="23">
        <f>EXP(-LN(2)/2)*AB161+(1-EXP(-LN(2)/2))/(LN(2)/2)*V162*Y162*VLOOKUP('Données projet'!$B$9,Paramètres!$A$1:$I$89,3,0)*0.475*44/12</f>
        <v>1.2652013702089013E-19</v>
      </c>
      <c r="AC162" s="24">
        <f t="shared" si="163"/>
        <v>0.29180366005724651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-3.2514435588382188E-14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148.40707092284572</v>
      </c>
      <c r="AO162" s="62">
        <f t="shared" si="144"/>
        <v>162.45539016632631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0.14269213048209006</v>
      </c>
      <c r="AW162" s="23">
        <f>EXP(-LN(2)/2)*AW161+(1-EXP(-LN(2)/2))/(LN(2)/2)*AQ162*AT162*VLOOKUP('Données projet'!$B$10,Paramètres!$A$1:$I$89,3,0)*0.475*44/12</f>
        <v>3.7238150834605186E-19</v>
      </c>
      <c r="AX162" s="23">
        <f t="shared" si="166"/>
        <v>0.14269213048209006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2.8080648917239162E-14</v>
      </c>
      <c r="BF162" s="14">
        <f t="shared" si="167"/>
        <v>4.8906278147460642E-13</v>
      </c>
      <c r="BG162" s="22">
        <f t="shared" si="168"/>
        <v>9.0069147459913104E-13</v>
      </c>
      <c r="BH162" s="62">
        <f t="shared" si="116"/>
        <v>293.33333333333422</v>
      </c>
      <c r="BI162" s="62">
        <f ca="1">AVERAGE(OFFSET($BH$3,0,0,'Données projet'!$E$11+1,1))-AVERAGE(OFFSET($H$3,0,0,'Données projet'!$E$11+1,1))</f>
        <v>113.38017445149029</v>
      </c>
      <c r="BJ162" s="62">
        <f t="shared" si="146"/>
        <v>108.36144594421921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293.33333333333519</v>
      </c>
      <c r="S163" s="62">
        <f ca="1">AVERAGE(OFFSET($R$3,0,0,'Données projet'!$E$9+1,1))-AVERAGE(OFFSET($H$3,0,0,'Données projet'!$E$9+1,1))</f>
        <v>313.92223852157559</v>
      </c>
      <c r="T163" s="62">
        <f t="shared" si="142"/>
        <v>394.03759949558702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0.28382427362769352</v>
      </c>
      <c r="AB163" s="23">
        <f>EXP(-LN(2)/2)*AB162+(1-EXP(-LN(2)/2))/(LN(2)/2)*V163*Y163*VLOOKUP('Données projet'!$B$9,Paramètres!$A$1:$I$89,3,0)*0.475*44/12</f>
        <v>8.9463246844122567E-20</v>
      </c>
      <c r="AC163" s="24">
        <f t="shared" si="163"/>
        <v>0.28382427362769352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-3.2514435588382188E-14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148.40707092284572</v>
      </c>
      <c r="AO163" s="62">
        <f t="shared" si="144"/>
        <v>162.45539016632631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0.13879020667020431</v>
      </c>
      <c r="AW163" s="23">
        <f>EXP(-LN(2)/2)*AW162+(1-EXP(-LN(2)/2))/(LN(2)/2)*AQ163*AT163*VLOOKUP('Données projet'!$B$10,Paramètres!$A$1:$I$89,3,0)*0.475*44/12</f>
        <v>2.6331348973996821E-19</v>
      </c>
      <c r="AX163" s="23">
        <f t="shared" si="166"/>
        <v>0.13879020667020431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2.8080648917239162E-14</v>
      </c>
      <c r="BF163" s="14">
        <f t="shared" si="167"/>
        <v>4.8906278147460642E-13</v>
      </c>
      <c r="BG163" s="22">
        <f t="shared" si="168"/>
        <v>9.0069147459913104E-13</v>
      </c>
      <c r="BH163" s="62">
        <f t="shared" si="116"/>
        <v>293.33333333333422</v>
      </c>
      <c r="BI163" s="62">
        <f ca="1">AVERAGE(OFFSET($BH$3,0,0,'Données projet'!$E$11+1,1))-AVERAGE(OFFSET($H$3,0,0,'Données projet'!$E$11+1,1))</f>
        <v>113.38017445149029</v>
      </c>
      <c r="BJ163" s="62">
        <f t="shared" si="146"/>
        <v>108.36144594421921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293.33333333333519</v>
      </c>
      <c r="S164" s="62">
        <f ca="1">AVERAGE(OFFSET($R$3,0,0,'Données projet'!$E$9+1,1))-AVERAGE(OFFSET($H$3,0,0,'Données projet'!$E$9+1,1))</f>
        <v>313.92223852157559</v>
      </c>
      <c r="T164" s="62">
        <f t="shared" si="142"/>
        <v>394.03759949558702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0.27606308393967438</v>
      </c>
      <c r="AB164" s="23">
        <f>EXP(-LN(2)/2)*AB163+(1-EXP(-LN(2)/2))/(LN(2)/2)*V164*Y164*VLOOKUP('Données projet'!$B$9,Paramètres!$A$1:$I$89,3,0)*0.475*44/12</f>
        <v>6.3260068510445063E-20</v>
      </c>
      <c r="AC164" s="24">
        <f t="shared" si="163"/>
        <v>0.27606308393967438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-3.2514435588382188E-14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148.40707092284572</v>
      </c>
      <c r="AO164" s="62">
        <f t="shared" si="144"/>
        <v>162.45539016632631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0.1349949811701478</v>
      </c>
      <c r="AW164" s="23">
        <f>EXP(-LN(2)/2)*AW163+(1-EXP(-LN(2)/2))/(LN(2)/2)*AQ164*AT164*VLOOKUP('Données projet'!$B$10,Paramètres!$A$1:$I$89,3,0)*0.475*44/12</f>
        <v>1.8619075417302593E-19</v>
      </c>
      <c r="AX164" s="23">
        <f t="shared" si="166"/>
        <v>0.1349949811701478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2.8080648917239162E-14</v>
      </c>
      <c r="BF164" s="14">
        <f t="shared" si="167"/>
        <v>4.8906278147460642E-13</v>
      </c>
      <c r="BG164" s="22">
        <f t="shared" si="168"/>
        <v>9.0069147459913104E-13</v>
      </c>
      <c r="BH164" s="62">
        <f t="shared" si="116"/>
        <v>293.33333333333422</v>
      </c>
      <c r="BI164" s="62">
        <f ca="1">AVERAGE(OFFSET($BH$3,0,0,'Données projet'!$E$11+1,1))-AVERAGE(OFFSET($H$3,0,0,'Données projet'!$E$11+1,1))</f>
        <v>113.38017445149029</v>
      </c>
      <c r="BJ164" s="62">
        <f t="shared" si="146"/>
        <v>108.36144594421921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293.33333333333519</v>
      </c>
      <c r="S165" s="62">
        <f ca="1">AVERAGE(OFFSET($R$3,0,0,'Données projet'!$E$9+1,1))-AVERAGE(OFFSET($H$3,0,0,'Données projet'!$E$9+1,1))</f>
        <v>313.92223852157559</v>
      </c>
      <c r="T165" s="62">
        <f t="shared" si="142"/>
        <v>394.03759949558702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0.26851412439181738</v>
      </c>
      <c r="AB165" s="23">
        <f>EXP(-LN(2)/2)*AB164+(1-EXP(-LN(2)/2))/(LN(2)/2)*V165*Y165*VLOOKUP('Données projet'!$B$9,Paramètres!$A$1:$I$89,3,0)*0.475*44/12</f>
        <v>4.4731623422061284E-20</v>
      </c>
      <c r="AC165" s="24">
        <f t="shared" si="163"/>
        <v>0.26851412439181738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-3.2514435588382188E-14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148.40707092284572</v>
      </c>
      <c r="AO165" s="62">
        <f t="shared" si="144"/>
        <v>162.45539016632631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0.13130353631097258</v>
      </c>
      <c r="AW165" s="23">
        <f>EXP(-LN(2)/2)*AW164+(1-EXP(-LN(2)/2))/(LN(2)/2)*AQ165*AT165*VLOOKUP('Données projet'!$B$10,Paramètres!$A$1:$I$89,3,0)*0.475*44/12</f>
        <v>1.316567448699841E-19</v>
      </c>
      <c r="AX165" s="23">
        <f t="shared" si="166"/>
        <v>0.13130353631097258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2.8080648917239162E-14</v>
      </c>
      <c r="BF165" s="14">
        <f t="shared" si="167"/>
        <v>4.8906278147460642E-13</v>
      </c>
      <c r="BG165" s="22">
        <f t="shared" si="168"/>
        <v>9.0069147459913104E-13</v>
      </c>
      <c r="BH165" s="62">
        <f t="shared" si="116"/>
        <v>293.33333333333422</v>
      </c>
      <c r="BI165" s="62">
        <f ca="1">AVERAGE(OFFSET($BH$3,0,0,'Données projet'!$E$11+1,1))-AVERAGE(OFFSET($H$3,0,0,'Données projet'!$E$11+1,1))</f>
        <v>113.38017445149029</v>
      </c>
      <c r="BJ165" s="62">
        <f t="shared" si="146"/>
        <v>108.36144594421921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293.33333333333519</v>
      </c>
      <c r="S166" s="62">
        <f ca="1">AVERAGE(OFFSET($R$3,0,0,'Données projet'!$E$9+1,1))-AVERAGE(OFFSET($H$3,0,0,'Données projet'!$E$9+1,1))</f>
        <v>313.92223852157559</v>
      </c>
      <c r="T166" s="62">
        <f t="shared" si="142"/>
        <v>394.03759949558702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0.26117159153977904</v>
      </c>
      <c r="AB166" s="23">
        <f>EXP(-LN(2)/2)*AB165+(1-EXP(-LN(2)/2))/(LN(2)/2)*V166*Y166*VLOOKUP('Données projet'!$B$9,Paramètres!$A$1:$I$89,3,0)*0.475*44/12</f>
        <v>3.1630034255222532E-20</v>
      </c>
      <c r="AC166" s="24">
        <f t="shared" si="163"/>
        <v>0.26117159153977904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-3.2514435588382188E-14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148.40707092284572</v>
      </c>
      <c r="AO166" s="62">
        <f t="shared" si="144"/>
        <v>162.45539016632631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0.12771303420559615</v>
      </c>
      <c r="AW166" s="23">
        <f>EXP(-LN(2)/2)*AW165+(1-EXP(-LN(2)/2))/(LN(2)/2)*AQ166*AT166*VLOOKUP('Données projet'!$B$10,Paramètres!$A$1:$I$89,3,0)*0.475*44/12</f>
        <v>9.3095377086512964E-20</v>
      </c>
      <c r="AX166" s="23">
        <f t="shared" si="166"/>
        <v>0.12771303420559615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2.8080648917239162E-14</v>
      </c>
      <c r="BF166" s="14">
        <f t="shared" si="167"/>
        <v>4.8906278147460642E-13</v>
      </c>
      <c r="BG166" s="22">
        <f t="shared" si="168"/>
        <v>9.0069147459913104E-13</v>
      </c>
      <c r="BH166" s="62">
        <f t="shared" si="116"/>
        <v>293.33333333333422</v>
      </c>
      <c r="BI166" s="62">
        <f ca="1">AVERAGE(OFFSET($BH$3,0,0,'Données projet'!$E$11+1,1))-AVERAGE(OFFSET($H$3,0,0,'Données projet'!$E$11+1,1))</f>
        <v>113.38017445149029</v>
      </c>
      <c r="BJ166" s="62">
        <f t="shared" si="146"/>
        <v>108.36144594421921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293.33333333333519</v>
      </c>
      <c r="S167" s="62">
        <f ca="1">AVERAGE(OFFSET($R$3,0,0,'Données projet'!$E$9+1,1))-AVERAGE(OFFSET($H$3,0,0,'Données projet'!$E$9+1,1))</f>
        <v>313.92223852157559</v>
      </c>
      <c r="T167" s="62">
        <f t="shared" si="142"/>
        <v>394.03759949558702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0.25402984063470668</v>
      </c>
      <c r="AB167" s="23">
        <f>EXP(-LN(2)/2)*AB166+(1-EXP(-LN(2)/2))/(LN(2)/2)*V167*Y167*VLOOKUP('Données projet'!$B$9,Paramètres!$A$1:$I$89,3,0)*0.475*44/12</f>
        <v>2.2365811711030642E-20</v>
      </c>
      <c r="AC167" s="24">
        <f t="shared" si="163"/>
        <v>0.25402984063470668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-3.2514435588382188E-14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148.40707092284572</v>
      </c>
      <c r="AO167" s="62">
        <f t="shared" si="144"/>
        <v>162.45539016632631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0.12422071456910755</v>
      </c>
      <c r="AW167" s="23">
        <f>EXP(-LN(2)/2)*AW166+(1-EXP(-LN(2)/2))/(LN(2)/2)*AQ167*AT167*VLOOKUP('Données projet'!$B$10,Paramètres!$A$1:$I$89,3,0)*0.475*44/12</f>
        <v>6.5828372434992052E-20</v>
      </c>
      <c r="AX167" s="23">
        <f t="shared" si="166"/>
        <v>0.12422071456910755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2.8080648917239162E-14</v>
      </c>
      <c r="BF167" s="14">
        <f t="shared" si="167"/>
        <v>4.8906278147460642E-13</v>
      </c>
      <c r="BG167" s="22">
        <f t="shared" si="168"/>
        <v>9.0069147459913104E-13</v>
      </c>
      <c r="BH167" s="62">
        <f t="shared" si="116"/>
        <v>293.33333333333422</v>
      </c>
      <c r="BI167" s="62">
        <f ca="1">AVERAGE(OFFSET($BH$3,0,0,'Données projet'!$E$11+1,1))-AVERAGE(OFFSET($H$3,0,0,'Données projet'!$E$11+1,1))</f>
        <v>113.38017445149029</v>
      </c>
      <c r="BJ167" s="62">
        <f t="shared" si="146"/>
        <v>108.36144594421921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293.33333333333519</v>
      </c>
      <c r="S168" s="62">
        <f ca="1">AVERAGE(OFFSET($R$3,0,0,'Données projet'!$E$9+1,1))-AVERAGE(OFFSET($H$3,0,0,'Données projet'!$E$9+1,1))</f>
        <v>313.92223852157559</v>
      </c>
      <c r="T168" s="62">
        <f t="shared" si="142"/>
        <v>394.03759949558702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0.24708338128370191</v>
      </c>
      <c r="AB168" s="23">
        <f>EXP(-LN(2)/2)*AB167+(1-EXP(-LN(2)/2))/(LN(2)/2)*V168*Y168*VLOOKUP('Données projet'!$B$9,Paramètres!$A$1:$I$89,3,0)*0.475*44/12</f>
        <v>1.5815017127611266E-20</v>
      </c>
      <c r="AC168" s="24">
        <f t="shared" si="163"/>
        <v>0.24708338128370191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-3.2514435588382188E-14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148.40707092284572</v>
      </c>
      <c r="AO168" s="62">
        <f t="shared" si="144"/>
        <v>162.45539016632631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0.12082389259673183</v>
      </c>
      <c r="AW168" s="23">
        <f>EXP(-LN(2)/2)*AW167+(1-EXP(-LN(2)/2))/(LN(2)/2)*AQ168*AT168*VLOOKUP('Données projet'!$B$10,Paramètres!$A$1:$I$89,3,0)*0.475*44/12</f>
        <v>4.6547688543256482E-20</v>
      </c>
      <c r="AX168" s="23">
        <f t="shared" si="166"/>
        <v>0.12082389259673183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2.8080648917239162E-14</v>
      </c>
      <c r="BF168" s="14">
        <f t="shared" si="167"/>
        <v>4.8906278147460642E-13</v>
      </c>
      <c r="BG168" s="22">
        <f t="shared" si="168"/>
        <v>9.0069147459913104E-13</v>
      </c>
      <c r="BH168" s="62">
        <f t="shared" si="116"/>
        <v>293.33333333333422</v>
      </c>
      <c r="BI168" s="62">
        <f ca="1">AVERAGE(OFFSET($BH$3,0,0,'Données projet'!$E$11+1,1))-AVERAGE(OFFSET($H$3,0,0,'Données projet'!$E$11+1,1))</f>
        <v>113.38017445149029</v>
      </c>
      <c r="BJ168" s="62">
        <f t="shared" si="146"/>
        <v>108.36144594421921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293.33333333333519</v>
      </c>
      <c r="S169" s="62">
        <f ca="1">AVERAGE(OFFSET($R$3,0,0,'Données projet'!$E$9+1,1))-AVERAGE(OFFSET($H$3,0,0,'Données projet'!$E$9+1,1))</f>
        <v>313.92223852157559</v>
      </c>
      <c r="T169" s="62">
        <f t="shared" si="142"/>
        <v>394.03759949558702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0.24032687322894877</v>
      </c>
      <c r="AB169" s="23">
        <f>EXP(-LN(2)/2)*AB168+(1-EXP(-LN(2)/2))/(LN(2)/2)*V169*Y169*VLOOKUP('Données projet'!$B$9,Paramètres!$A$1:$I$89,3,0)*0.475*44/12</f>
        <v>1.1182905855515321E-20</v>
      </c>
      <c r="AC169" s="24">
        <f t="shared" si="163"/>
        <v>0.24032687322894877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-3.2514435588382188E-14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148.40707092284572</v>
      </c>
      <c r="AO169" s="62">
        <f t="shared" si="144"/>
        <v>162.45539016632631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0.11751995689982184</v>
      </c>
      <c r="AW169" s="23">
        <f>EXP(-LN(2)/2)*AW168+(1-EXP(-LN(2)/2))/(LN(2)/2)*AQ169*AT169*VLOOKUP('Données projet'!$B$10,Paramètres!$A$1:$I$89,3,0)*0.475*44/12</f>
        <v>3.2914186217496026E-20</v>
      </c>
      <c r="AX169" s="23">
        <f t="shared" si="166"/>
        <v>0.11751995689982184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2.8080648917239162E-14</v>
      </c>
      <c r="BF169" s="14">
        <f t="shared" si="167"/>
        <v>4.8906278147460642E-13</v>
      </c>
      <c r="BG169" s="22">
        <f t="shared" si="168"/>
        <v>9.0069147459913104E-13</v>
      </c>
      <c r="BH169" s="62">
        <f t="shared" si="116"/>
        <v>293.33333333333422</v>
      </c>
      <c r="BI169" s="62">
        <f ca="1">AVERAGE(OFFSET($BH$3,0,0,'Données projet'!$E$11+1,1))-AVERAGE(OFFSET($H$3,0,0,'Données projet'!$E$11+1,1))</f>
        <v>113.38017445149029</v>
      </c>
      <c r="BJ169" s="62">
        <f t="shared" si="146"/>
        <v>108.36144594421921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293.33333333333519</v>
      </c>
      <c r="S170" s="62">
        <f ca="1">AVERAGE(OFFSET($R$3,0,0,'Données projet'!$E$9+1,1))-AVERAGE(OFFSET($H$3,0,0,'Données projet'!$E$9+1,1))</f>
        <v>313.92223852157559</v>
      </c>
      <c r="T170" s="62">
        <f t="shared" si="142"/>
        <v>394.03759949558702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0.23375512224226219</v>
      </c>
      <c r="AB170" s="23">
        <f>EXP(-LN(2)/2)*AB169+(1-EXP(-LN(2)/2))/(LN(2)/2)*V170*Y170*VLOOKUP('Données projet'!$B$9,Paramètres!$A$1:$I$89,3,0)*0.475*44/12</f>
        <v>7.9075085638056329E-21</v>
      </c>
      <c r="AC170" s="24">
        <f t="shared" si="163"/>
        <v>0.23375512224226219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-3.2514435588382188E-14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148.40707092284572</v>
      </c>
      <c r="AO170" s="62">
        <f t="shared" si="144"/>
        <v>162.45539016632631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0.11430636749829028</v>
      </c>
      <c r="AW170" s="23">
        <f>EXP(-LN(2)/2)*AW169+(1-EXP(-LN(2)/2))/(LN(2)/2)*AQ170*AT170*VLOOKUP('Données projet'!$B$10,Paramètres!$A$1:$I$89,3,0)*0.475*44/12</f>
        <v>2.3273844271628241E-20</v>
      </c>
      <c r="AX170" s="23">
        <f t="shared" si="166"/>
        <v>0.11430636749829028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2.8080648917239162E-14</v>
      </c>
      <c r="BF170" s="14">
        <f t="shared" si="167"/>
        <v>4.8906278147460642E-13</v>
      </c>
      <c r="BG170" s="22">
        <f t="shared" si="168"/>
        <v>9.0069147459913104E-13</v>
      </c>
      <c r="BH170" s="62">
        <f t="shared" si="116"/>
        <v>293.33333333333422</v>
      </c>
      <c r="BI170" s="62">
        <f ca="1">AVERAGE(OFFSET($BH$3,0,0,'Données projet'!$E$11+1,1))-AVERAGE(OFFSET($H$3,0,0,'Données projet'!$E$11+1,1))</f>
        <v>113.38017445149029</v>
      </c>
      <c r="BJ170" s="62">
        <f t="shared" si="146"/>
        <v>108.36144594421921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293.33333333333519</v>
      </c>
      <c r="S171" s="62">
        <f ca="1">AVERAGE(OFFSET($R$3,0,0,'Données projet'!$E$9+1,1))-AVERAGE(OFFSET($H$3,0,0,'Données projet'!$E$9+1,1))</f>
        <v>313.92223852157559</v>
      </c>
      <c r="T171" s="62">
        <f t="shared" si="142"/>
        <v>394.03759949558702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0.2273630761318999</v>
      </c>
      <c r="AB171" s="23">
        <f>EXP(-LN(2)/2)*AB170+(1-EXP(-LN(2)/2))/(LN(2)/2)*V171*Y171*VLOOKUP('Données projet'!$B$9,Paramètres!$A$1:$I$89,3,0)*0.475*44/12</f>
        <v>5.5914529277576604E-21</v>
      </c>
      <c r="AC171" s="24">
        <f t="shared" si="163"/>
        <v>0.2273630761318999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-3.2514435588382188E-14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148.40707092284572</v>
      </c>
      <c r="AO171" s="62">
        <f t="shared" si="144"/>
        <v>162.45539016632631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0.11118065386793891</v>
      </c>
      <c r="AW171" s="23">
        <f>EXP(-LN(2)/2)*AW170+(1-EXP(-LN(2)/2))/(LN(2)/2)*AQ171*AT171*VLOOKUP('Données projet'!$B$10,Paramètres!$A$1:$I$89,3,0)*0.475*44/12</f>
        <v>1.6457093108748013E-20</v>
      </c>
      <c r="AX171" s="23">
        <f t="shared" si="166"/>
        <v>0.11118065386793891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2.8080648917239162E-14</v>
      </c>
      <c r="BF171" s="14">
        <f t="shared" si="167"/>
        <v>4.8906278147460642E-13</v>
      </c>
      <c r="BG171" s="22">
        <f t="shared" si="168"/>
        <v>9.0069147459913104E-13</v>
      </c>
      <c r="BH171" s="62">
        <f t="shared" si="116"/>
        <v>293.33333333333422</v>
      </c>
      <c r="BI171" s="62">
        <f ca="1">AVERAGE(OFFSET($BH$3,0,0,'Données projet'!$E$11+1,1))-AVERAGE(OFFSET($H$3,0,0,'Données projet'!$E$11+1,1))</f>
        <v>113.38017445149029</v>
      </c>
      <c r="BJ171" s="62">
        <f t="shared" si="146"/>
        <v>108.36144594421921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293.33333333333519</v>
      </c>
      <c r="S172" s="62">
        <f ca="1">AVERAGE(OFFSET($R$3,0,0,'Données projet'!$E$9+1,1))-AVERAGE(OFFSET($H$3,0,0,'Données projet'!$E$9+1,1))</f>
        <v>313.92223852157559</v>
      </c>
      <c r="T172" s="62">
        <f t="shared" si="142"/>
        <v>394.03759949558702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0.22114582085856857</v>
      </c>
      <c r="AB172" s="23">
        <f>EXP(-LN(2)/2)*AB171+(1-EXP(-LN(2)/2))/(LN(2)/2)*V172*Y172*VLOOKUP('Données projet'!$B$9,Paramètres!$A$1:$I$89,3,0)*0.475*44/12</f>
        <v>3.9537542819028165E-21</v>
      </c>
      <c r="AC172" s="24">
        <f t="shared" si="163"/>
        <v>0.22114582085856857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-3.2514435588382188E-14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148.40707092284572</v>
      </c>
      <c r="AO172" s="62">
        <f t="shared" si="144"/>
        <v>162.45539016632631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0.10814041304118363</v>
      </c>
      <c r="AW172" s="23">
        <f>EXP(-LN(2)/2)*AW171+(1-EXP(-LN(2)/2))/(LN(2)/2)*AQ172*AT172*VLOOKUP('Données projet'!$B$10,Paramètres!$A$1:$I$89,3,0)*0.475*44/12</f>
        <v>1.1636922135814121E-20</v>
      </c>
      <c r="AX172" s="23">
        <f t="shared" si="166"/>
        <v>0.10814041304118363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2.8080648917239162E-14</v>
      </c>
      <c r="BF172" s="14">
        <f t="shared" si="167"/>
        <v>4.8906278147460642E-13</v>
      </c>
      <c r="BG172" s="22">
        <f t="shared" si="168"/>
        <v>9.0069147459913104E-13</v>
      </c>
      <c r="BH172" s="62">
        <f t="shared" si="116"/>
        <v>293.33333333333422</v>
      </c>
      <c r="BI172" s="62">
        <f ca="1">AVERAGE(OFFSET($BH$3,0,0,'Données projet'!$E$11+1,1))-AVERAGE(OFFSET($H$3,0,0,'Données projet'!$E$11+1,1))</f>
        <v>113.38017445149029</v>
      </c>
      <c r="BJ172" s="62">
        <f t="shared" si="146"/>
        <v>108.36144594421921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293.33333333333519</v>
      </c>
      <c r="S173" s="62">
        <f ca="1">AVERAGE(OFFSET($R$3,0,0,'Données projet'!$E$9+1,1))-AVERAGE(OFFSET($H$3,0,0,'Données projet'!$E$9+1,1))</f>
        <v>313.92223852157559</v>
      </c>
      <c r="T173" s="62">
        <f t="shared" si="142"/>
        <v>394.03759949558702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0.21509857675763772</v>
      </c>
      <c r="AB173" s="23">
        <f>EXP(-LN(2)/2)*AB172+(1-EXP(-LN(2)/2))/(LN(2)/2)*V173*Y173*VLOOKUP('Données projet'!$B$9,Paramètres!$A$1:$I$89,3,0)*0.475*44/12</f>
        <v>2.7957264638788302E-21</v>
      </c>
      <c r="AC173" s="24">
        <f t="shared" si="163"/>
        <v>0.21509857675763772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-3.2514435588382188E-14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148.40707092284572</v>
      </c>
      <c r="AO173" s="62">
        <f t="shared" si="144"/>
        <v>162.45539016632631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0.10518330775971529</v>
      </c>
      <c r="AW173" s="23">
        <f>EXP(-LN(2)/2)*AW172+(1-EXP(-LN(2)/2))/(LN(2)/2)*AQ173*AT173*VLOOKUP('Données projet'!$B$10,Paramètres!$A$1:$I$89,3,0)*0.475*44/12</f>
        <v>8.2285465543740065E-21</v>
      </c>
      <c r="AX173" s="23">
        <f t="shared" si="166"/>
        <v>0.10518330775971529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2.8080648917239162E-14</v>
      </c>
      <c r="BF173" s="14">
        <f t="shared" si="167"/>
        <v>4.8906278147460642E-13</v>
      </c>
      <c r="BG173" s="22">
        <f t="shared" si="168"/>
        <v>9.0069147459913104E-13</v>
      </c>
      <c r="BH173" s="62">
        <f t="shared" si="116"/>
        <v>293.33333333333422</v>
      </c>
      <c r="BI173" s="62">
        <f ca="1">AVERAGE(OFFSET($BH$3,0,0,'Données projet'!$E$11+1,1))-AVERAGE(OFFSET($H$3,0,0,'Données projet'!$E$11+1,1))</f>
        <v>113.38017445149029</v>
      </c>
      <c r="BJ173" s="62">
        <f t="shared" si="146"/>
        <v>108.36144594421921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293.33333333333519</v>
      </c>
      <c r="S174" s="62">
        <f ca="1">AVERAGE(OFFSET($R$3,0,0,'Données projet'!$E$9+1,1))-AVERAGE(OFFSET($H$3,0,0,'Données projet'!$E$9+1,1))</f>
        <v>313.92223852157559</v>
      </c>
      <c r="T174" s="62">
        <f t="shared" si="142"/>
        <v>394.03759949558702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0.20921669486465758</v>
      </c>
      <c r="AB174" s="23">
        <f>EXP(-LN(2)/2)*AB173+(1-EXP(-LN(2)/2))/(LN(2)/2)*V174*Y174*VLOOKUP('Données projet'!$B$9,Paramètres!$A$1:$I$89,3,0)*0.475*44/12</f>
        <v>1.9768771409514082E-21</v>
      </c>
      <c r="AC174" s="24">
        <f t="shared" si="163"/>
        <v>0.20921669486465758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-3.2514435588382188E-14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148.40707092284572</v>
      </c>
      <c r="AO174" s="62">
        <f t="shared" si="144"/>
        <v>162.45539016632631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0.10230706467767613</v>
      </c>
      <c r="AW174" s="23">
        <f>EXP(-LN(2)/2)*AW173+(1-EXP(-LN(2)/2))/(LN(2)/2)*AQ174*AT174*VLOOKUP('Données projet'!$B$10,Paramètres!$A$1:$I$89,3,0)*0.475*44/12</f>
        <v>5.8184610679070603E-21</v>
      </c>
      <c r="AX174" s="23">
        <f t="shared" si="166"/>
        <v>0.10230706467767613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2.8080648917239162E-14</v>
      </c>
      <c r="BF174" s="14">
        <f t="shared" si="167"/>
        <v>4.8906278147460642E-13</v>
      </c>
      <c r="BG174" s="22">
        <f t="shared" si="168"/>
        <v>9.0069147459913104E-13</v>
      </c>
      <c r="BH174" s="62">
        <f t="shared" si="116"/>
        <v>293.33333333333422</v>
      </c>
      <c r="BI174" s="62">
        <f ca="1">AVERAGE(OFFSET($BH$3,0,0,'Données projet'!$E$11+1,1))-AVERAGE(OFFSET($H$3,0,0,'Données projet'!$E$11+1,1))</f>
        <v>113.38017445149029</v>
      </c>
      <c r="BJ174" s="62">
        <f t="shared" si="146"/>
        <v>108.36144594421921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293.33333333333519</v>
      </c>
      <c r="S175" s="62">
        <f ca="1">AVERAGE(OFFSET($R$3,0,0,'Données projet'!$E$9+1,1))-AVERAGE(OFFSET($H$3,0,0,'Données projet'!$E$9+1,1))</f>
        <v>313.92223852157559</v>
      </c>
      <c r="T175" s="62">
        <f t="shared" si="142"/>
        <v>394.03759949558702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0.20349565334135569</v>
      </c>
      <c r="AB175" s="23">
        <f>EXP(-LN(2)/2)*AB174+(1-EXP(-LN(2)/2))/(LN(2)/2)*V175*Y175*VLOOKUP('Données projet'!$B$9,Paramètres!$A$1:$I$89,3,0)*0.475*44/12</f>
        <v>1.3978632319394151E-21</v>
      </c>
      <c r="AC175" s="24">
        <f t="shared" si="163"/>
        <v>0.20349565334135569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-3.2514435588382188E-14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148.40707092284572</v>
      </c>
      <c r="AO175" s="62">
        <f t="shared" si="144"/>
        <v>162.45539016632631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9.9509472613970362E-2</v>
      </c>
      <c r="AW175" s="23">
        <f>EXP(-LN(2)/2)*AW174+(1-EXP(-LN(2)/2))/(LN(2)/2)*AQ175*AT175*VLOOKUP('Données projet'!$B$10,Paramètres!$A$1:$I$89,3,0)*0.475*44/12</f>
        <v>4.1142732771870033E-21</v>
      </c>
      <c r="AX175" s="23">
        <f t="shared" si="166"/>
        <v>9.9509472613970362E-2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2.8080648917239162E-14</v>
      </c>
      <c r="BF175" s="14">
        <f t="shared" si="167"/>
        <v>4.8906278147460642E-13</v>
      </c>
      <c r="BG175" s="22">
        <f t="shared" si="168"/>
        <v>9.0069147459913104E-13</v>
      </c>
      <c r="BH175" s="62">
        <f t="shared" si="116"/>
        <v>293.33333333333422</v>
      </c>
      <c r="BI175" s="62">
        <f ca="1">AVERAGE(OFFSET($BH$3,0,0,'Données projet'!$E$11+1,1))-AVERAGE(OFFSET($H$3,0,0,'Données projet'!$E$11+1,1))</f>
        <v>113.38017445149029</v>
      </c>
      <c r="BJ175" s="62">
        <f t="shared" si="146"/>
        <v>108.36144594421921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293.33333333333519</v>
      </c>
      <c r="S176" s="62">
        <f ca="1">AVERAGE(OFFSET($R$3,0,0,'Données projet'!$E$9+1,1))-AVERAGE(OFFSET($H$3,0,0,'Données projet'!$E$9+1,1))</f>
        <v>313.92223852157559</v>
      </c>
      <c r="T176" s="62">
        <f t="shared" si="142"/>
        <v>394.03759949558702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0.197931053999365</v>
      </c>
      <c r="AB176" s="23">
        <f>EXP(-LN(2)/2)*AB175+(1-EXP(-LN(2)/2))/(LN(2)/2)*V176*Y176*VLOOKUP('Données projet'!$B$9,Paramètres!$A$1:$I$89,3,0)*0.475*44/12</f>
        <v>9.8843857047570411E-22</v>
      </c>
      <c r="AC176" s="24">
        <f t="shared" si="163"/>
        <v>0.197931053999365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-3.2514435588382188E-14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148.40707092284572</v>
      </c>
      <c r="AO176" s="62">
        <f t="shared" si="144"/>
        <v>162.45539016632631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9.6788380852365616E-2</v>
      </c>
      <c r="AW176" s="23">
        <f>EXP(-LN(2)/2)*AW175+(1-EXP(-LN(2)/2))/(LN(2)/2)*AQ176*AT176*VLOOKUP('Données projet'!$B$10,Paramètres!$A$1:$I$89,3,0)*0.475*44/12</f>
        <v>2.9092305339535301E-21</v>
      </c>
      <c r="AX176" s="23">
        <f t="shared" si="166"/>
        <v>9.6788380852365616E-2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2.8080648917239162E-14</v>
      </c>
      <c r="BF176" s="14">
        <f t="shared" si="167"/>
        <v>4.8906278147460642E-13</v>
      </c>
      <c r="BG176" s="22">
        <f t="shared" si="168"/>
        <v>9.0069147459913104E-13</v>
      </c>
      <c r="BH176" s="62">
        <f t="shared" si="116"/>
        <v>293.33333333333422</v>
      </c>
      <c r="BI176" s="62">
        <f ca="1">AVERAGE(OFFSET($BH$3,0,0,'Données projet'!$E$11+1,1))-AVERAGE(OFFSET($H$3,0,0,'Données projet'!$E$11+1,1))</f>
        <v>113.38017445149029</v>
      </c>
      <c r="BJ176" s="62">
        <f t="shared" si="146"/>
        <v>108.36144594421921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293.33333333333519</v>
      </c>
      <c r="S177" s="62">
        <f ca="1">AVERAGE(OFFSET($R$3,0,0,'Données projet'!$E$9+1,1))-AVERAGE(OFFSET($H$3,0,0,'Données projet'!$E$9+1,1))</f>
        <v>313.92223852157559</v>
      </c>
      <c r="T177" s="62">
        <f t="shared" si="142"/>
        <v>394.03759949558702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0.19251861891901062</v>
      </c>
      <c r="AB177" s="23">
        <f>EXP(-LN(2)/2)*AB176+(1-EXP(-LN(2)/2))/(LN(2)/2)*V177*Y177*VLOOKUP('Données projet'!$B$9,Paramètres!$A$1:$I$89,3,0)*0.475*44/12</f>
        <v>6.9893161596970756E-22</v>
      </c>
      <c r="AC177" s="24">
        <f t="shared" si="163"/>
        <v>0.19251861891901062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-3.2514435588382188E-14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148.40707092284572</v>
      </c>
      <c r="AO177" s="62">
        <f t="shared" si="144"/>
        <v>162.45539016632631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9.4141697488077936E-2</v>
      </c>
      <c r="AW177" s="23">
        <f>EXP(-LN(2)/2)*AW176+(1-EXP(-LN(2)/2))/(LN(2)/2)*AQ177*AT177*VLOOKUP('Données projet'!$B$10,Paramètres!$A$1:$I$89,3,0)*0.475*44/12</f>
        <v>2.0571366385935016E-21</v>
      </c>
      <c r="AX177" s="23">
        <f t="shared" si="166"/>
        <v>9.4141697488077936E-2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2.8080648917239162E-14</v>
      </c>
      <c r="BF177" s="14">
        <f t="shared" si="167"/>
        <v>4.8906278147460642E-13</v>
      </c>
      <c r="BG177" s="22">
        <f t="shared" si="168"/>
        <v>9.0069147459913104E-13</v>
      </c>
      <c r="BH177" s="62">
        <f t="shared" si="116"/>
        <v>293.33333333333422</v>
      </c>
      <c r="BI177" s="62">
        <f ca="1">AVERAGE(OFFSET($BH$3,0,0,'Données projet'!$E$11+1,1))-AVERAGE(OFFSET($H$3,0,0,'Données projet'!$E$11+1,1))</f>
        <v>113.38017445149029</v>
      </c>
      <c r="BJ177" s="62">
        <f t="shared" si="146"/>
        <v>108.36144594421921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293.33333333333519</v>
      </c>
      <c r="S178" s="62">
        <f ca="1">AVERAGE(OFFSET($R$3,0,0,'Données projet'!$E$9+1,1))-AVERAGE(OFFSET($H$3,0,0,'Données projet'!$E$9+1,1))</f>
        <v>313.92223852157559</v>
      </c>
      <c r="T178" s="62">
        <f t="shared" si="142"/>
        <v>394.03759949558702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0.18725418716055611</v>
      </c>
      <c r="AB178" s="23">
        <f>EXP(-LN(2)/2)*AB177+(1-EXP(-LN(2)/2))/(LN(2)/2)*V178*Y178*VLOOKUP('Données projet'!$B$9,Paramètres!$A$1:$I$89,3,0)*0.475*44/12</f>
        <v>4.9421928523785206E-22</v>
      </c>
      <c r="AC178" s="24">
        <f t="shared" si="163"/>
        <v>0.18725418716055611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-3.2514435588382188E-14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148.40707092284572</v>
      </c>
      <c r="AO178" s="62">
        <f t="shared" si="144"/>
        <v>162.45539016632631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9.1567387819569732E-2</v>
      </c>
      <c r="AW178" s="23">
        <f>EXP(-LN(2)/2)*AW177+(1-EXP(-LN(2)/2))/(LN(2)/2)*AQ178*AT178*VLOOKUP('Données projet'!$B$10,Paramètres!$A$1:$I$89,3,0)*0.475*44/12</f>
        <v>1.4546152669767651E-21</v>
      </c>
      <c r="AX178" s="23">
        <f t="shared" si="166"/>
        <v>9.1567387819569732E-2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2.8080648917239162E-14</v>
      </c>
      <c r="BF178" s="14">
        <f t="shared" si="167"/>
        <v>4.8906278147460642E-13</v>
      </c>
      <c r="BG178" s="22">
        <f t="shared" si="168"/>
        <v>9.0069147459913104E-13</v>
      </c>
      <c r="BH178" s="62">
        <f t="shared" si="116"/>
        <v>293.33333333333422</v>
      </c>
      <c r="BI178" s="62">
        <f ca="1">AVERAGE(OFFSET($BH$3,0,0,'Données projet'!$E$11+1,1))-AVERAGE(OFFSET($H$3,0,0,'Données projet'!$E$11+1,1))</f>
        <v>113.38017445149029</v>
      </c>
      <c r="BJ178" s="62">
        <f t="shared" si="146"/>
        <v>108.36144594421921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293.33333333333519</v>
      </c>
      <c r="S179" s="62">
        <f ca="1">AVERAGE(OFFSET($R$3,0,0,'Données projet'!$E$9+1,1))-AVERAGE(OFFSET($H$3,0,0,'Données projet'!$E$9+1,1))</f>
        <v>313.92223852157559</v>
      </c>
      <c r="T179" s="62">
        <f t="shared" si="142"/>
        <v>394.03759949558702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0.18213371156538097</v>
      </c>
      <c r="AB179" s="23">
        <f>EXP(-LN(2)/2)*AB178+(1-EXP(-LN(2)/2))/(LN(2)/2)*V179*Y179*VLOOKUP('Données projet'!$B$9,Paramètres!$A$1:$I$89,3,0)*0.475*44/12</f>
        <v>3.4946580798485378E-22</v>
      </c>
      <c r="AC179" s="24">
        <f t="shared" si="163"/>
        <v>0.18213371156538097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-3.2514435588382188E-14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148.40707092284572</v>
      </c>
      <c r="AO179" s="62">
        <f t="shared" si="144"/>
        <v>162.45539016632631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8.9063472784323958E-2</v>
      </c>
      <c r="AW179" s="23">
        <f>EXP(-LN(2)/2)*AW178+(1-EXP(-LN(2)/2))/(LN(2)/2)*AQ179*AT179*VLOOKUP('Données projet'!$B$10,Paramètres!$A$1:$I$89,3,0)*0.475*44/12</f>
        <v>1.0285683192967508E-21</v>
      </c>
      <c r="AX179" s="23">
        <f t="shared" si="166"/>
        <v>8.9063472784323958E-2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2.8080648917239162E-14</v>
      </c>
      <c r="BF179" s="14">
        <f t="shared" si="167"/>
        <v>4.8906278147460642E-13</v>
      </c>
      <c r="BG179" s="22">
        <f t="shared" si="168"/>
        <v>9.0069147459913104E-13</v>
      </c>
      <c r="BH179" s="62">
        <f t="shared" si="116"/>
        <v>293.33333333333422</v>
      </c>
      <c r="BI179" s="62">
        <f ca="1">AVERAGE(OFFSET($BH$3,0,0,'Données projet'!$E$11+1,1))-AVERAGE(OFFSET($H$3,0,0,'Données projet'!$E$11+1,1))</f>
        <v>113.38017445149029</v>
      </c>
      <c r="BJ179" s="62">
        <f t="shared" si="146"/>
        <v>108.36144594421921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293.33333333333519</v>
      </c>
      <c r="S180" s="62">
        <f ca="1">AVERAGE(OFFSET($R$3,0,0,'Données projet'!$E$9+1,1))-AVERAGE(OFFSET($H$3,0,0,'Données projet'!$E$9+1,1))</f>
        <v>313.92223852157559</v>
      </c>
      <c r="T180" s="62">
        <f t="shared" si="142"/>
        <v>394.03759949558702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0.17715325564463</v>
      </c>
      <c r="AB180" s="23">
        <f>EXP(-LN(2)/2)*AB179+(1-EXP(-LN(2)/2))/(LN(2)/2)*V180*Y180*VLOOKUP('Données projet'!$B$9,Paramètres!$A$1:$I$89,3,0)*0.475*44/12</f>
        <v>2.4710964261892603E-22</v>
      </c>
      <c r="AC180" s="24">
        <f t="shared" si="163"/>
        <v>0.17715325564463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-3.2514435588382188E-14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148.40707092284572</v>
      </c>
      <c r="AO180" s="62">
        <f t="shared" si="144"/>
        <v>162.45539016632631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8.6628027437392147E-2</v>
      </c>
      <c r="AW180" s="23">
        <f>EXP(-LN(2)/2)*AW179+(1-EXP(-LN(2)/2))/(LN(2)/2)*AQ180*AT180*VLOOKUP('Données projet'!$B$10,Paramètres!$A$1:$I$89,3,0)*0.475*44/12</f>
        <v>7.2730763348838253E-22</v>
      </c>
      <c r="AX180" s="23">
        <f t="shared" si="166"/>
        <v>8.6628027437392147E-2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2.8080648917239162E-14</v>
      </c>
      <c r="BF180" s="14">
        <f t="shared" si="167"/>
        <v>4.8906278147460642E-13</v>
      </c>
      <c r="BG180" s="22">
        <f t="shared" si="168"/>
        <v>9.0069147459913104E-13</v>
      </c>
      <c r="BH180" s="62">
        <f t="shared" si="116"/>
        <v>293.33333333333422</v>
      </c>
      <c r="BI180" s="62">
        <f ca="1">AVERAGE(OFFSET($BH$3,0,0,'Données projet'!$E$11+1,1))-AVERAGE(OFFSET($H$3,0,0,'Données projet'!$E$11+1,1))</f>
        <v>113.38017445149029</v>
      </c>
      <c r="BJ180" s="62">
        <f t="shared" si="146"/>
        <v>108.36144594421921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293.33333333333519</v>
      </c>
      <c r="S181" s="62">
        <f ca="1">AVERAGE(OFFSET($R$3,0,0,'Données projet'!$E$9+1,1))-AVERAGE(OFFSET($H$3,0,0,'Données projet'!$E$9+1,1))</f>
        <v>313.92223852157559</v>
      </c>
      <c r="T181" s="62">
        <f t="shared" si="142"/>
        <v>394.03759949558702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0.17230899055294277</v>
      </c>
      <c r="AB181" s="23">
        <f>EXP(-LN(2)/2)*AB180+(1-EXP(-LN(2)/2))/(LN(2)/2)*V181*Y181*VLOOKUP('Données projet'!$B$9,Paramètres!$A$1:$I$89,3,0)*0.475*44/12</f>
        <v>1.7473290399242689E-22</v>
      </c>
      <c r="AC181" s="24">
        <f t="shared" si="163"/>
        <v>0.17230899055294277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-3.2514435588382188E-14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148.40707092284572</v>
      </c>
      <c r="AO181" s="62">
        <f t="shared" si="144"/>
        <v>162.45539016632631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8.425917947154668E-2</v>
      </c>
      <c r="AW181" s="23">
        <f>EXP(-LN(2)/2)*AW180+(1-EXP(-LN(2)/2))/(LN(2)/2)*AQ181*AT181*VLOOKUP('Données projet'!$B$10,Paramètres!$A$1:$I$89,3,0)*0.475*44/12</f>
        <v>5.1428415964837541E-22</v>
      </c>
      <c r="AX181" s="23">
        <f t="shared" si="166"/>
        <v>8.425917947154668E-2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2.8080648917239162E-14</v>
      </c>
      <c r="BF181" s="14">
        <f t="shared" si="167"/>
        <v>4.8906278147460642E-13</v>
      </c>
      <c r="BG181" s="22">
        <f t="shared" si="168"/>
        <v>9.0069147459913104E-13</v>
      </c>
      <c r="BH181" s="62">
        <f t="shared" si="116"/>
        <v>293.33333333333422</v>
      </c>
      <c r="BI181" s="62">
        <f ca="1">AVERAGE(OFFSET($BH$3,0,0,'Données projet'!$E$11+1,1))-AVERAGE(OFFSET($H$3,0,0,'Données projet'!$E$11+1,1))</f>
        <v>113.38017445149029</v>
      </c>
      <c r="BJ181" s="62">
        <f t="shared" si="146"/>
        <v>108.36144594421921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293.33333333333519</v>
      </c>
      <c r="S182" s="62">
        <f ca="1">AVERAGE(OFFSET($R$3,0,0,'Données projet'!$E$9+1,1))-AVERAGE(OFFSET($H$3,0,0,'Données projet'!$E$9+1,1))</f>
        <v>313.92223852157559</v>
      </c>
      <c r="T182" s="62">
        <f t="shared" si="142"/>
        <v>394.03759949558702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0.16759719214493654</v>
      </c>
      <c r="AB182" s="23">
        <f>EXP(-LN(2)/2)*AB181+(1-EXP(-LN(2)/2))/(LN(2)/2)*V182*Y182*VLOOKUP('Données projet'!$B$9,Paramètres!$A$1:$I$89,3,0)*0.475*44/12</f>
        <v>1.2355482130946301E-22</v>
      </c>
      <c r="AC182" s="24">
        <f t="shared" si="163"/>
        <v>0.16759719214493654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-3.2514435588382188E-14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148.40707092284572</v>
      </c>
      <c r="AO182" s="62">
        <f t="shared" si="144"/>
        <v>162.45539016632631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8.1955107777899563E-2</v>
      </c>
      <c r="AW182" s="23">
        <f>EXP(-LN(2)/2)*AW181+(1-EXP(-LN(2)/2))/(LN(2)/2)*AQ182*AT182*VLOOKUP('Données projet'!$B$10,Paramètres!$A$1:$I$89,3,0)*0.475*44/12</f>
        <v>3.6365381674419127E-22</v>
      </c>
      <c r="AX182" s="23">
        <f t="shared" si="166"/>
        <v>8.1955107777899563E-2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2.8080648917239162E-14</v>
      </c>
      <c r="BF182" s="14">
        <f t="shared" si="167"/>
        <v>4.8906278147460642E-13</v>
      </c>
      <c r="BG182" s="22">
        <f t="shared" si="168"/>
        <v>9.0069147459913104E-13</v>
      </c>
      <c r="BH182" s="62">
        <f t="shared" si="116"/>
        <v>293.33333333333422</v>
      </c>
      <c r="BI182" s="62">
        <f ca="1">AVERAGE(OFFSET($BH$3,0,0,'Données projet'!$E$11+1,1))-AVERAGE(OFFSET($H$3,0,0,'Données projet'!$E$11+1,1))</f>
        <v>113.38017445149029</v>
      </c>
      <c r="BJ182" s="62">
        <f t="shared" si="146"/>
        <v>108.36144594421921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293.33333333333519</v>
      </c>
      <c r="S183" s="62">
        <f ca="1">AVERAGE(OFFSET($R$3,0,0,'Données projet'!$E$9+1,1))-AVERAGE(OFFSET($H$3,0,0,'Données projet'!$E$9+1,1))</f>
        <v>313.92223852157559</v>
      </c>
      <c r="T183" s="62">
        <f t="shared" si="142"/>
        <v>394.03759949558702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0.16301423811217997</v>
      </c>
      <c r="AB183" s="23">
        <f>EXP(-LN(2)/2)*AB182+(1-EXP(-LN(2)/2))/(LN(2)/2)*V183*Y183*VLOOKUP('Données projet'!$B$9,Paramètres!$A$1:$I$89,3,0)*0.475*44/12</f>
        <v>8.7366451996213445E-23</v>
      </c>
      <c r="AC183" s="24">
        <f t="shared" si="163"/>
        <v>0.16301423811217997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-3.2514435588382188E-14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148.40707092284572</v>
      </c>
      <c r="AO183" s="62">
        <f t="shared" si="144"/>
        <v>162.45539016632631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7.971404104588109E-2</v>
      </c>
      <c r="AW183" s="23">
        <f>EXP(-LN(2)/2)*AW182+(1-EXP(-LN(2)/2))/(LN(2)/2)*AQ183*AT183*VLOOKUP('Données projet'!$B$10,Paramètres!$A$1:$I$89,3,0)*0.475*44/12</f>
        <v>2.571420798241877E-22</v>
      </c>
      <c r="AX183" s="23">
        <f t="shared" si="166"/>
        <v>7.971404104588109E-2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2.8080648917239162E-14</v>
      </c>
      <c r="BF183" s="14">
        <f t="shared" si="167"/>
        <v>4.8906278147460642E-13</v>
      </c>
      <c r="BG183" s="22">
        <f t="shared" si="168"/>
        <v>9.0069147459913104E-13</v>
      </c>
      <c r="BH183" s="62">
        <f t="shared" si="116"/>
        <v>293.33333333333422</v>
      </c>
      <c r="BI183" s="62">
        <f ca="1">AVERAGE(OFFSET($BH$3,0,0,'Données projet'!$E$11+1,1))-AVERAGE(OFFSET($H$3,0,0,'Données projet'!$E$11+1,1))</f>
        <v>113.38017445149029</v>
      </c>
      <c r="BJ183" s="62">
        <f t="shared" si="146"/>
        <v>108.36144594421921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293.33333333333519</v>
      </c>
      <c r="S184" s="62">
        <f ca="1">AVERAGE(OFFSET($R$3,0,0,'Données projet'!$E$9+1,1))-AVERAGE(OFFSET($H$3,0,0,'Données projet'!$E$9+1,1))</f>
        <v>313.92223852157559</v>
      </c>
      <c r="T184" s="62">
        <f t="shared" si="142"/>
        <v>394.03759949558702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0.15855660519845619</v>
      </c>
      <c r="AB184" s="23">
        <f>EXP(-LN(2)/2)*AB183+(1-EXP(-LN(2)/2))/(LN(2)/2)*V184*Y184*VLOOKUP('Données projet'!$B$9,Paramètres!$A$1:$I$89,3,0)*0.475*44/12</f>
        <v>6.1777410654731507E-23</v>
      </c>
      <c r="AC184" s="24">
        <f t="shared" si="163"/>
        <v>0.15855660519845619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-3.2514435588382188E-14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148.40707092284572</v>
      </c>
      <c r="AO184" s="62">
        <f t="shared" si="144"/>
        <v>162.45539016632631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7.7534256401502244E-2</v>
      </c>
      <c r="AW184" s="23">
        <f>EXP(-LN(2)/2)*AW183+(1-EXP(-LN(2)/2))/(LN(2)/2)*AQ184*AT184*VLOOKUP('Données projet'!$B$10,Paramètres!$A$1:$I$89,3,0)*0.475*44/12</f>
        <v>1.8182690837209563E-22</v>
      </c>
      <c r="AX184" s="23">
        <f t="shared" si="166"/>
        <v>7.7534256401502244E-2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2.8080648917239162E-14</v>
      </c>
      <c r="BF184" s="14">
        <f t="shared" si="167"/>
        <v>4.8906278147460642E-13</v>
      </c>
      <c r="BG184" s="22">
        <f t="shared" si="168"/>
        <v>9.0069147459913104E-13</v>
      </c>
      <c r="BH184" s="62">
        <f t="shared" si="116"/>
        <v>293.33333333333422</v>
      </c>
      <c r="BI184" s="62">
        <f ca="1">AVERAGE(OFFSET($BH$3,0,0,'Données projet'!$E$11+1,1))-AVERAGE(OFFSET($H$3,0,0,'Données projet'!$E$11+1,1))</f>
        <v>113.38017445149029</v>
      </c>
      <c r="BJ184" s="62">
        <f t="shared" si="146"/>
        <v>108.36144594421921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293.33333333333519</v>
      </c>
      <c r="S185" s="62">
        <f ca="1">AVERAGE(OFFSET($R$3,0,0,'Données projet'!$E$9+1,1))-AVERAGE(OFFSET($H$3,0,0,'Données projet'!$E$9+1,1))</f>
        <v>313.92223852157559</v>
      </c>
      <c r="T185" s="62">
        <f t="shared" si="142"/>
        <v>394.03759949558702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0.15422086649117492</v>
      </c>
      <c r="AB185" s="23">
        <f>EXP(-LN(2)/2)*AB184+(1-EXP(-LN(2)/2))/(LN(2)/2)*V185*Y185*VLOOKUP('Données projet'!$B$9,Paramètres!$A$1:$I$89,3,0)*0.475*44/12</f>
        <v>4.3683225998106722E-23</v>
      </c>
      <c r="AC185" s="24">
        <f t="shared" si="163"/>
        <v>0.15422086649117492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-3.2514435588382188E-14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148.40707092284572</v>
      </c>
      <c r="AO185" s="62">
        <f t="shared" si="144"/>
        <v>162.45539016632631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7.541407808285383E-2</v>
      </c>
      <c r="AW185" s="23">
        <f>EXP(-LN(2)/2)*AW184+(1-EXP(-LN(2)/2))/(LN(2)/2)*AQ185*AT185*VLOOKUP('Données projet'!$B$10,Paramètres!$A$1:$I$89,3,0)*0.475*44/12</f>
        <v>1.2857103991209385E-22</v>
      </c>
      <c r="AX185" s="23">
        <f t="shared" si="166"/>
        <v>7.541407808285383E-2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2.8080648917239162E-14</v>
      </c>
      <c r="BF185" s="14">
        <f t="shared" si="167"/>
        <v>4.8906278147460642E-13</v>
      </c>
      <c r="BG185" s="22">
        <f t="shared" si="168"/>
        <v>9.0069147459913104E-13</v>
      </c>
      <c r="BH185" s="62">
        <f t="shared" si="116"/>
        <v>293.33333333333422</v>
      </c>
      <c r="BI185" s="62">
        <f ca="1">AVERAGE(OFFSET($BH$3,0,0,'Données projet'!$E$11+1,1))-AVERAGE(OFFSET($H$3,0,0,'Données projet'!$E$11+1,1))</f>
        <v>113.38017445149029</v>
      </c>
      <c r="BJ185" s="62">
        <f t="shared" si="146"/>
        <v>108.36144594421921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293.33333333333519</v>
      </c>
      <c r="S186" s="62">
        <f ca="1">AVERAGE(OFFSET($R$3,0,0,'Données projet'!$E$9+1,1))-AVERAGE(OFFSET($H$3,0,0,'Données projet'!$E$9+1,1))</f>
        <v>313.92223852157559</v>
      </c>
      <c r="T186" s="62">
        <f t="shared" si="142"/>
        <v>394.03759949558702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0.15000368878685086</v>
      </c>
      <c r="AB186" s="23">
        <f>EXP(-LN(2)/2)*AB185+(1-EXP(-LN(2)/2))/(LN(2)/2)*V186*Y186*VLOOKUP('Données projet'!$B$9,Paramètres!$A$1:$I$89,3,0)*0.475*44/12</f>
        <v>3.0888705327365754E-23</v>
      </c>
      <c r="AC186" s="24">
        <f t="shared" si="163"/>
        <v>0.15000368878685086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-3.2514435588382188E-14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148.40707092284572</v>
      </c>
      <c r="AO186" s="62">
        <f t="shared" si="144"/>
        <v>162.45539016632631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7.3351876151824189E-2</v>
      </c>
      <c r="AW186" s="23">
        <f>EXP(-LN(2)/2)*AW185+(1-EXP(-LN(2)/2))/(LN(2)/2)*AQ186*AT186*VLOOKUP('Données projet'!$B$10,Paramètres!$A$1:$I$89,3,0)*0.475*44/12</f>
        <v>9.0913454186047817E-23</v>
      </c>
      <c r="AX186" s="23">
        <f t="shared" si="166"/>
        <v>7.3351876151824189E-2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2.8080648917239162E-14</v>
      </c>
      <c r="BF186" s="14">
        <f t="shared" si="167"/>
        <v>4.8906278147460642E-13</v>
      </c>
      <c r="BG186" s="22">
        <f t="shared" si="168"/>
        <v>9.0069147459913104E-13</v>
      </c>
      <c r="BH186" s="62">
        <f t="shared" si="116"/>
        <v>293.33333333333422</v>
      </c>
      <c r="BI186" s="62">
        <f ca="1">AVERAGE(OFFSET($BH$3,0,0,'Données projet'!$E$11+1,1))-AVERAGE(OFFSET($H$3,0,0,'Données projet'!$E$11+1,1))</f>
        <v>113.38017445149029</v>
      </c>
      <c r="BJ186" s="62">
        <f t="shared" si="146"/>
        <v>108.36144594421921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293.33333333333519</v>
      </c>
      <c r="S187" s="62">
        <f ca="1">AVERAGE(OFFSET($R$3,0,0,'Données projet'!$E$9+1,1))-AVERAGE(OFFSET($H$3,0,0,'Données projet'!$E$9+1,1))</f>
        <v>313.92223852157559</v>
      </c>
      <c r="T187" s="62">
        <f t="shared" si="142"/>
        <v>394.03759949558702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0.14590183002862325</v>
      </c>
      <c r="AB187" s="23">
        <f>EXP(-LN(2)/2)*AB186+(1-EXP(-LN(2)/2))/(LN(2)/2)*V187*Y187*VLOOKUP('Données projet'!$B$9,Paramètres!$A$1:$I$89,3,0)*0.475*44/12</f>
        <v>2.1841612999053361E-23</v>
      </c>
      <c r="AC187" s="24">
        <f t="shared" si="163"/>
        <v>0.14590183002862325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-3.2514435588382188E-14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148.40707092284572</v>
      </c>
      <c r="AO187" s="62">
        <f t="shared" si="144"/>
        <v>162.45539016632631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7.1346065241045031E-2</v>
      </c>
      <c r="AW187" s="23">
        <f>EXP(-LN(2)/2)*AW186+(1-EXP(-LN(2)/2))/(LN(2)/2)*AQ187*AT187*VLOOKUP('Données projet'!$B$10,Paramètres!$A$1:$I$89,3,0)*0.475*44/12</f>
        <v>6.4285519956046926E-23</v>
      </c>
      <c r="AX187" s="23">
        <f t="shared" si="166"/>
        <v>7.1346065241045031E-2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2.8080648917239162E-14</v>
      </c>
      <c r="BF187" s="14">
        <f t="shared" si="167"/>
        <v>4.8906278147460642E-13</v>
      </c>
      <c r="BG187" s="22">
        <f t="shared" si="168"/>
        <v>9.0069147459913104E-13</v>
      </c>
      <c r="BH187" s="62">
        <f t="shared" si="116"/>
        <v>293.33333333333422</v>
      </c>
      <c r="BI187" s="62">
        <f ca="1">AVERAGE(OFFSET($BH$3,0,0,'Données projet'!$E$11+1,1))-AVERAGE(OFFSET($H$3,0,0,'Données projet'!$E$11+1,1))</f>
        <v>113.38017445149029</v>
      </c>
      <c r="BJ187" s="62">
        <f t="shared" si="146"/>
        <v>108.36144594421921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293.33333333333519</v>
      </c>
      <c r="S188" s="62">
        <f ca="1">AVERAGE(OFFSET($R$3,0,0,'Données projet'!$E$9+1,1))-AVERAGE(OFFSET($H$3,0,0,'Données projet'!$E$9+1,1))</f>
        <v>313.92223852157559</v>
      </c>
      <c r="T188" s="62">
        <f t="shared" si="142"/>
        <v>394.03759949558702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0.14191213681384676</v>
      </c>
      <c r="AB188" s="23">
        <f>EXP(-LN(2)/2)*AB187+(1-EXP(-LN(2)/2))/(LN(2)/2)*V188*Y188*VLOOKUP('Données projet'!$B$9,Paramètres!$A$1:$I$89,3,0)*0.475*44/12</f>
        <v>1.5444352663682877E-23</v>
      </c>
      <c r="AC188" s="24">
        <f t="shared" si="163"/>
        <v>0.14191213681384676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-3.2514435588382188E-14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148.40707092284572</v>
      </c>
      <c r="AO188" s="62">
        <f t="shared" si="144"/>
        <v>162.45539016632631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6.9395103335102154E-2</v>
      </c>
      <c r="AW188" s="23">
        <f>EXP(-LN(2)/2)*AW187+(1-EXP(-LN(2)/2))/(LN(2)/2)*AQ188*AT188*VLOOKUP('Données projet'!$B$10,Paramètres!$A$1:$I$89,3,0)*0.475*44/12</f>
        <v>4.5456727093023908E-23</v>
      </c>
      <c r="AX188" s="23">
        <f t="shared" si="166"/>
        <v>6.9395103335102154E-2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2.8080648917239162E-14</v>
      </c>
      <c r="BF188" s="14">
        <f t="shared" si="167"/>
        <v>4.8906278147460642E-13</v>
      </c>
      <c r="BG188" s="22">
        <f t="shared" si="168"/>
        <v>9.0069147459913104E-13</v>
      </c>
      <c r="BH188" s="62">
        <f t="shared" si="116"/>
        <v>293.33333333333422</v>
      </c>
      <c r="BI188" s="62">
        <f ca="1">AVERAGE(OFFSET($BH$3,0,0,'Données projet'!$E$11+1,1))-AVERAGE(OFFSET($H$3,0,0,'Données projet'!$E$11+1,1))</f>
        <v>113.38017445149029</v>
      </c>
      <c r="BJ188" s="62">
        <f t="shared" si="146"/>
        <v>108.36144594421921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293.33333333333519</v>
      </c>
      <c r="S189" s="62">
        <f ca="1">AVERAGE(OFFSET($R$3,0,0,'Données projet'!$E$9+1,1))-AVERAGE(OFFSET($H$3,0,0,'Données projet'!$E$9+1,1))</f>
        <v>313.92223852157559</v>
      </c>
      <c r="T189" s="62">
        <f t="shared" si="142"/>
        <v>394.03759949558702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0.13803154196983719</v>
      </c>
      <c r="AB189" s="23">
        <f>EXP(-LN(2)/2)*AB188+(1-EXP(-LN(2)/2))/(LN(2)/2)*V189*Y189*VLOOKUP('Données projet'!$B$9,Paramètres!$A$1:$I$89,3,0)*0.475*44/12</f>
        <v>1.0920806499526681E-23</v>
      </c>
      <c r="AC189" s="24">
        <f t="shared" si="163"/>
        <v>0.13803154196983719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-3.2514435588382188E-14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148.40707092284572</v>
      </c>
      <c r="AO189" s="62">
        <f t="shared" si="144"/>
        <v>162.45539016632631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6.7497490585073899E-2</v>
      </c>
      <c r="AW189" s="23">
        <f>EXP(-LN(2)/2)*AW188+(1-EXP(-LN(2)/2))/(LN(2)/2)*AQ189*AT189*VLOOKUP('Données projet'!$B$10,Paramètres!$A$1:$I$89,3,0)*0.475*44/12</f>
        <v>3.2142759978023463E-23</v>
      </c>
      <c r="AX189" s="23">
        <f t="shared" si="166"/>
        <v>6.7497490585073899E-2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2.8080648917239162E-14</v>
      </c>
      <c r="BF189" s="14">
        <f t="shared" si="167"/>
        <v>4.8906278147460642E-13</v>
      </c>
      <c r="BG189" s="22">
        <f t="shared" si="168"/>
        <v>9.0069147459913104E-13</v>
      </c>
      <c r="BH189" s="62">
        <f t="shared" si="116"/>
        <v>293.33333333333422</v>
      </c>
      <c r="BI189" s="62">
        <f ca="1">AVERAGE(OFFSET($BH$3,0,0,'Données projet'!$E$11+1,1))-AVERAGE(OFFSET($H$3,0,0,'Données projet'!$E$11+1,1))</f>
        <v>113.38017445149029</v>
      </c>
      <c r="BJ189" s="62">
        <f t="shared" si="146"/>
        <v>108.36144594421921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293.33333333333519</v>
      </c>
      <c r="S190" s="62">
        <f ca="1">AVERAGE(OFFSET($R$3,0,0,'Données projet'!$E$9+1,1))-AVERAGE(OFFSET($H$3,0,0,'Données projet'!$E$9+1,1))</f>
        <v>313.92223852157559</v>
      </c>
      <c r="T190" s="62">
        <f t="shared" si="142"/>
        <v>394.03759949558702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0.13425706219590869</v>
      </c>
      <c r="AB190" s="23">
        <f>EXP(-LN(2)/2)*AB189+(1-EXP(-LN(2)/2))/(LN(2)/2)*V190*Y190*VLOOKUP('Données projet'!$B$9,Paramètres!$A$1:$I$89,3,0)*0.475*44/12</f>
        <v>7.7221763318414384E-24</v>
      </c>
      <c r="AC190" s="24">
        <f t="shared" si="163"/>
        <v>0.13425706219590869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-3.2514435588382188E-14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148.40707092284572</v>
      </c>
      <c r="AO190" s="62">
        <f t="shared" si="144"/>
        <v>162.45539016632631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6.565176815548629E-2</v>
      </c>
      <c r="AW190" s="23">
        <f>EXP(-LN(2)/2)*AW189+(1-EXP(-LN(2)/2))/(LN(2)/2)*AQ190*AT190*VLOOKUP('Données projet'!$B$10,Paramètres!$A$1:$I$89,3,0)*0.475*44/12</f>
        <v>2.2728363546511954E-23</v>
      </c>
      <c r="AX190" s="23">
        <f t="shared" si="166"/>
        <v>6.565176815548629E-2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2.8080648917239162E-14</v>
      </c>
      <c r="BF190" s="14">
        <f t="shared" si="167"/>
        <v>4.8906278147460642E-13</v>
      </c>
      <c r="BG190" s="22">
        <f t="shared" si="168"/>
        <v>9.0069147459913104E-13</v>
      </c>
      <c r="BH190" s="62">
        <f t="shared" si="116"/>
        <v>293.33333333333422</v>
      </c>
      <c r="BI190" s="62">
        <f ca="1">AVERAGE(OFFSET($BH$3,0,0,'Données projet'!$E$11+1,1))-AVERAGE(OFFSET($H$3,0,0,'Données projet'!$E$11+1,1))</f>
        <v>113.38017445149029</v>
      </c>
      <c r="BJ190" s="62">
        <f t="shared" si="146"/>
        <v>108.36144594421921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293.33333333333519</v>
      </c>
      <c r="S191" s="62">
        <f ca="1">AVERAGE(OFFSET($R$3,0,0,'Données projet'!$E$9+1,1))-AVERAGE(OFFSET($H$3,0,0,'Données projet'!$E$9+1,1))</f>
        <v>313.92223852157559</v>
      </c>
      <c r="T191" s="62">
        <f t="shared" si="142"/>
        <v>394.03759949558702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0.13058579576988952</v>
      </c>
      <c r="AB191" s="23">
        <f>EXP(-LN(2)/2)*AB190+(1-EXP(-LN(2)/2))/(LN(2)/2)*V191*Y191*VLOOKUP('Données projet'!$B$9,Paramètres!$A$1:$I$89,3,0)*0.475*44/12</f>
        <v>5.4604032497633403E-24</v>
      </c>
      <c r="AC191" s="24">
        <f t="shared" si="163"/>
        <v>0.13058579576988952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-3.2514435588382188E-14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148.40707092284572</v>
      </c>
      <c r="AO191" s="62">
        <f t="shared" si="144"/>
        <v>162.45539016632631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6.3856517102798077E-2</v>
      </c>
      <c r="AW191" s="23">
        <f>EXP(-LN(2)/2)*AW190+(1-EXP(-LN(2)/2))/(LN(2)/2)*AQ191*AT191*VLOOKUP('Données projet'!$B$10,Paramètres!$A$1:$I$89,3,0)*0.475*44/12</f>
        <v>1.6071379989011732E-23</v>
      </c>
      <c r="AX191" s="23">
        <f t="shared" si="166"/>
        <v>6.3856517102798077E-2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2.8080648917239162E-14</v>
      </c>
      <c r="BF191" s="14">
        <f t="shared" si="167"/>
        <v>4.8906278147460642E-13</v>
      </c>
      <c r="BG191" s="22">
        <f t="shared" si="168"/>
        <v>9.0069147459913104E-13</v>
      </c>
      <c r="BH191" s="62">
        <f t="shared" si="116"/>
        <v>293.33333333333422</v>
      </c>
      <c r="BI191" s="62">
        <f ca="1">AVERAGE(OFFSET($BH$3,0,0,'Données projet'!$E$11+1,1))-AVERAGE(OFFSET($H$3,0,0,'Données projet'!$E$11+1,1))</f>
        <v>113.38017445149029</v>
      </c>
      <c r="BJ191" s="62">
        <f t="shared" si="146"/>
        <v>108.36144594421921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293.33333333333519</v>
      </c>
      <c r="S192" s="62">
        <f ca="1">AVERAGE(OFFSET($R$3,0,0,'Données projet'!$E$9+1,1))-AVERAGE(OFFSET($H$3,0,0,'Données projet'!$E$9+1,1))</f>
        <v>313.92223852157559</v>
      </c>
      <c r="T192" s="62">
        <f t="shared" si="142"/>
        <v>394.03759949558702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0.12701492031735334</v>
      </c>
      <c r="AB192" s="23">
        <f>EXP(-LN(2)/2)*AB191+(1-EXP(-LN(2)/2))/(LN(2)/2)*V192*Y192*VLOOKUP('Données projet'!$B$9,Paramètres!$A$1:$I$89,3,0)*0.475*44/12</f>
        <v>3.8610881659207192E-24</v>
      </c>
      <c r="AC192" s="24">
        <f t="shared" si="163"/>
        <v>0.12701492031735334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-3.2514435588382188E-14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148.40707092284572</v>
      </c>
      <c r="AO192" s="62">
        <f t="shared" si="144"/>
        <v>162.45539016632631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6.2110357284553774E-2</v>
      </c>
      <c r="AW192" s="23">
        <f>EXP(-LN(2)/2)*AW191+(1-EXP(-LN(2)/2))/(LN(2)/2)*AQ192*AT192*VLOOKUP('Données projet'!$B$10,Paramètres!$A$1:$I$89,3,0)*0.475*44/12</f>
        <v>1.1364181773255977E-23</v>
      </c>
      <c r="AX192" s="23">
        <f t="shared" si="166"/>
        <v>6.2110357284553774E-2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2.8080648917239162E-14</v>
      </c>
      <c r="BF192" s="14">
        <f t="shared" si="167"/>
        <v>4.8906278147460642E-13</v>
      </c>
      <c r="BG192" s="22">
        <f t="shared" si="168"/>
        <v>9.0069147459913104E-13</v>
      </c>
      <c r="BH192" s="62">
        <f t="shared" si="116"/>
        <v>293.33333333333422</v>
      </c>
      <c r="BI192" s="62">
        <f ca="1">AVERAGE(OFFSET($BH$3,0,0,'Données projet'!$E$11+1,1))-AVERAGE(OFFSET($H$3,0,0,'Données projet'!$E$11+1,1))</f>
        <v>113.38017445149029</v>
      </c>
      <c r="BJ192" s="62">
        <f t="shared" si="146"/>
        <v>108.36144594421921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293.33333333333519</v>
      </c>
      <c r="S193" s="62">
        <f ca="1">AVERAGE(OFFSET($R$3,0,0,'Données projet'!$E$9+1,1))-AVERAGE(OFFSET($H$3,0,0,'Données projet'!$E$9+1,1))</f>
        <v>313.92223852157559</v>
      </c>
      <c r="T193" s="62">
        <f t="shared" si="142"/>
        <v>394.03759949558702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0.12354169064185096</v>
      </c>
      <c r="AB193" s="23">
        <f>EXP(-LN(2)/2)*AB192+(1-EXP(-LN(2)/2))/(LN(2)/2)*V193*Y193*VLOOKUP('Données projet'!$B$9,Paramètres!$A$1:$I$89,3,0)*0.475*44/12</f>
        <v>2.7302016248816701E-24</v>
      </c>
      <c r="AC193" s="24">
        <f t="shared" si="163"/>
        <v>0.12354169064185096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-3.2514435588382188E-14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148.40707092284572</v>
      </c>
      <c r="AO193" s="62">
        <f t="shared" si="144"/>
        <v>162.45539016632631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6.0411946298365916E-2</v>
      </c>
      <c r="AW193" s="23">
        <f>EXP(-LN(2)/2)*AW192+(1-EXP(-LN(2)/2))/(LN(2)/2)*AQ193*AT193*VLOOKUP('Données projet'!$B$10,Paramètres!$A$1:$I$89,3,0)*0.475*44/12</f>
        <v>8.0356899945058658E-24</v>
      </c>
      <c r="AX193" s="23">
        <f t="shared" si="166"/>
        <v>6.0411946298365916E-2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2.8080648917239162E-14</v>
      </c>
      <c r="BF193" s="14">
        <f t="shared" si="167"/>
        <v>4.8906278147460642E-13</v>
      </c>
      <c r="BG193" s="22">
        <f t="shared" si="168"/>
        <v>9.0069147459913104E-13</v>
      </c>
      <c r="BH193" s="62">
        <f t="shared" si="116"/>
        <v>293.33333333333422</v>
      </c>
      <c r="BI193" s="62">
        <f ca="1">AVERAGE(OFFSET($BH$3,0,0,'Données projet'!$E$11+1,1))-AVERAGE(OFFSET($H$3,0,0,'Données projet'!$E$11+1,1))</f>
        <v>113.38017445149029</v>
      </c>
      <c r="BJ193" s="62">
        <f t="shared" si="146"/>
        <v>108.36144594421921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293.33333333333519</v>
      </c>
      <c r="S194" s="62">
        <f ca="1">AVERAGE(OFFSET($R$3,0,0,'Données projet'!$E$9+1,1))-AVERAGE(OFFSET($H$3,0,0,'Données projet'!$E$9+1,1))</f>
        <v>313.92223852157559</v>
      </c>
      <c r="T194" s="62">
        <f t="shared" si="142"/>
        <v>394.03759949558702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0.12016343661447439</v>
      </c>
      <c r="AB194" s="23">
        <f>EXP(-LN(2)/2)*AB193+(1-EXP(-LN(2)/2))/(LN(2)/2)*V194*Y194*VLOOKUP('Données projet'!$B$9,Paramètres!$A$1:$I$89,3,0)*0.475*44/12</f>
        <v>1.9305440829603596E-24</v>
      </c>
      <c r="AC194" s="24">
        <f t="shared" si="163"/>
        <v>0.12016343661447439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-3.2514435588382188E-14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148.40707092284572</v>
      </c>
      <c r="AO194" s="62">
        <f t="shared" si="144"/>
        <v>162.45539016632631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5.8759978449910918E-2</v>
      </c>
      <c r="AW194" s="23">
        <f>EXP(-LN(2)/2)*AW193+(1-EXP(-LN(2)/2))/(LN(2)/2)*AQ194*AT194*VLOOKUP('Données projet'!$B$10,Paramètres!$A$1:$I$89,3,0)*0.475*44/12</f>
        <v>5.6820908866279885E-24</v>
      </c>
      <c r="AX194" s="23">
        <f t="shared" si="166"/>
        <v>5.8759978449910918E-2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2.8080648917239162E-14</v>
      </c>
      <c r="BF194" s="14">
        <f t="shared" si="167"/>
        <v>4.8906278147460642E-13</v>
      </c>
      <c r="BG194" s="22">
        <f t="shared" si="168"/>
        <v>9.0069147459913104E-13</v>
      </c>
      <c r="BH194" s="62">
        <f t="shared" si="116"/>
        <v>293.33333333333422</v>
      </c>
      <c r="BI194" s="62">
        <f ca="1">AVERAGE(OFFSET($BH$3,0,0,'Données projet'!$E$11+1,1))-AVERAGE(OFFSET($H$3,0,0,'Données projet'!$E$11+1,1))</f>
        <v>113.38017445149029</v>
      </c>
      <c r="BJ194" s="62">
        <f t="shared" si="146"/>
        <v>108.36144594421921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293.33333333333519</v>
      </c>
      <c r="S195" s="62">
        <f ca="1">AVERAGE(OFFSET($R$3,0,0,'Données projet'!$E$9+1,1))-AVERAGE(OFFSET($H$3,0,0,'Données projet'!$E$9+1,1))</f>
        <v>313.92223852157559</v>
      </c>
      <c r="T195" s="62">
        <f t="shared" si="142"/>
        <v>394.03759949558702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0.1168775611211311</v>
      </c>
      <c r="AB195" s="23">
        <f>EXP(-LN(2)/2)*AB194+(1-EXP(-LN(2)/2))/(LN(2)/2)*V195*Y195*VLOOKUP('Données projet'!$B$9,Paramètres!$A$1:$I$89,3,0)*0.475*44/12</f>
        <v>1.3651008124408351E-24</v>
      </c>
      <c r="AC195" s="24">
        <f t="shared" si="163"/>
        <v>0.1168775611211311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-3.2514435588382188E-14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148.40707092284572</v>
      </c>
      <c r="AO195" s="62">
        <f t="shared" si="144"/>
        <v>162.45539016632631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5.7153183749145138E-2</v>
      </c>
      <c r="AW195" s="23">
        <f>EXP(-LN(2)/2)*AW194+(1-EXP(-LN(2)/2))/(LN(2)/2)*AQ195*AT195*VLOOKUP('Données projet'!$B$10,Paramètres!$A$1:$I$89,3,0)*0.475*44/12</f>
        <v>4.0178449972529329E-24</v>
      </c>
      <c r="AX195" s="23">
        <f t="shared" si="166"/>
        <v>5.7153183749145138E-2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2.8080648917239162E-14</v>
      </c>
      <c r="BF195" s="14">
        <f t="shared" si="167"/>
        <v>4.8906278147460642E-13</v>
      </c>
      <c r="BG195" s="22">
        <f t="shared" si="168"/>
        <v>9.0069147459913104E-13</v>
      </c>
      <c r="BH195" s="62">
        <f t="shared" si="116"/>
        <v>293.33333333333422</v>
      </c>
      <c r="BI195" s="62">
        <f ca="1">AVERAGE(OFFSET($BH$3,0,0,'Données projet'!$E$11+1,1))-AVERAGE(OFFSET($H$3,0,0,'Données projet'!$E$11+1,1))</f>
        <v>113.38017445149029</v>
      </c>
      <c r="BJ195" s="62">
        <f t="shared" si="146"/>
        <v>108.36144594421921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293.33333333333519</v>
      </c>
      <c r="S196" s="62">
        <f ca="1">AVERAGE(OFFSET($R$3,0,0,'Données projet'!$E$9+1,1))-AVERAGE(OFFSET($H$3,0,0,'Données projet'!$E$9+1,1))</f>
        <v>313.92223852157559</v>
      </c>
      <c r="T196" s="62">
        <f t="shared" si="142"/>
        <v>394.03759949558702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0.11368153806594995</v>
      </c>
      <c r="AB196" s="23">
        <f>EXP(-LN(2)/2)*AB195+(1-EXP(-LN(2)/2))/(LN(2)/2)*V196*Y196*VLOOKUP('Données projet'!$B$9,Paramètres!$A$1:$I$89,3,0)*0.475*44/12</f>
        <v>9.652720414801798E-25</v>
      </c>
      <c r="AC196" s="24">
        <f t="shared" si="163"/>
        <v>0.11368153806594995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-3.2514435588382188E-14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148.40707092284572</v>
      </c>
      <c r="AO196" s="62">
        <f t="shared" si="144"/>
        <v>162.45539016632631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5.5590326933969453E-2</v>
      </c>
      <c r="AW196" s="23">
        <f>EXP(-LN(2)/2)*AW195+(1-EXP(-LN(2)/2))/(LN(2)/2)*AQ196*AT196*VLOOKUP('Données projet'!$B$10,Paramètres!$A$1:$I$89,3,0)*0.475*44/12</f>
        <v>2.8410454433139943E-24</v>
      </c>
      <c r="AX196" s="23">
        <f t="shared" si="166"/>
        <v>5.5590326933969453E-2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2.8080648917239162E-14</v>
      </c>
      <c r="BF196" s="14">
        <f t="shared" si="167"/>
        <v>4.8906278147460642E-13</v>
      </c>
      <c r="BG196" s="22">
        <f t="shared" si="168"/>
        <v>9.0069147459913104E-13</v>
      </c>
      <c r="BH196" s="62">
        <f t="shared" ref="BH196:BH203" si="194">BG196+(AY196+AZ196)*44/12</f>
        <v>293.33333333333422</v>
      </c>
      <c r="BI196" s="62">
        <f ca="1">AVERAGE(OFFSET($BH$3,0,0,'Données projet'!$E$11+1,1))-AVERAGE(OFFSET($H$3,0,0,'Données projet'!$E$11+1,1))</f>
        <v>113.38017445149029</v>
      </c>
      <c r="BJ196" s="62">
        <f t="shared" si="146"/>
        <v>108.36144594421921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293.33333333333519</v>
      </c>
      <c r="S197" s="62">
        <f ca="1">AVERAGE(OFFSET($R$3,0,0,'Données projet'!$E$9+1,1))-AVERAGE(OFFSET($H$3,0,0,'Données projet'!$E$9+1,1))</f>
        <v>313.92223852157559</v>
      </c>
      <c r="T197" s="62">
        <f t="shared" ref="T197:T203" si="204">$T$3</f>
        <v>394.03759949558702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0.11057291042928429</v>
      </c>
      <c r="AB197" s="23">
        <f>EXP(-LN(2)/2)*AB196+(1-EXP(-LN(2)/2))/(LN(2)/2)*V197*Y197*VLOOKUP('Données projet'!$B$9,Paramètres!$A$1:$I$89,3,0)*0.475*44/12</f>
        <v>6.8255040622041754E-25</v>
      </c>
      <c r="AC197" s="24">
        <f t="shared" si="163"/>
        <v>0.11057291042928429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-3.2514435588382188E-14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148.40707092284572</v>
      </c>
      <c r="AO197" s="62">
        <f t="shared" ref="AO197:AO203" si="205">$AO$3</f>
        <v>162.45539016632631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5.4070206520591815E-2</v>
      </c>
      <c r="AW197" s="23">
        <f>EXP(-LN(2)/2)*AW196+(1-EXP(-LN(2)/2))/(LN(2)/2)*AQ197*AT197*VLOOKUP('Données projet'!$B$10,Paramètres!$A$1:$I$89,3,0)*0.475*44/12</f>
        <v>2.0089224986264664E-24</v>
      </c>
      <c r="AX197" s="23">
        <f t="shared" si="166"/>
        <v>5.4070206520591815E-2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2.8080648917239162E-14</v>
      </c>
      <c r="BF197" s="14">
        <f t="shared" si="167"/>
        <v>4.8906278147460642E-13</v>
      </c>
      <c r="BG197" s="22">
        <f t="shared" si="168"/>
        <v>9.0069147459913104E-13</v>
      </c>
      <c r="BH197" s="62">
        <f t="shared" si="194"/>
        <v>293.33333333333422</v>
      </c>
      <c r="BI197" s="62">
        <f ca="1">AVERAGE(OFFSET($BH$3,0,0,'Données projet'!$E$11+1,1))-AVERAGE(OFFSET($H$3,0,0,'Données projet'!$E$11+1,1))</f>
        <v>113.38017445149029</v>
      </c>
      <c r="BJ197" s="62">
        <f t="shared" ref="BJ197:BJ203" si="206">$BJ$3</f>
        <v>108.36144594421921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293.33333333333519</v>
      </c>
      <c r="S198" s="62">
        <f ca="1">AVERAGE(OFFSET($R$3,0,0,'Données projet'!$E$9+1,1))-AVERAGE(OFFSET($H$3,0,0,'Données projet'!$E$9+1,1))</f>
        <v>313.92223852157559</v>
      </c>
      <c r="T198" s="62">
        <f t="shared" si="204"/>
        <v>394.03759949558702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0.10754928837881886</v>
      </c>
      <c r="AB198" s="23">
        <f>EXP(-LN(2)/2)*AB197+(1-EXP(-LN(2)/2))/(LN(2)/2)*V198*Y198*VLOOKUP('Données projet'!$B$9,Paramètres!$A$1:$I$89,3,0)*0.475*44/12</f>
        <v>4.826360207400899E-25</v>
      </c>
      <c r="AC198" s="24">
        <f t="shared" si="163"/>
        <v>0.10754928837881886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-3.2514435588382188E-14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148.40707092284572</v>
      </c>
      <c r="AO198" s="62">
        <f t="shared" si="205"/>
        <v>162.45539016632631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5.2591653879857647E-2</v>
      </c>
      <c r="AW198" s="23">
        <f>EXP(-LN(2)/2)*AW197+(1-EXP(-LN(2)/2))/(LN(2)/2)*AQ198*AT198*VLOOKUP('Données projet'!$B$10,Paramètres!$A$1:$I$89,3,0)*0.475*44/12</f>
        <v>1.4205227216569971E-24</v>
      </c>
      <c r="AX198" s="23">
        <f t="shared" si="166"/>
        <v>5.2591653879857647E-2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2.8080648917239162E-14</v>
      </c>
      <c r="BF198" s="14">
        <f t="shared" si="167"/>
        <v>4.8906278147460642E-13</v>
      </c>
      <c r="BG198" s="22">
        <f t="shared" si="168"/>
        <v>9.0069147459913104E-13</v>
      </c>
      <c r="BH198" s="62">
        <f t="shared" si="194"/>
        <v>293.33333333333422</v>
      </c>
      <c r="BI198" s="62">
        <f ca="1">AVERAGE(OFFSET($BH$3,0,0,'Données projet'!$E$11+1,1))-AVERAGE(OFFSET($H$3,0,0,'Données projet'!$E$11+1,1))</f>
        <v>113.38017445149029</v>
      </c>
      <c r="BJ198" s="62">
        <f t="shared" si="206"/>
        <v>108.36144594421921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293.33333333333519</v>
      </c>
      <c r="S199" s="62">
        <f ca="1">AVERAGE(OFFSET($R$3,0,0,'Données projet'!$E$9+1,1))-AVERAGE(OFFSET($H$3,0,0,'Données projet'!$E$9+1,1))</f>
        <v>313.92223852157559</v>
      </c>
      <c r="T199" s="62">
        <f t="shared" si="204"/>
        <v>394.03759949558702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0.10460834743232879</v>
      </c>
      <c r="AB199" s="23">
        <f>EXP(-LN(2)/2)*AB198+(1-EXP(-LN(2)/2))/(LN(2)/2)*V199*Y199*VLOOKUP('Données projet'!$B$9,Paramètres!$A$1:$I$89,3,0)*0.475*44/12</f>
        <v>3.4127520311020877E-25</v>
      </c>
      <c r="AC199" s="24">
        <f t="shared" si="163"/>
        <v>0.10460834743232879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-3.2514435588382188E-14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148.40707092284572</v>
      </c>
      <c r="AO199" s="62">
        <f t="shared" si="205"/>
        <v>162.45539016632631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5.1153532338838063E-2</v>
      </c>
      <c r="AW199" s="23">
        <f>EXP(-LN(2)/2)*AW198+(1-EXP(-LN(2)/2))/(LN(2)/2)*AQ199*AT199*VLOOKUP('Données projet'!$B$10,Paramètres!$A$1:$I$89,3,0)*0.475*44/12</f>
        <v>1.0044612493132332E-24</v>
      </c>
      <c r="AX199" s="23">
        <f t="shared" si="166"/>
        <v>5.1153532338838063E-2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2.8080648917239162E-14</v>
      </c>
      <c r="BF199" s="14">
        <f t="shared" si="167"/>
        <v>4.8906278147460642E-13</v>
      </c>
      <c r="BG199" s="22">
        <f t="shared" si="168"/>
        <v>9.0069147459913104E-13</v>
      </c>
      <c r="BH199" s="62">
        <f t="shared" si="194"/>
        <v>293.33333333333422</v>
      </c>
      <c r="BI199" s="62">
        <f ca="1">AVERAGE(OFFSET($BH$3,0,0,'Données projet'!$E$11+1,1))-AVERAGE(OFFSET($H$3,0,0,'Données projet'!$E$11+1,1))</f>
        <v>113.38017445149029</v>
      </c>
      <c r="BJ199" s="62">
        <f t="shared" si="206"/>
        <v>108.36144594421921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293.33333333333519</v>
      </c>
      <c r="S200" s="62">
        <f ca="1">AVERAGE(OFFSET($R$3,0,0,'Données projet'!$E$9+1,1))-AVERAGE(OFFSET($H$3,0,0,'Données projet'!$E$9+1,1))</f>
        <v>313.92223852157559</v>
      </c>
      <c r="T200" s="62">
        <f t="shared" si="204"/>
        <v>394.03759949558702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0.10174782667067785</v>
      </c>
      <c r="AB200" s="23">
        <f>EXP(-LN(2)/2)*AB199+(1-EXP(-LN(2)/2))/(LN(2)/2)*V200*Y200*VLOOKUP('Données projet'!$B$9,Paramètres!$A$1:$I$89,3,0)*0.475*44/12</f>
        <v>2.4131801037004495E-25</v>
      </c>
      <c r="AC200" s="24">
        <f t="shared" si="163"/>
        <v>0.10174782667067785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-3.2514435588382188E-14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148.40707092284572</v>
      </c>
      <c r="AO200" s="62">
        <f t="shared" si="205"/>
        <v>162.45539016632631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4.9754736306985181E-2</v>
      </c>
      <c r="AW200" s="23">
        <f>EXP(-LN(2)/2)*AW199+(1-EXP(-LN(2)/2))/(LN(2)/2)*AQ200*AT200*VLOOKUP('Données projet'!$B$10,Paramètres!$A$1:$I$89,3,0)*0.475*44/12</f>
        <v>7.1026136082849857E-25</v>
      </c>
      <c r="AX200" s="23">
        <f t="shared" si="166"/>
        <v>4.9754736306985181E-2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2.8080648917239162E-14</v>
      </c>
      <c r="BF200" s="14">
        <f t="shared" si="167"/>
        <v>4.8906278147460642E-13</v>
      </c>
      <c r="BG200" s="22">
        <f t="shared" si="168"/>
        <v>9.0069147459913104E-13</v>
      </c>
      <c r="BH200" s="62">
        <f t="shared" si="194"/>
        <v>293.33333333333422</v>
      </c>
      <c r="BI200" s="62">
        <f ca="1">AVERAGE(OFFSET($BH$3,0,0,'Données projet'!$E$11+1,1))-AVERAGE(OFFSET($H$3,0,0,'Données projet'!$E$11+1,1))</f>
        <v>113.38017445149029</v>
      </c>
      <c r="BJ200" s="62">
        <f t="shared" si="206"/>
        <v>108.36144594421921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293.33333333333519</v>
      </c>
      <c r="S201" s="62">
        <f ca="1">AVERAGE(OFFSET($R$3,0,0,'Données projet'!$E$9+1,1))-AVERAGE(OFFSET($H$3,0,0,'Données projet'!$E$9+1,1))</f>
        <v>313.92223852157559</v>
      </c>
      <c r="T201" s="62">
        <f t="shared" si="204"/>
        <v>394.03759949558702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9.8965526999682502E-2</v>
      </c>
      <c r="AB201" s="23">
        <f>EXP(-LN(2)/2)*AB200+(1-EXP(-LN(2)/2))/(LN(2)/2)*V201*Y201*VLOOKUP('Données projet'!$B$9,Paramètres!$A$1:$I$89,3,0)*0.475*44/12</f>
        <v>1.7063760155510438E-25</v>
      </c>
      <c r="AC201" s="24">
        <f t="shared" si="163"/>
        <v>9.8965526999682502E-2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-3.2514435588382188E-14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148.40707092284572</v>
      </c>
      <c r="AO201" s="62">
        <f t="shared" si="205"/>
        <v>162.45539016632631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4.8394190426182808E-2</v>
      </c>
      <c r="AW201" s="23">
        <f>EXP(-LN(2)/2)*AW200+(1-EXP(-LN(2)/2))/(LN(2)/2)*AQ201*AT201*VLOOKUP('Données projet'!$B$10,Paramètres!$A$1:$I$89,3,0)*0.475*44/12</f>
        <v>5.0223062465661661E-25</v>
      </c>
      <c r="AX201" s="23">
        <f t="shared" si="166"/>
        <v>4.8394190426182808E-2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2.8080648917239162E-14</v>
      </c>
      <c r="BF201" s="14">
        <f t="shared" si="167"/>
        <v>4.8906278147460642E-13</v>
      </c>
      <c r="BG201" s="22">
        <f t="shared" si="168"/>
        <v>9.0069147459913104E-13</v>
      </c>
      <c r="BH201" s="62">
        <f t="shared" si="194"/>
        <v>293.33333333333422</v>
      </c>
      <c r="BI201" s="62">
        <f ca="1">AVERAGE(OFFSET($BH$3,0,0,'Données projet'!$E$11+1,1))-AVERAGE(OFFSET($H$3,0,0,'Données projet'!$E$11+1,1))</f>
        <v>113.38017445149029</v>
      </c>
      <c r="BJ201" s="62">
        <f t="shared" si="206"/>
        <v>108.36144594421921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293.33333333333519</v>
      </c>
      <c r="S202" s="62">
        <f ca="1">AVERAGE(OFFSET($R$3,0,0,'Données projet'!$E$9+1,1))-AVERAGE(OFFSET($H$3,0,0,'Données projet'!$E$9+1,1))</f>
        <v>313.92223852157559</v>
      </c>
      <c r="T202" s="62">
        <f t="shared" si="204"/>
        <v>394.03759949558702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9.625930945950531E-2</v>
      </c>
      <c r="AB202" s="23">
        <f>EXP(-LN(2)/2)*AB201+(1-EXP(-LN(2)/2))/(LN(2)/2)*V202*Y202*VLOOKUP('Données projet'!$B$9,Paramètres!$A$1:$I$89,3,0)*0.475*44/12</f>
        <v>1.2065900518502247E-25</v>
      </c>
      <c r="AC202" s="24">
        <f t="shared" si="163"/>
        <v>9.625930945950531E-2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-3.2514435588382188E-14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148.40707092284572</v>
      </c>
      <c r="AO202" s="62">
        <f t="shared" si="205"/>
        <v>162.45539016632631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4.7070848744038968E-2</v>
      </c>
      <c r="AW202" s="23">
        <f>EXP(-LN(2)/2)*AW201+(1-EXP(-LN(2)/2))/(LN(2)/2)*AQ202*AT202*VLOOKUP('Données projet'!$B$10,Paramètres!$A$1:$I$89,3,0)*0.475*44/12</f>
        <v>3.5513068041424928E-25</v>
      </c>
      <c r="AX202" s="23">
        <f t="shared" si="166"/>
        <v>4.7070848744038968E-2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2.8080648917239162E-14</v>
      </c>
      <c r="BF202" s="14">
        <f t="shared" si="167"/>
        <v>4.8906278147460642E-13</v>
      </c>
      <c r="BG202" s="22">
        <f t="shared" si="168"/>
        <v>9.0069147459913104E-13</v>
      </c>
      <c r="BH202" s="62">
        <f t="shared" si="194"/>
        <v>293.33333333333422</v>
      </c>
      <c r="BI202" s="62">
        <f ca="1">AVERAGE(OFFSET($BH$3,0,0,'Données projet'!$E$11+1,1))-AVERAGE(OFFSET($H$3,0,0,'Données projet'!$E$11+1,1))</f>
        <v>113.38017445149029</v>
      </c>
      <c r="BJ202" s="62">
        <f t="shared" si="206"/>
        <v>108.36144594421921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293.33333333333519</v>
      </c>
      <c r="S203" s="62">
        <f ca="1">AVERAGE(OFFSET($R$3,0,0,'Données projet'!$E$9+1,1))-AVERAGE(OFFSET($H$3,0,0,'Données projet'!$E$9+1,1))</f>
        <v>313.92223852157559</v>
      </c>
      <c r="T203" s="62">
        <f t="shared" si="204"/>
        <v>394.03759949558702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9.3627093580278056E-2</v>
      </c>
      <c r="AB203" s="23">
        <f>EXP(-LN(2)/2)*AB202+(1-EXP(-LN(2)/2))/(LN(2)/2)*V203*Y203*VLOOKUP('Données projet'!$B$9,Paramètres!$A$1:$I$89,3,0)*0.475*44/12</f>
        <v>8.5318800777552192E-26</v>
      </c>
      <c r="AC203" s="24">
        <f t="shared" si="163"/>
        <v>9.3627093580278056E-2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-3.2514435588382188E-14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148.40707092284572</v>
      </c>
      <c r="AO203" s="62">
        <f t="shared" si="205"/>
        <v>162.45539016632631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4.5783693909784866E-2</v>
      </c>
      <c r="AW203" s="23">
        <f>EXP(-LN(2)/2)*AW202+(1-EXP(-LN(2)/2))/(LN(2)/2)*AQ203*AT203*VLOOKUP('Données projet'!$B$10,Paramètres!$A$1:$I$89,3,0)*0.475*44/12</f>
        <v>2.5111531232830831E-25</v>
      </c>
      <c r="AX203" s="23">
        <f t="shared" si="166"/>
        <v>4.5783693909784866E-2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2.8080648917239162E-14</v>
      </c>
      <c r="BF203" s="14">
        <f t="shared" si="167"/>
        <v>4.8906278147460642E-13</v>
      </c>
      <c r="BG203" s="22">
        <f t="shared" si="168"/>
        <v>9.0069147459913104E-13</v>
      </c>
      <c r="BH203" s="62">
        <f t="shared" si="194"/>
        <v>293.33333333333422</v>
      </c>
      <c r="BI203" s="62">
        <f ca="1">AVERAGE(OFFSET($BH$3,0,0,'Données projet'!$E$11+1,1))-AVERAGE(OFFSET($H$3,0,0,'Données projet'!$E$11+1,1))</f>
        <v>113.38017445149029</v>
      </c>
      <c r="BJ203" s="62">
        <f t="shared" si="206"/>
        <v>108.36144594421921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1.2477420770391454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1.1651295112443776</v>
      </c>
      <c r="BA205" s="88">
        <f>EXP(LN('Données projet'!B88)/'Données projet'!A88)</f>
        <v>1.0877775569940897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4" sqref="I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1.6259999999999999</v>
      </c>
      <c r="C6" s="156">
        <f ca="1">IF(OR('Données projet'!B9="",'Données projet'!C9="",'Données projet'!C9=0%),0,Calculateur!S3)</f>
        <v>313.92223852157559</v>
      </c>
      <c r="D6" s="156">
        <f>IF(OR('Données projet'!B9="",'Données projet'!C9="",'Données projet'!C9=0%),0,Calculateur!T3)</f>
        <v>394.03759949558702</v>
      </c>
      <c r="E6" s="156">
        <f ca="1">MIN(C6,D6)</f>
        <v>313.92223852157559</v>
      </c>
      <c r="F6" s="156">
        <f ca="1">E6*B6</f>
        <v>510.4375598360819</v>
      </c>
      <c r="G6" s="156">
        <f ca="1">F6*(100%-'Données projet'!$C$24)*(100%-'Données projet'!$C$25)*(100%-'Données projet'!$C$26)*(100%-'Données projet'!$C$27)</f>
        <v>459.3938038524737</v>
      </c>
      <c r="H6" s="157">
        <f>IF(OR('Données projet'!B9="",'Données projet'!C9="",'Données projet'!C9=0%),0,AVERAGE(Calculateur!$AC$3:$AC$33)*B6)</f>
        <v>6.448621781178395</v>
      </c>
      <c r="I6" s="158">
        <f>H6*(100%-'Données projet'!$C$24)*(100%-'Données projet'!$C$25)*(100%-'Données projet'!$C$26)*(100%-'Données projet'!$C$27)</f>
        <v>5.8037596030605556</v>
      </c>
      <c r="J6" s="159">
        <f>IF(OR('Données projet'!B9="",'Données projet'!C9="",'Données projet'!C9=0%),0,SUM(Calculateur!$V$3:$V$33)*VLOOKUP('Données projet'!$B$9,Paramètres!$A$1:$I$89,9,0)*B6)</f>
        <v>41.251619999999996</v>
      </c>
      <c r="K6" s="160">
        <f>J6*(100%-'Données projet'!$C$24)*(100%-'Données projet'!$C$25)*(100%-'Données projet'!$C$26)*(100%-'Données projet'!$C$27)</f>
        <v>37.126458</v>
      </c>
      <c r="L6" s="161">
        <f ca="1">G6+I6+K6</f>
        <v>502.32402145553425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sylvestre</v>
      </c>
      <c r="B7" s="163">
        <f>'Données projet'!D10</f>
        <v>0.56909999999999994</v>
      </c>
      <c r="C7" s="156">
        <f ca="1">IF(OR('Données projet'!B10="",'Données projet'!C10="",'Données projet'!C10=0%),0,Calculateur!AN3)</f>
        <v>148.40707092284572</v>
      </c>
      <c r="D7" s="156">
        <f>IF(OR('Données projet'!B10="",'Données projet'!C10="",'Données projet'!C10=0%),0,Calculateur!AO3)</f>
        <v>162.45539016632631</v>
      </c>
      <c r="E7" s="156">
        <f t="shared" ref="E7:E15" ca="1" si="0">MIN(C7,D7)</f>
        <v>148.40707092284572</v>
      </c>
      <c r="F7" s="156">
        <f t="shared" ref="F7:F15" ca="1" si="1">E7*B7</f>
        <v>84.458464062191496</v>
      </c>
      <c r="G7" s="156">
        <f ca="1">F7*(100%-'Données projet'!$C$24)*(100%-'Données projet'!$C$25)*(100%-'Données projet'!$C$26)*(100%-'Données projet'!$C$27)</f>
        <v>76.012617655972349</v>
      </c>
      <c r="H7" s="164">
        <f>IF(OR('Données projet'!B10="",'Données projet'!C10="",'Données projet'!C10=0%),0,AVERAGE(Calculateur!$AX$3:$AX$33)*B7)</f>
        <v>0.27199770532486872</v>
      </c>
      <c r="I7" s="158">
        <f>H7*(100%-'Données projet'!$C$24)*(100%-'Données projet'!$C$25)*(100%-'Données projet'!$C$26)*(100%-'Données projet'!$C$27)</f>
        <v>0.24479793479238185</v>
      </c>
      <c r="J7" s="159">
        <f>IF(OR('Données projet'!B10="",'Données projet'!C10="",'Données projet'!C10=0%),0,SUM(Calculateur!$AQ$3:$AQ$33)*VLOOKUP('Données projet'!$B$10,Paramètres!$A$1:$I$89,9,0)*B7)</f>
        <v>7.3413899999999996</v>
      </c>
      <c r="K7" s="160">
        <f>J7*(100%-'Données projet'!$C$24)*(100%-'Données projet'!$C$25)*(100%-'Données projet'!$C$26)*(100%-'Données projet'!$C$27)</f>
        <v>6.6072509999999998</v>
      </c>
      <c r="L7" s="161">
        <f t="shared" ref="L7:L15" ca="1" si="2">G7+I7+K7</f>
        <v>82.864666590764742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Sapin pectiné</v>
      </c>
      <c r="B8" s="163">
        <f>'Données projet'!D11</f>
        <v>0.51490000000000002</v>
      </c>
      <c r="C8" s="156">
        <f ca="1">IF(OR('Données projet'!B11="",'Données projet'!C11="",'Données projet'!C11=0%),0,Calculateur!BI3)</f>
        <v>113.38017445149029</v>
      </c>
      <c r="D8" s="156">
        <f>IF(OR('Données projet'!B11="",'Données projet'!C11="",'Données projet'!C11=0%),0,Calculateur!BJ3)</f>
        <v>108.36144594421921</v>
      </c>
      <c r="E8" s="156">
        <f t="shared" ca="1" si="0"/>
        <v>108.36144594421921</v>
      </c>
      <c r="F8" s="156">
        <f t="shared" ca="1" si="1"/>
        <v>55.795308516678475</v>
      </c>
      <c r="G8" s="156">
        <f ca="1">F8*(100%-'Données projet'!$C$24)*(100%-'Données projet'!$C$25)*(100%-'Données projet'!$C$26)*(100%-'Données projet'!$C$27)</f>
        <v>50.215777665010627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50.215777665010627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650.69133241495183</v>
      </c>
      <c r="G16" s="175">
        <f t="shared" ca="1" si="3"/>
        <v>585.62219917345669</v>
      </c>
      <c r="H16" s="176">
        <f t="shared" si="3"/>
        <v>6.7206194865032636</v>
      </c>
      <c r="I16" s="176">
        <f t="shared" si="3"/>
        <v>6.048557537852937</v>
      </c>
      <c r="J16" s="177">
        <f t="shared" si="3"/>
        <v>48.593009999999992</v>
      </c>
      <c r="K16" s="177">
        <f t="shared" si="3"/>
        <v>43.733708999999998</v>
      </c>
      <c r="L16" s="178">
        <f t="shared" ca="1" si="3"/>
        <v>635.40446571130963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sylvestre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Sapin pectiné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87" sqref="C8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4237.3427496147806</v>
      </c>
      <c r="U10" s="190">
        <f>'Données projet'!D9</f>
        <v>1.6259999999999999</v>
      </c>
      <c r="V10" s="189">
        <f>U10*T10</f>
        <v>6889.9193108736326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sylvestre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1203.5827273516181</v>
      </c>
      <c r="U11" s="190">
        <f>'Données projet'!D10</f>
        <v>0.56909999999999994</v>
      </c>
      <c r="V11" s="189">
        <f t="shared" ref="V11" si="0">U11*T11</f>
        <v>684.95893013580576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Sapin pectiné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648.03656468725183</v>
      </c>
      <c r="U12" s="190">
        <f>'Données projet'!D11</f>
        <v>0.51490000000000002</v>
      </c>
      <c r="V12" s="189">
        <f t="shared" ref="V12:V19" si="1">U12*T12</f>
        <v>333.67402715746596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7761.5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1190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1190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59</v>
      </c>
      <c r="C23" s="206">
        <v>13</v>
      </c>
      <c r="D23" s="194">
        <f>B23*C23</f>
        <v>767</v>
      </c>
      <c r="E23" s="206"/>
      <c r="F23" s="261"/>
      <c r="H23" s="203">
        <v>4</v>
      </c>
      <c r="I23" s="204">
        <v>1360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-27584.274192081888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32</v>
      </c>
      <c r="B24" s="193">
        <f>'Données projet'!D37</f>
        <v>79</v>
      </c>
      <c r="C24" s="206">
        <v>30</v>
      </c>
      <c r="D24" s="194">
        <f t="shared" ref="D24:D42" si="2">B24*C24</f>
        <v>2370</v>
      </c>
      <c r="E24" s="206"/>
      <c r="F24" s="264"/>
      <c r="H24" s="203">
        <v>5</v>
      </c>
      <c r="I24" s="204">
        <v>1360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46</v>
      </c>
      <c r="B25" s="193">
        <f>'Données projet'!D38</f>
        <v>86</v>
      </c>
      <c r="C25" s="206">
        <v>40</v>
      </c>
      <c r="D25" s="194">
        <f t="shared" si="2"/>
        <v>3440</v>
      </c>
      <c r="E25" s="206"/>
      <c r="F25" s="264"/>
      <c r="G25" s="1"/>
      <c r="H25" s="203">
        <v>6</v>
      </c>
      <c r="I25" s="204">
        <v>1700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-27584.274192081888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60</v>
      </c>
      <c r="B26" s="193">
        <f>'Données projet'!D39</f>
        <v>517</v>
      </c>
      <c r="C26" s="206">
        <v>80</v>
      </c>
      <c r="D26" s="194">
        <f t="shared" si="2"/>
        <v>41360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sylvestre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30</v>
      </c>
      <c r="C54" s="204">
        <v>6</v>
      </c>
      <c r="D54" s="191">
        <f>B54*C54</f>
        <v>180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40</v>
      </c>
      <c r="B55" s="193">
        <f>'Données projet'!D63</f>
        <v>38</v>
      </c>
      <c r="C55" s="204">
        <v>15</v>
      </c>
      <c r="D55" s="191">
        <f t="shared" ref="D55:D73" si="4">B55*C55</f>
        <v>570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50</v>
      </c>
      <c r="B56" s="193">
        <f>'Données projet'!D64</f>
        <v>56</v>
      </c>
      <c r="C56" s="204">
        <v>30</v>
      </c>
      <c r="D56" s="191">
        <f t="shared" si="4"/>
        <v>1680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60</v>
      </c>
      <c r="B57" s="193">
        <f>'Données projet'!D65</f>
        <v>272</v>
      </c>
      <c r="C57" s="204">
        <v>50</v>
      </c>
      <c r="D57" s="191">
        <f t="shared" si="4"/>
        <v>13600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Sapin pectiné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57</v>
      </c>
      <c r="B85" s="193">
        <f>'Données projet'!D88</f>
        <v>25</v>
      </c>
      <c r="C85" s="204">
        <v>25</v>
      </c>
      <c r="D85" s="191">
        <f>B85*C85</f>
        <v>625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67</v>
      </c>
      <c r="B86" s="193">
        <f>'Données projet'!D89</f>
        <v>228</v>
      </c>
      <c r="C86" s="204">
        <v>50</v>
      </c>
      <c r="D86" s="191">
        <f t="shared" ref="D86:D104" si="6">B86*C86</f>
        <v>11400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Baptiste DUBOIS</cp:lastModifiedBy>
  <cp:lastPrinted>2023-12-14T10:19:57Z</cp:lastPrinted>
  <dcterms:created xsi:type="dcterms:W3CDTF">2021-02-01T08:22:39Z</dcterms:created>
  <dcterms:modified xsi:type="dcterms:W3CDTF">2023-12-22T11:28:03Z</dcterms:modified>
</cp:coreProperties>
</file>