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54546af64a26a65e/Bureau/"/>
    </mc:Choice>
  </mc:AlternateContent>
  <xr:revisionPtr revIDLastSave="0" documentId="8_{CEDEFD8C-597A-42D0-9EAE-FDFE7C17C6EE}" xr6:coauthVersionLast="47" xr6:coauthVersionMax="47" xr10:uidLastSave="{00000000-0000-0000-0000-000000000000}"/>
  <bookViews>
    <workbookView xWindow="-120" yWindow="-120" windowWidth="29040" windowHeight="1572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3" i="6" l="1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C42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23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FQ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X5" i="2"/>
  <c r="EC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V7" i="2"/>
  <c r="HI7" i="2"/>
  <c r="EA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A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HG20" i="2"/>
  <c r="EV20" i="2"/>
  <c r="FS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HI21" i="2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HG33" i="2"/>
  <c r="EV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EA38" i="2"/>
  <c r="HG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EX43" i="2"/>
  <c r="HI43" i="2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G44" i="2"/>
  <c r="FS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X45" i="2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G48" i="2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I57" i="2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HI62" i="2"/>
  <c r="EA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I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FS75" i="2"/>
  <c r="HG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W78" i="2"/>
  <c r="EV78" i="2"/>
  <c r="EC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C85" i="2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X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FS105" i="2"/>
  <c r="EV105" i="2"/>
  <c r="HH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B107" i="2"/>
  <c r="HG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B108" i="2"/>
  <c r="EA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X112" i="2"/>
  <c r="HI112" i="2"/>
  <c r="EC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I113" i="2"/>
  <c r="EB113" i="2"/>
  <c r="EC113" i="2"/>
  <c r="EX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HG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HH118" i="2"/>
  <c r="EX118" i="2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Q120" i="2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FR121" i="2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FS122" i="2"/>
  <c r="HH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FS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G130" i="2"/>
  <c r="EX130" i="2"/>
  <c r="EB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G140" i="2"/>
  <c r="EX140" i="2"/>
  <c r="EB140" i="2"/>
  <c r="FR140" i="2"/>
  <c r="HH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FS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HH145" i="2"/>
  <c r="HG145" i="2"/>
  <c r="EB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I146" i="2"/>
  <c r="EA146" i="2"/>
  <c r="FS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I150" i="2"/>
  <c r="HG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HJ154" i="2"/>
  <c r="HH155" i="2"/>
  <c r="EY154" i="2"/>
  <c r="DI154" i="2"/>
  <c r="HG155" i="2"/>
  <c r="EW155" i="2"/>
  <c r="EA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FS156" i="2" l="1"/>
  <c r="EY155" i="2"/>
  <c r="ED155" i="2"/>
  <c r="HG156" i="2"/>
  <c r="EB156" i="2"/>
  <c r="DH156" i="2"/>
  <c r="EX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A157" i="2"/>
  <c r="HG157" i="2"/>
  <c r="EC157" i="2"/>
  <c r="EX157" i="2"/>
  <c r="EB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W158" i="2" l="1"/>
  <c r="ED157" i="2"/>
  <c r="HH158" i="2"/>
  <c r="EC158" i="2"/>
  <c r="HG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HI159" i="2"/>
  <c r="HH159" i="2"/>
  <c r="EC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EY159" i="2"/>
  <c r="HG160" i="2"/>
  <c r="HH160" i="2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HG161" i="2" l="1"/>
  <c r="HH161" i="2"/>
  <c r="EA161" i="2"/>
  <c r="ED160" i="2"/>
  <c r="EB161" i="2"/>
  <c r="EX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EW162" i="2"/>
  <c r="ED161" i="2"/>
  <c r="EC162" i="2"/>
  <c r="EY161" i="2"/>
  <c r="DI161" i="2"/>
  <c r="EB162" i="2"/>
  <c r="HH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HH163" i="2"/>
  <c r="HG163" i="2"/>
  <c r="EA163" i="2"/>
  <c r="EB163" i="2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FR164" i="2"/>
  <c r="EX164" i="2"/>
  <c r="EV164" i="2"/>
  <c r="EA164" i="2"/>
  <c r="DI163" i="2"/>
  <c r="HG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X165" i="2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EC166" i="2"/>
  <c r="ED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J166" i="2"/>
  <c r="FR167" i="2"/>
  <c r="EY166" i="2"/>
  <c r="EX167" i="2"/>
  <c r="HH167" i="2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HH168" i="2"/>
  <c r="EB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A169" i="2"/>
  <c r="FS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A172" i="2"/>
  <c r="EY171" i="2"/>
  <c r="EW172" i="2"/>
  <c r="EV172" i="2"/>
  <c r="HI172" i="2"/>
  <c r="HG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HH173" i="2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G174" i="2" l="1"/>
  <c r="EY173" i="2"/>
  <c r="EC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A175" i="2" l="1"/>
  <c r="EB175" i="2"/>
  <c r="ED174" i="2"/>
  <c r="HI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HH178" i="2"/>
  <c r="HG178" i="2"/>
  <c r="EB178" i="2"/>
  <c r="EA178" i="2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HH179" i="2"/>
  <c r="EV179" i="2"/>
  <c r="ED178" i="2"/>
  <c r="EA179" i="2"/>
  <c r="DF179" i="2"/>
  <c r="HG179" i="2"/>
  <c r="HI179" i="2"/>
  <c r="FS179" i="2"/>
  <c r="EX179" i="2"/>
  <c r="AW179" i="2"/>
  <c r="EC179" i="2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HI180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Y184" i="2"/>
  <c r="HH185" i="2"/>
  <c r="EB185" i="2"/>
  <c r="HI185" i="2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HH186" i="2"/>
  <c r="EB186" i="2"/>
  <c r="HG186" i="2"/>
  <c r="FR186" i="2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EB187" i="2"/>
  <c r="EC187" i="2"/>
  <c r="EY186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ED187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B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EY189" i="2"/>
  <c r="EW190" i="2"/>
  <c r="EV190" i="2"/>
  <c r="EB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G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A192" i="2"/>
  <c r="HI192" i="2"/>
  <c r="EC192" i="2"/>
  <c r="EV192" i="2"/>
  <c r="HH192" i="2"/>
  <c r="EB192" i="2"/>
  <c r="EW192" i="2"/>
  <c r="HG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FQ193" i="2"/>
  <c r="HI193" i="2"/>
  <c r="ED192" i="2"/>
  <c r="EB193" i="2"/>
  <c r="DI192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G194" i="2" l="1"/>
  <c r="ED193" i="2"/>
  <c r="CN193" i="2"/>
  <c r="EB194" i="2"/>
  <c r="EA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EB195" i="2"/>
  <c r="HG195" i="2"/>
  <c r="ED194" i="2"/>
  <c r="EY194" i="2"/>
  <c r="AA195" i="2"/>
  <c r="EA195" i="2"/>
  <c r="HI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Y195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A197" i="2" l="1"/>
  <c r="EW197" i="2"/>
  <c r="EY196" i="2"/>
  <c r="EC197" i="2"/>
  <c r="A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W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G199" i="2" l="1"/>
  <c r="EV199" i="2"/>
  <c r="EY198" i="2"/>
  <c r="EW199" i="2"/>
  <c r="EB199" i="2"/>
  <c r="EA199" i="2"/>
  <c r="FS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J199" i="2" l="1"/>
  <c r="EX200" i="2"/>
  <c r="EW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HJ200" i="2"/>
  <c r="DI200" i="2"/>
  <c r="HH201" i="2"/>
  <c r="FS201" i="2"/>
  <c r="EA201" i="2"/>
  <c r="EB201" i="2"/>
  <c r="HG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H202" i="2" l="1"/>
  <c r="EY201" i="2"/>
  <c r="EW202" i="2"/>
  <c r="EX202" i="2"/>
  <c r="ED201" i="2"/>
  <c r="HG202" i="2"/>
  <c r="FZ6" i="2"/>
  <c r="HI202" i="2"/>
  <c r="HJ202" i="2" s="1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50" i="2" a="1"/>
  <c r="EI150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113" i="2" a="1"/>
  <c r="EI113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AX200" i="2"/>
  <c r="HG203" i="2" l="1"/>
  <c r="EI166" i="2" a="1"/>
  <c r="EI166" i="2" s="1"/>
  <c r="EI87" i="2" a="1"/>
  <c r="EI87" i="2" s="1"/>
  <c r="EI165" i="2" a="1"/>
  <c r="EI165" i="2" s="1"/>
  <c r="EI139" i="2" a="1"/>
  <c r="EI139" i="2" s="1"/>
  <c r="EI142" i="2" a="1"/>
  <c r="EI142" i="2" s="1"/>
  <c r="EI67" i="2" a="1"/>
  <c r="EI67" i="2" s="1"/>
  <c r="EI128" i="2" a="1"/>
  <c r="EI128" i="2" s="1"/>
  <c r="EI71" i="2" a="1"/>
  <c r="EI71" i="2" s="1"/>
  <c r="EI109" i="2" a="1"/>
  <c r="EI109" i="2" s="1"/>
  <c r="EI195" i="2" a="1"/>
  <c r="EI195" i="2" s="1"/>
  <c r="EI178" i="2" a="1"/>
  <c r="EI178" i="2" s="1"/>
  <c r="EI29" i="2" a="1"/>
  <c r="EI29" i="2" s="1"/>
  <c r="EI198" i="2" a="1"/>
  <c r="EI198" i="2" s="1"/>
  <c r="BP203" i="2"/>
  <c r="EI37" i="2" a="1"/>
  <c r="EI37" i="2" s="1"/>
  <c r="EI170" i="2" a="1"/>
  <c r="EI170" i="2" s="1"/>
  <c r="EI20" i="2" a="1"/>
  <c r="EI20" i="2" s="1"/>
  <c r="EI57" i="2" a="1"/>
  <c r="EI57" i="2" s="1"/>
  <c r="EI38" i="2" a="1"/>
  <c r="EI38" i="2" s="1"/>
  <c r="EI145" i="2" a="1"/>
  <c r="EI145" i="2" s="1"/>
  <c r="EI106" i="2" a="1"/>
  <c r="EI106" i="2" s="1"/>
  <c r="EI35" i="2" a="1"/>
  <c r="EI35" i="2" s="1"/>
  <c r="EI16" i="2" a="1"/>
  <c r="EI16" i="2" s="1"/>
  <c r="EI34" i="2" a="1"/>
  <c r="EI34" i="2" s="1"/>
  <c r="EI36" i="2" a="1"/>
  <c r="EI36" i="2" s="1"/>
  <c r="EI162" i="2" a="1"/>
  <c r="EI162" i="2" s="1"/>
  <c r="EI153" i="2" a="1"/>
  <c r="EI153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FZ8" i="2"/>
  <c r="FZ9" i="2" s="1"/>
  <c r="FZ10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DI203" i="2"/>
  <c r="FZ11" i="2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FJ156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98" i="2" l="1"/>
  <c r="FJ103" i="2"/>
  <c r="GZ14" i="2"/>
  <c r="GZ180" i="2"/>
  <c r="GZ17" i="2"/>
  <c r="GZ50" i="2"/>
  <c r="GZ137" i="2"/>
  <c r="GZ54" i="2"/>
  <c r="GZ104" i="2"/>
  <c r="GZ175" i="2"/>
  <c r="GZ162" i="2"/>
  <c r="GZ11" i="2"/>
  <c r="GZ85" i="2"/>
  <c r="GZ184" i="2"/>
  <c r="GZ186" i="2"/>
  <c r="GZ172" i="2"/>
  <c r="GZ38" i="2"/>
  <c r="GZ45" i="2"/>
  <c r="GZ103" i="2"/>
  <c r="GZ122" i="2"/>
  <c r="GZ138" i="2"/>
  <c r="GZ31" i="2"/>
  <c r="GZ39" i="2"/>
  <c r="GZ46" i="2"/>
  <c r="GZ61" i="2"/>
  <c r="GZ112" i="2"/>
  <c r="GZ126" i="2"/>
  <c r="GZ67" i="2"/>
  <c r="GZ195" i="2"/>
  <c r="GZ32" i="2"/>
  <c r="GZ169" i="2"/>
  <c r="GZ20" i="2"/>
  <c r="GZ75" i="2"/>
  <c r="GZ28" i="2"/>
  <c r="GZ12" i="2"/>
  <c r="GZ149" i="2"/>
  <c r="GZ36" i="2"/>
  <c r="GZ93" i="2"/>
  <c r="GZ102" i="2"/>
  <c r="GZ141" i="2"/>
  <c r="GZ78" i="2"/>
  <c r="GZ158" i="2"/>
  <c r="GZ173" i="2"/>
  <c r="GZ119" i="2"/>
  <c r="GZ110" i="2"/>
  <c r="GZ176" i="2"/>
  <c r="GZ125" i="2"/>
  <c r="GZ152" i="2"/>
  <c r="GZ5" i="2"/>
  <c r="GZ129" i="2"/>
  <c r="GZ111" i="2"/>
  <c r="GZ177" i="2"/>
  <c r="GZ82" i="2"/>
  <c r="GZ77" i="2"/>
  <c r="GZ43" i="2"/>
  <c r="GZ108" i="2"/>
  <c r="GZ107" i="2"/>
  <c r="GZ70" i="2"/>
  <c r="GZ71" i="2"/>
  <c r="GZ79" i="2"/>
  <c r="GZ130" i="2"/>
  <c r="GZ124" i="2"/>
  <c r="GZ80" i="2"/>
  <c r="GZ191" i="2"/>
  <c r="GZ114" i="2"/>
  <c r="GZ40" i="2"/>
  <c r="GZ136" i="2"/>
  <c r="GZ33" i="2"/>
  <c r="GZ170" i="2"/>
  <c r="GZ151" i="2"/>
  <c r="GZ21" i="2"/>
  <c r="GZ201" i="2"/>
  <c r="GZ52" i="2"/>
  <c r="GZ150" i="2"/>
  <c r="GZ29" i="2"/>
  <c r="GZ35" i="2"/>
  <c r="GZ87" i="2"/>
  <c r="GZ66" i="2"/>
  <c r="GZ163" i="2"/>
  <c r="GZ51" i="2"/>
  <c r="GZ105" i="2"/>
  <c r="GZ86" i="2"/>
  <c r="GZ143" i="2"/>
  <c r="GZ44" i="2"/>
  <c r="GZ73" i="2"/>
  <c r="GZ159" i="2"/>
  <c r="GZ89" i="2"/>
  <c r="GZ56" i="2"/>
  <c r="GZ161" i="2"/>
  <c r="GZ91" i="2"/>
  <c r="GZ96" i="2"/>
  <c r="GZ18" i="2"/>
  <c r="GZ174" i="2"/>
  <c r="GZ147" i="2"/>
  <c r="GZ53" i="2"/>
  <c r="GZ198" i="2"/>
  <c r="GZ62" i="2"/>
  <c r="GZ24" i="2"/>
  <c r="GZ132" i="2"/>
  <c r="GZ121" i="2"/>
  <c r="GZ183" i="2"/>
  <c r="GZ65" i="2"/>
  <c r="GZ48" i="2"/>
  <c r="GZ30" i="2"/>
  <c r="GZ146" i="2"/>
  <c r="GZ7" i="2"/>
  <c r="GZ95" i="2"/>
  <c r="GZ99" i="2"/>
  <c r="GZ90" i="2"/>
  <c r="GZ69" i="2"/>
  <c r="GZ197" i="2"/>
  <c r="GZ98" i="2"/>
  <c r="GZ60" i="2"/>
  <c r="GZ133" i="2"/>
  <c r="GZ164" i="2"/>
  <c r="GZ140" i="2"/>
  <c r="GZ139" i="2"/>
  <c r="GZ202" i="2"/>
  <c r="GZ13" i="2"/>
  <c r="GZ185" i="2"/>
  <c r="GZ64" i="2"/>
  <c r="GZ188" i="2"/>
  <c r="GZ155" i="2"/>
  <c r="GZ200" i="2"/>
  <c r="GZ94" i="2"/>
  <c r="GZ134" i="2"/>
  <c r="GZ26" i="2"/>
  <c r="GZ116" i="2"/>
  <c r="GZ144" i="2"/>
  <c r="GZ109" i="2"/>
  <c r="GZ120" i="2"/>
  <c r="GZ131" i="2"/>
  <c r="GZ187" i="2"/>
  <c r="GZ148" i="2"/>
  <c r="GZ166" i="2"/>
  <c r="GZ55" i="2"/>
  <c r="GZ101" i="2"/>
  <c r="GZ63" i="2"/>
  <c r="GZ157" i="2"/>
  <c r="GZ168" i="2"/>
  <c r="GZ178" i="2"/>
  <c r="GZ8" i="2"/>
  <c r="GZ23" i="2"/>
  <c r="GZ4" i="2"/>
  <c r="GZ156" i="2"/>
  <c r="GZ145" i="2"/>
  <c r="GZ9" i="2"/>
  <c r="GZ42" i="2"/>
  <c r="GZ92" i="2"/>
  <c r="GZ83" i="2"/>
  <c r="GZ135" i="2"/>
  <c r="GZ49" i="2"/>
  <c r="GZ128" i="2"/>
  <c r="GZ113" i="2"/>
  <c r="GZ190" i="2"/>
  <c r="GZ19" i="2"/>
  <c r="GZ165" i="2"/>
  <c r="GZ203" i="2"/>
  <c r="GZ115" i="2"/>
  <c r="GZ106" i="2"/>
  <c r="GZ192" i="2"/>
  <c r="GZ100" i="2"/>
  <c r="GZ34" i="2"/>
  <c r="GZ58" i="2"/>
  <c r="GZ123" i="2"/>
  <c r="GZ57" i="2"/>
  <c r="GZ76" i="2"/>
  <c r="GZ22" i="2"/>
  <c r="GZ127" i="2"/>
  <c r="GZ171" i="2"/>
  <c r="GZ16" i="2"/>
  <c r="GZ182" i="2"/>
  <c r="GZ194" i="2"/>
  <c r="GZ179" i="2"/>
  <c r="GZ72" i="2"/>
  <c r="GZ160" i="2"/>
  <c r="GZ167" i="2"/>
  <c r="GZ189" i="2"/>
  <c r="GZ84" i="2"/>
  <c r="GZ25" i="2"/>
  <c r="GZ37" i="2"/>
  <c r="GZ81" i="2"/>
  <c r="GZ142" i="2"/>
  <c r="GZ118" i="2"/>
  <c r="GZ181" i="2"/>
  <c r="GZ59" i="2"/>
  <c r="GZ41" i="2"/>
  <c r="GZ15" i="2"/>
  <c r="GZ154" i="2"/>
  <c r="GZ27" i="2"/>
  <c r="GZ10" i="2"/>
  <c r="GZ193" i="2"/>
  <c r="GZ117" i="2"/>
  <c r="GZ6" i="2"/>
  <c r="GZ199" i="2"/>
  <c r="GZ88" i="2"/>
  <c r="GZ97" i="2"/>
  <c r="GZ47" i="2"/>
  <c r="GZ68" i="2"/>
  <c r="GZ74" i="2"/>
  <c r="GZ153" i="2"/>
  <c r="GZ196" i="2"/>
  <c r="GZ3" i="2"/>
  <c r="C15" i="4" s="1"/>
  <c r="E15" i="4" s="1"/>
  <c r="F15" i="4" s="1"/>
  <c r="G15" i="4" s="1"/>
  <c r="L15" i="4" s="1"/>
  <c r="GE11" i="2"/>
  <c r="GE161" i="2"/>
  <c r="GE136" i="2"/>
  <c r="GE98" i="2"/>
  <c r="GE22" i="2"/>
  <c r="GE191" i="2"/>
  <c r="GE37" i="2"/>
  <c r="GE90" i="2"/>
  <c r="GE81" i="2"/>
  <c r="GE110" i="2"/>
  <c r="GE199" i="2"/>
  <c r="GE117" i="2"/>
  <c r="GE142" i="2"/>
  <c r="GE102" i="2"/>
  <c r="GE25" i="2"/>
  <c r="GE182" i="2"/>
  <c r="GE4" i="2"/>
  <c r="GE24" i="2"/>
  <c r="GE109" i="2"/>
  <c r="GE112" i="2"/>
  <c r="GE157" i="2"/>
  <c r="GE83" i="2"/>
  <c r="GE9" i="2"/>
  <c r="GE60" i="2"/>
  <c r="GE149" i="2"/>
  <c r="GE125" i="2"/>
  <c r="GE80" i="2"/>
  <c r="GE166" i="2"/>
  <c r="GE129" i="2"/>
  <c r="GE65" i="2"/>
  <c r="GE133" i="2"/>
  <c r="GE179" i="2"/>
  <c r="GE190" i="2"/>
  <c r="GE64" i="2"/>
  <c r="GE147" i="2"/>
  <c r="GE47" i="2"/>
  <c r="GE107" i="2"/>
  <c r="GE155" i="2"/>
  <c r="GE79" i="2"/>
  <c r="GE127" i="2"/>
  <c r="GE53" i="2"/>
  <c r="GE158" i="2"/>
  <c r="GE111" i="2"/>
  <c r="GE172" i="2"/>
  <c r="GE16" i="2"/>
  <c r="GE145" i="2"/>
  <c r="GE17" i="2"/>
  <c r="GE26" i="2"/>
  <c r="GE153" i="2"/>
  <c r="GE135" i="2"/>
  <c r="GE66" i="2"/>
  <c r="GE181" i="2"/>
  <c r="GE118" i="2"/>
  <c r="GE134" i="2"/>
  <c r="GE119" i="2"/>
  <c r="GE46" i="2"/>
  <c r="GE144" i="2"/>
  <c r="GE15" i="2"/>
  <c r="GE159" i="2"/>
  <c r="GE154" i="2"/>
  <c r="GE92" i="2"/>
  <c r="GE7" i="2"/>
  <c r="GE183" i="2"/>
  <c r="GE185" i="2"/>
  <c r="GE54" i="2"/>
  <c r="GE68" i="2"/>
  <c r="GE151" i="2"/>
  <c r="GE41" i="2"/>
  <c r="GE131" i="2"/>
  <c r="GE202" i="2"/>
  <c r="GE97" i="2"/>
  <c r="GE95" i="2"/>
  <c r="GE29" i="2"/>
  <c r="GE84" i="2"/>
  <c r="GE104" i="2"/>
  <c r="GE200" i="2"/>
  <c r="GE201" i="2"/>
  <c r="GE165" i="2"/>
  <c r="GE100" i="2"/>
  <c r="GE184" i="2"/>
  <c r="GE163" i="2"/>
  <c r="GE77" i="2"/>
  <c r="GE189" i="2"/>
  <c r="GE72" i="2"/>
  <c r="GE140" i="2"/>
  <c r="GE138" i="2"/>
  <c r="GE137" i="2"/>
  <c r="GE10" i="2"/>
  <c r="GE198" i="2"/>
  <c r="GE39" i="2"/>
  <c r="GE44" i="2"/>
  <c r="GE94" i="2"/>
  <c r="GE195" i="2"/>
  <c r="GE143" i="2"/>
  <c r="GE13" i="2"/>
  <c r="GE186" i="2"/>
  <c r="GE203" i="2"/>
  <c r="GE23" i="2"/>
  <c r="GE170" i="2"/>
  <c r="GE106" i="2"/>
  <c r="GE71" i="2"/>
  <c r="GE139" i="2"/>
  <c r="GE36" i="2"/>
  <c r="GE193" i="2"/>
  <c r="GE59" i="2"/>
  <c r="GE126" i="2"/>
  <c r="GE20" i="2"/>
  <c r="GE87" i="2"/>
  <c r="GE162" i="2"/>
  <c r="GE121" i="2"/>
  <c r="GE167" i="2"/>
  <c r="GE34" i="2"/>
  <c r="GE19" i="2"/>
  <c r="GE176" i="2"/>
  <c r="GE174" i="2"/>
  <c r="GE48" i="2"/>
  <c r="GE187" i="2"/>
  <c r="GE196" i="2"/>
  <c r="GE168" i="2"/>
  <c r="GE175" i="2"/>
  <c r="GE177" i="2"/>
  <c r="GE27" i="2"/>
  <c r="GE5" i="2"/>
  <c r="GE101" i="2"/>
  <c r="GE38" i="2"/>
  <c r="GE156" i="2"/>
  <c r="GE43" i="2"/>
  <c r="GE70" i="2"/>
  <c r="GE85" i="2"/>
  <c r="GE69" i="2"/>
  <c r="GE14" i="2"/>
  <c r="GE74" i="2"/>
  <c r="GE18" i="2"/>
  <c r="GE146" i="2"/>
  <c r="GE130" i="2"/>
  <c r="GE180" i="2"/>
  <c r="GE55" i="2"/>
  <c r="GE188" i="2"/>
  <c r="GE21" i="2"/>
  <c r="GE45" i="2"/>
  <c r="GE82" i="2"/>
  <c r="GE51" i="2"/>
  <c r="GE12" i="2"/>
  <c r="GE171" i="2"/>
  <c r="GE169" i="2"/>
  <c r="GE128" i="2"/>
  <c r="GE123" i="2"/>
  <c r="GE141" i="2"/>
  <c r="GE61" i="2"/>
  <c r="GE194" i="2"/>
  <c r="GE75" i="2"/>
  <c r="GE164" i="2"/>
  <c r="GE63" i="2"/>
  <c r="GE132" i="2"/>
  <c r="GE160" i="2"/>
  <c r="GE197" i="2"/>
  <c r="GE76" i="2"/>
  <c r="GE93" i="2"/>
  <c r="GE124" i="2"/>
  <c r="GE150" i="2"/>
  <c r="GE108" i="2"/>
  <c r="GE52" i="2"/>
  <c r="GE49" i="2"/>
  <c r="GE91" i="2"/>
  <c r="GE116" i="2"/>
  <c r="GE96" i="2"/>
  <c r="GE42" i="2"/>
  <c r="GE89" i="2"/>
  <c r="GE50" i="2"/>
  <c r="GE173" i="2"/>
  <c r="GE178" i="2"/>
  <c r="GE86" i="2"/>
  <c r="GE6" i="2"/>
  <c r="GE115" i="2"/>
  <c r="GE103" i="2"/>
  <c r="GE40" i="2"/>
  <c r="GE58" i="2"/>
  <c r="GE62" i="2"/>
  <c r="GE30" i="2"/>
  <c r="GE88" i="2"/>
  <c r="GE31" i="2"/>
  <c r="GE28" i="2"/>
  <c r="GE99" i="2"/>
  <c r="GE120" i="2"/>
  <c r="GE78" i="2"/>
  <c r="GE105" i="2"/>
  <c r="GE192" i="2"/>
  <c r="GE8" i="2"/>
  <c r="GE114" i="2"/>
  <c r="GE152" i="2"/>
  <c r="GE33" i="2"/>
  <c r="GE56" i="2"/>
  <c r="GE122" i="2"/>
  <c r="GE57" i="2"/>
  <c r="GE3" i="2"/>
  <c r="C14" i="4" s="1"/>
  <c r="E14" i="4" s="1"/>
  <c r="F14" i="4" s="1"/>
  <c r="G14" i="4" s="1"/>
  <c r="L14" i="4" s="1"/>
  <c r="GE67" i="2"/>
  <c r="GE148" i="2"/>
  <c r="GE32" i="2"/>
  <c r="GE35" i="2"/>
  <c r="GE113" i="2"/>
  <c r="GE73" i="2"/>
  <c r="FJ24" i="2"/>
  <c r="FJ43" i="2"/>
  <c r="FJ16" i="2"/>
  <c r="FJ152" i="2"/>
  <c r="FJ128" i="2"/>
  <c r="FJ50" i="2"/>
  <c r="FJ108" i="2"/>
  <c r="FJ99" i="2"/>
  <c r="FJ179" i="2"/>
  <c r="FJ3" i="2"/>
  <c r="C13" i="4" s="1"/>
  <c r="E13" i="4" s="1"/>
  <c r="F13" i="4" s="1"/>
  <c r="G13" i="4" s="1"/>
  <c r="L13" i="4" s="1"/>
  <c r="FJ66" i="2"/>
  <c r="FJ81" i="2"/>
  <c r="FJ87" i="2"/>
  <c r="FJ140" i="2"/>
  <c r="FJ130" i="2"/>
  <c r="FJ32" i="2"/>
  <c r="FJ119" i="2"/>
  <c r="FJ173" i="2"/>
  <c r="FJ114" i="2"/>
  <c r="FJ91" i="2"/>
  <c r="FJ78" i="2"/>
  <c r="FJ22" i="2"/>
  <c r="FJ69" i="2"/>
  <c r="FJ9" i="2"/>
  <c r="FJ162" i="2"/>
  <c r="FJ58" i="2"/>
  <c r="FJ154" i="2"/>
  <c r="FJ111" i="2"/>
  <c r="FJ63" i="2"/>
  <c r="FJ176" i="2"/>
  <c r="FJ192" i="2"/>
  <c r="FJ56" i="2"/>
  <c r="FJ40" i="2"/>
  <c r="FJ11" i="2"/>
  <c r="FJ167" i="2"/>
  <c r="FJ143" i="2"/>
  <c r="FJ21" i="2"/>
  <c r="FJ112" i="2"/>
  <c r="FJ44" i="2"/>
  <c r="FJ15" i="2"/>
  <c r="FJ135" i="2"/>
  <c r="FJ184" i="2"/>
  <c r="FJ183" i="2"/>
  <c r="FJ101" i="2"/>
  <c r="FJ34" i="2"/>
  <c r="FJ35" i="2"/>
  <c r="FJ97" i="2"/>
  <c r="FJ79" i="2"/>
  <c r="FJ74" i="2"/>
  <c r="FJ178" i="2"/>
  <c r="FJ125" i="2"/>
  <c r="FJ195" i="2"/>
  <c r="FJ75" i="2"/>
  <c r="FJ203" i="2"/>
  <c r="FJ147" i="2"/>
  <c r="FJ52" i="2"/>
  <c r="FJ188" i="2"/>
  <c r="FJ80" i="2"/>
  <c r="FJ117" i="2"/>
  <c r="FJ160" i="2"/>
  <c r="FJ201" i="2"/>
  <c r="FJ51" i="2"/>
  <c r="FJ84" i="2"/>
  <c r="FJ109" i="2"/>
  <c r="FJ4" i="2"/>
  <c r="FJ190" i="2"/>
  <c r="FJ17" i="2"/>
  <c r="FJ196" i="2"/>
  <c r="FJ47" i="2"/>
  <c r="FJ19" i="2"/>
  <c r="FJ41" i="2"/>
  <c r="FJ23" i="2"/>
  <c r="FJ197" i="2"/>
  <c r="FJ159" i="2"/>
  <c r="FJ36" i="2"/>
  <c r="FJ193" i="2"/>
  <c r="FJ144" i="2"/>
  <c r="FJ39" i="2"/>
  <c r="FJ165" i="2"/>
  <c r="FJ61" i="2"/>
  <c r="FJ186" i="2"/>
  <c r="FJ200" i="2"/>
  <c r="FJ110" i="2"/>
  <c r="FJ158" i="2"/>
  <c r="FJ174" i="2"/>
  <c r="FJ73" i="2"/>
  <c r="FJ181" i="2"/>
  <c r="FJ138" i="2"/>
  <c r="FJ42" i="2"/>
  <c r="FJ113" i="2"/>
  <c r="FJ28" i="2"/>
  <c r="FJ100" i="2"/>
  <c r="FJ14" i="2"/>
  <c r="FJ118" i="2"/>
  <c r="FJ48" i="2"/>
  <c r="FJ7" i="2"/>
  <c r="FJ60" i="2"/>
  <c r="FJ90" i="2"/>
  <c r="FJ6" i="2"/>
  <c r="FJ141" i="2"/>
  <c r="FJ27" i="2"/>
  <c r="FJ5" i="2"/>
  <c r="FJ180" i="2"/>
  <c r="FJ155" i="2"/>
  <c r="FJ76" i="2"/>
  <c r="FJ49" i="2"/>
  <c r="FJ185" i="2"/>
  <c r="FJ46" i="2"/>
  <c r="FJ132" i="2"/>
  <c r="FJ96" i="2"/>
  <c r="FJ55" i="2"/>
  <c r="FJ199" i="2"/>
  <c r="FJ148" i="2"/>
  <c r="FJ59" i="2"/>
  <c r="FJ93" i="2"/>
  <c r="FJ67" i="2"/>
  <c r="FJ123" i="2"/>
  <c r="FJ146" i="2"/>
  <c r="FJ166" i="2"/>
  <c r="FJ25" i="2"/>
  <c r="FJ86" i="2"/>
  <c r="FJ170" i="2"/>
  <c r="FJ83" i="2"/>
  <c r="FJ57" i="2"/>
  <c r="FJ163" i="2"/>
  <c r="FJ134" i="2"/>
  <c r="FJ107" i="2"/>
  <c r="FJ71" i="2"/>
  <c r="FJ157" i="2"/>
  <c r="FJ153" i="2"/>
  <c r="FJ142" i="2"/>
  <c r="FJ37" i="2"/>
  <c r="FJ133" i="2"/>
  <c r="FJ88" i="2"/>
  <c r="FJ53" i="2"/>
  <c r="FJ169" i="2"/>
  <c r="FJ10" i="2"/>
  <c r="FJ64" i="2"/>
  <c r="FJ89" i="2"/>
  <c r="FJ70" i="2"/>
  <c r="FJ136" i="2"/>
  <c r="FJ122" i="2"/>
  <c r="FJ95" i="2"/>
  <c r="FJ149" i="2"/>
  <c r="FJ151" i="2"/>
  <c r="FJ164" i="2"/>
  <c r="FJ18" i="2"/>
  <c r="FJ62" i="2"/>
  <c r="FJ124" i="2"/>
  <c r="FJ191" i="2"/>
  <c r="FJ177" i="2"/>
  <c r="FJ33" i="2"/>
  <c r="FJ54" i="2"/>
  <c r="FJ12" i="2"/>
  <c r="FJ38" i="2"/>
  <c r="FJ104" i="2"/>
  <c r="FJ168" i="2"/>
  <c r="FJ172" i="2"/>
  <c r="FJ105" i="2"/>
  <c r="FJ20" i="2"/>
  <c r="FJ137" i="2"/>
  <c r="FJ127" i="2"/>
  <c r="FJ8" i="2"/>
  <c r="FJ182" i="2"/>
  <c r="FJ26" i="2"/>
  <c r="FJ85" i="2"/>
  <c r="FJ150" i="2"/>
  <c r="FJ139" i="2"/>
  <c r="FJ171" i="2"/>
  <c r="FJ194" i="2"/>
  <c r="FJ102" i="2"/>
  <c r="FJ161" i="2"/>
  <c r="FJ94" i="2"/>
  <c r="FJ82" i="2"/>
  <c r="FJ45" i="2"/>
  <c r="FJ175" i="2"/>
  <c r="FJ13" i="2"/>
  <c r="FJ106" i="2"/>
  <c r="FJ121" i="2"/>
  <c r="FJ129" i="2"/>
  <c r="FJ145" i="2"/>
  <c r="FJ31" i="2"/>
  <c r="FJ187" i="2"/>
  <c r="FJ68" i="2"/>
  <c r="FJ115" i="2"/>
  <c r="FJ65" i="2"/>
  <c r="FJ30" i="2"/>
  <c r="FJ120" i="2"/>
  <c r="FJ29" i="2"/>
  <c r="FJ92" i="2"/>
  <c r="FJ202" i="2"/>
  <c r="FJ116" i="2"/>
  <c r="FJ131" i="2"/>
  <c r="FJ198" i="2"/>
  <c r="FJ77" i="2"/>
  <c r="FJ72" i="2"/>
  <c r="FJ126" i="2"/>
  <c r="FJ189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24" i="2" l="1"/>
  <c r="CY166" i="2"/>
  <c r="CY81" i="2"/>
  <c r="CY122" i="2"/>
  <c r="CY165" i="2"/>
  <c r="CY53" i="2"/>
  <c r="CY197" i="2"/>
  <c r="CY26" i="2"/>
  <c r="CY160" i="2"/>
  <c r="CY136" i="2"/>
  <c r="CY89" i="2"/>
  <c r="CY167" i="2"/>
  <c r="CY158" i="2"/>
  <c r="CY98" i="2"/>
  <c r="CY99" i="2"/>
  <c r="CY9" i="2"/>
  <c r="CY78" i="2"/>
  <c r="CY175" i="2"/>
  <c r="CY154" i="2"/>
  <c r="CY157" i="2"/>
  <c r="CY11" i="2"/>
  <c r="CY15" i="2"/>
  <c r="CY185" i="2"/>
  <c r="CY200" i="2"/>
  <c r="CY38" i="2"/>
  <c r="CY67" i="2"/>
  <c r="CY171" i="2"/>
  <c r="CY74" i="2"/>
  <c r="CY50" i="2"/>
  <c r="CY142" i="2"/>
  <c r="CY177" i="2"/>
  <c r="CY70" i="2"/>
  <c r="CY100" i="2"/>
  <c r="CY21" i="2"/>
  <c r="CY92" i="2"/>
  <c r="CY96" i="2"/>
  <c r="CY101" i="2"/>
  <c r="CY186" i="2"/>
  <c r="CY40" i="2"/>
  <c r="CY144" i="2"/>
  <c r="CY3" i="2"/>
  <c r="C10" i="4" s="1"/>
  <c r="E10" i="4" s="1"/>
  <c r="F10" i="4" s="1"/>
  <c r="G10" i="4" s="1"/>
  <c r="L10" i="4" s="1"/>
  <c r="CY54" i="2"/>
  <c r="CY164" i="2"/>
  <c r="CY184" i="2"/>
  <c r="CY189" i="2"/>
  <c r="CY5" i="2"/>
  <c r="CY156" i="2"/>
  <c r="CY75" i="2"/>
  <c r="CY161" i="2"/>
  <c r="CY45" i="2"/>
  <c r="CY155" i="2"/>
  <c r="CY111" i="2"/>
  <c r="CY93" i="2"/>
  <c r="CY36" i="2"/>
  <c r="CY106" i="2"/>
  <c r="CY192" i="2"/>
  <c r="CY16" i="2"/>
  <c r="CY147" i="2"/>
  <c r="CY63" i="2"/>
  <c r="CY86" i="2"/>
  <c r="CY129" i="2"/>
  <c r="CY73" i="2"/>
  <c r="CY203" i="2"/>
  <c r="CY172" i="2"/>
  <c r="CY117" i="2"/>
  <c r="CY135" i="2"/>
  <c r="CY46" i="2"/>
  <c r="CY199" i="2"/>
  <c r="CY61" i="2"/>
  <c r="CY187" i="2"/>
  <c r="CY76" i="2"/>
  <c r="CY141" i="2"/>
  <c r="CY23" i="2"/>
  <c r="CY7" i="2"/>
  <c r="CY8" i="2"/>
  <c r="CY128" i="2"/>
  <c r="CY31" i="2"/>
  <c r="CY80" i="2"/>
  <c r="CY62" i="2"/>
  <c r="CY173" i="2"/>
  <c r="CY140" i="2"/>
  <c r="CY193" i="2"/>
  <c r="CY29" i="2"/>
  <c r="CY181" i="2"/>
  <c r="CY58" i="2"/>
  <c r="CY83" i="2"/>
  <c r="CY97" i="2"/>
  <c r="CY139" i="2"/>
  <c r="CY25" i="2"/>
  <c r="CY179" i="2"/>
  <c r="CY114" i="2"/>
  <c r="CY201" i="2"/>
  <c r="CY88" i="2"/>
  <c r="CY180" i="2"/>
  <c r="CY202" i="2"/>
  <c r="CY116" i="2"/>
  <c r="CY55" i="2"/>
  <c r="CY124" i="2"/>
  <c r="CY134" i="2"/>
  <c r="CY20" i="2"/>
  <c r="CY149" i="2"/>
  <c r="CY69" i="2"/>
  <c r="CY178" i="2"/>
  <c r="CY108" i="2"/>
  <c r="CY60" i="2"/>
  <c r="CY64" i="2"/>
  <c r="CY34" i="2"/>
  <c r="CY91" i="2"/>
  <c r="CY182" i="2"/>
  <c r="CY47" i="2"/>
  <c r="CY145" i="2"/>
  <c r="CY133" i="2"/>
  <c r="CY183" i="2"/>
  <c r="CY35" i="2"/>
  <c r="CY150" i="2"/>
  <c r="CY143" i="2"/>
  <c r="CY71" i="2"/>
  <c r="CY115" i="2"/>
  <c r="CY148" i="2"/>
  <c r="CY13" i="2"/>
  <c r="CY68" i="2"/>
  <c r="CY170" i="2"/>
  <c r="CY159" i="2"/>
  <c r="CY10" i="2"/>
  <c r="CY17" i="2"/>
  <c r="CY94" i="2"/>
  <c r="CY152" i="2"/>
  <c r="CY169" i="2"/>
  <c r="CY190" i="2"/>
  <c r="CY39" i="2"/>
  <c r="CY112" i="2"/>
  <c r="CY30" i="2"/>
  <c r="CY125" i="2"/>
  <c r="CY105" i="2"/>
  <c r="CY102" i="2"/>
  <c r="CY12" i="2"/>
  <c r="CY14" i="2"/>
  <c r="CY66" i="2"/>
  <c r="CY113" i="2"/>
  <c r="CY163" i="2"/>
  <c r="CY153" i="2"/>
  <c r="CY32" i="2"/>
  <c r="CY196" i="2"/>
  <c r="CY138" i="2"/>
  <c r="CY41" i="2"/>
  <c r="CY104" i="2"/>
  <c r="CY56" i="2"/>
  <c r="CY130" i="2"/>
  <c r="CY198" i="2"/>
  <c r="CY127" i="2"/>
  <c r="CY168" i="2"/>
  <c r="CY82" i="2"/>
  <c r="CY37" i="2"/>
  <c r="CY195" i="2"/>
  <c r="CY27" i="2"/>
  <c r="CY85" i="2"/>
  <c r="CY151" i="2"/>
  <c r="CY126" i="2"/>
  <c r="CY132" i="2"/>
  <c r="CY44" i="2"/>
  <c r="CY84" i="2"/>
  <c r="CY49" i="2"/>
  <c r="CY59" i="2"/>
  <c r="CY51" i="2"/>
  <c r="CY77" i="2"/>
  <c r="CY123" i="2"/>
  <c r="CY42" i="2"/>
  <c r="CY43" i="2"/>
  <c r="CY110" i="2"/>
  <c r="CY90" i="2"/>
  <c r="CY28" i="2"/>
  <c r="CY120" i="2"/>
  <c r="CY118" i="2"/>
  <c r="CY22" i="2"/>
  <c r="CY103" i="2"/>
  <c r="CY191" i="2"/>
  <c r="CY107" i="2"/>
  <c r="CY188" i="2"/>
  <c r="CY176" i="2"/>
  <c r="CY109" i="2"/>
  <c r="CY33" i="2"/>
  <c r="CY6" i="2"/>
  <c r="CY137" i="2"/>
  <c r="CY131" i="2"/>
  <c r="CY4" i="2"/>
  <c r="CY119" i="2"/>
  <c r="CY79" i="2"/>
  <c r="CY174" i="2"/>
  <c r="CY18" i="2"/>
  <c r="CY65" i="2"/>
  <c r="CY57" i="2"/>
  <c r="CY194" i="2"/>
  <c r="CY121" i="2"/>
  <c r="CY19" i="2"/>
  <c r="CY146" i="2"/>
  <c r="CY48" i="2"/>
  <c r="CY87" i="2"/>
  <c r="CY52" i="2"/>
  <c r="CY162" i="2"/>
  <c r="CY95" i="2"/>
  <c r="CY72" i="2"/>
  <c r="CD60" i="2"/>
  <c r="CD163" i="2"/>
  <c r="CD159" i="2"/>
  <c r="CD185" i="2"/>
  <c r="CD199" i="2"/>
  <c r="CD71" i="2"/>
  <c r="CD45" i="2"/>
  <c r="CD72" i="2"/>
  <c r="CD84" i="2"/>
  <c r="CD150" i="2"/>
  <c r="CD76" i="2"/>
  <c r="CD81" i="2"/>
  <c r="CD30" i="2"/>
  <c r="CD70" i="2"/>
  <c r="CD126" i="2"/>
  <c r="CD148" i="2"/>
  <c r="CD78" i="2"/>
  <c r="CD68" i="2"/>
  <c r="CD131" i="2"/>
  <c r="CD109" i="2"/>
  <c r="CD59" i="2"/>
  <c r="CD98" i="2"/>
  <c r="CD129" i="2"/>
  <c r="CD74" i="2"/>
  <c r="CD195" i="2"/>
  <c r="CD142" i="2"/>
  <c r="CD167" i="2"/>
  <c r="CD9" i="2"/>
  <c r="CD144" i="2"/>
  <c r="CD90" i="2"/>
  <c r="CD124" i="2"/>
  <c r="CD38" i="2"/>
  <c r="CD193" i="2"/>
  <c r="CD122" i="2"/>
  <c r="CD103" i="2"/>
  <c r="CD190" i="2"/>
  <c r="CD3" i="2"/>
  <c r="C9" i="4" s="1"/>
  <c r="E9" i="4" s="1"/>
  <c r="F9" i="4" s="1"/>
  <c r="G9" i="4" s="1"/>
  <c r="L9" i="4" s="1"/>
  <c r="CD15" i="2"/>
  <c r="CD52" i="2"/>
  <c r="CD127" i="2"/>
  <c r="CD4" i="2"/>
  <c r="CD197" i="2"/>
  <c r="CD174" i="2"/>
  <c r="CD7" i="2"/>
  <c r="CD100" i="2"/>
  <c r="CD179" i="2"/>
  <c r="CD5" i="2"/>
  <c r="CD121" i="2"/>
  <c r="CD47" i="2"/>
  <c r="CD25" i="2"/>
  <c r="CD56" i="2"/>
  <c r="CD93" i="2"/>
  <c r="CD31" i="2"/>
  <c r="CD196" i="2"/>
  <c r="CD41" i="2"/>
  <c r="CD62" i="2"/>
  <c r="CD161" i="2"/>
  <c r="CD61" i="2"/>
  <c r="CD113" i="2"/>
  <c r="CD117" i="2"/>
  <c r="CD203" i="2"/>
  <c r="CD133" i="2"/>
  <c r="CD160" i="2"/>
  <c r="CD191" i="2"/>
  <c r="CD87" i="2"/>
  <c r="CD73" i="2"/>
  <c r="CD201" i="2"/>
  <c r="CD27" i="2"/>
  <c r="CD165" i="2"/>
  <c r="CD176" i="2"/>
  <c r="CD170" i="2"/>
  <c r="CD26" i="2"/>
  <c r="CD182" i="2"/>
  <c r="CD13" i="2"/>
  <c r="CD75" i="2"/>
  <c r="CD33" i="2"/>
  <c r="CD143" i="2"/>
  <c r="CD79" i="2"/>
  <c r="CD95" i="2"/>
  <c r="CD125" i="2"/>
  <c r="CD77" i="2"/>
  <c r="CD101" i="2"/>
  <c r="CD187" i="2"/>
  <c r="CD172" i="2"/>
  <c r="CD39" i="2"/>
  <c r="CD11" i="2"/>
  <c r="CD137" i="2"/>
  <c r="CD156" i="2"/>
  <c r="CD14" i="2"/>
  <c r="CD152" i="2"/>
  <c r="CD6" i="2"/>
  <c r="CD66" i="2"/>
  <c r="CD86" i="2"/>
  <c r="CD43" i="2"/>
  <c r="CD104" i="2"/>
  <c r="CD128" i="2"/>
  <c r="CD63" i="2"/>
  <c r="CD107" i="2"/>
  <c r="CD184" i="2"/>
  <c r="CD175" i="2"/>
  <c r="CD48" i="2"/>
  <c r="CD37" i="2"/>
  <c r="CD181" i="2"/>
  <c r="CD64" i="2"/>
  <c r="CD12" i="2"/>
  <c r="CD119" i="2"/>
  <c r="CD85" i="2"/>
  <c r="CD24" i="2"/>
  <c r="CD198" i="2"/>
  <c r="CD106" i="2"/>
  <c r="CD36" i="2"/>
  <c r="CD134" i="2"/>
  <c r="CD111" i="2"/>
  <c r="CD91" i="2"/>
  <c r="CD108" i="2"/>
  <c r="CD102" i="2"/>
  <c r="CD164" i="2"/>
  <c r="CD200" i="2"/>
  <c r="CD50" i="2"/>
  <c r="CD32" i="2"/>
  <c r="CD55" i="2"/>
  <c r="CD54" i="2"/>
  <c r="CD67" i="2"/>
  <c r="CD40" i="2"/>
  <c r="CD158" i="2"/>
  <c r="CD18" i="2"/>
  <c r="CD99" i="2"/>
  <c r="CD162" i="2"/>
  <c r="CD105" i="2"/>
  <c r="CD29" i="2"/>
  <c r="CD92" i="2"/>
  <c r="CD138" i="2"/>
  <c r="CD19" i="2"/>
  <c r="CD146" i="2"/>
  <c r="CD123" i="2"/>
  <c r="CD53" i="2"/>
  <c r="CD112" i="2"/>
  <c r="CD139" i="2"/>
  <c r="CD157" i="2"/>
  <c r="CD141" i="2"/>
  <c r="CD178" i="2"/>
  <c r="CD21" i="2"/>
  <c r="CD171" i="2"/>
  <c r="CD34" i="2"/>
  <c r="CD147" i="2"/>
  <c r="CD58" i="2"/>
  <c r="CD46" i="2"/>
  <c r="CD116" i="2"/>
  <c r="CD89" i="2"/>
  <c r="CD153" i="2"/>
  <c r="CD186" i="2"/>
  <c r="CD202" i="2"/>
  <c r="CD110" i="2"/>
  <c r="CD189" i="2"/>
  <c r="CD149" i="2"/>
  <c r="CD35" i="2"/>
  <c r="CD166" i="2"/>
  <c r="CD20" i="2"/>
  <c r="CD82" i="2"/>
  <c r="CD194" i="2"/>
  <c r="CD65" i="2"/>
  <c r="CD80" i="2"/>
  <c r="CD69" i="2"/>
  <c r="CD8" i="2"/>
  <c r="CD96" i="2"/>
  <c r="CD22" i="2"/>
  <c r="CD83" i="2"/>
  <c r="CD135" i="2"/>
  <c r="CD49" i="2"/>
  <c r="CD183" i="2"/>
  <c r="CD57" i="2"/>
  <c r="CD44" i="2"/>
  <c r="CD168" i="2"/>
  <c r="CD115" i="2"/>
  <c r="CD188" i="2"/>
  <c r="CD140" i="2"/>
  <c r="CD10" i="2"/>
  <c r="CD120" i="2"/>
  <c r="CD155" i="2"/>
  <c r="CD192" i="2"/>
  <c r="CD145" i="2"/>
  <c r="CD94" i="2"/>
  <c r="CD130" i="2"/>
  <c r="CD173" i="2"/>
  <c r="CD177" i="2"/>
  <c r="CD118" i="2"/>
  <c r="CD17" i="2"/>
  <c r="CD136" i="2"/>
  <c r="CD169" i="2"/>
  <c r="CD114" i="2"/>
  <c r="CD23" i="2"/>
  <c r="CD28" i="2"/>
  <c r="CD180" i="2"/>
  <c r="CD88" i="2"/>
  <c r="CD132" i="2"/>
  <c r="CD16" i="2"/>
  <c r="CD97" i="2"/>
  <c r="CD42" i="2"/>
  <c r="CD51" i="2"/>
  <c r="CD151" i="2"/>
  <c r="CD154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47" i="2" l="1"/>
  <c r="BI70" i="2"/>
  <c r="BI44" i="2"/>
  <c r="BI60" i="2"/>
  <c r="BI179" i="2"/>
  <c r="BI198" i="2"/>
  <c r="BI178" i="2"/>
  <c r="BI74" i="2"/>
  <c r="BI25" i="2"/>
  <c r="BI113" i="2"/>
  <c r="BI118" i="2"/>
  <c r="BI22" i="2"/>
  <c r="BI40" i="2"/>
  <c r="BI108" i="2"/>
  <c r="BI39" i="2"/>
  <c r="BI85" i="2"/>
  <c r="BI109" i="2"/>
  <c r="BI151" i="2"/>
  <c r="BI17" i="2"/>
  <c r="BI135" i="2"/>
  <c r="BI144" i="2"/>
  <c r="BI91" i="2"/>
  <c r="BI171" i="2"/>
  <c r="BI54" i="2"/>
  <c r="BI150" i="2"/>
  <c r="BI202" i="2"/>
  <c r="BI154" i="2"/>
  <c r="BI79" i="2"/>
  <c r="BI18" i="2"/>
  <c r="BI168" i="2"/>
  <c r="BI24" i="2"/>
  <c r="BI139" i="2"/>
  <c r="BI123" i="2"/>
  <c r="BI73" i="2"/>
  <c r="BI93" i="2"/>
  <c r="BI182" i="2"/>
  <c r="BI116" i="2"/>
  <c r="BI203" i="2"/>
  <c r="BI27" i="2"/>
  <c r="BI5" i="2"/>
  <c r="BI7" i="2"/>
  <c r="BI67" i="2"/>
  <c r="BI110" i="2"/>
  <c r="BI50" i="2"/>
  <c r="BI122" i="2"/>
  <c r="BI184" i="2"/>
  <c r="BI140" i="2"/>
  <c r="BI167" i="2"/>
  <c r="BI9" i="2"/>
  <c r="BI129" i="2"/>
  <c r="BI4" i="2"/>
  <c r="BI65" i="2"/>
  <c r="BI131" i="2"/>
  <c r="BI36" i="2"/>
  <c r="BI33" i="2"/>
  <c r="BI117" i="2"/>
  <c r="BI101" i="2"/>
  <c r="BI161" i="2"/>
  <c r="BI185" i="2"/>
  <c r="BI192" i="2"/>
  <c r="BI86" i="2"/>
  <c r="BI31" i="2"/>
  <c r="BI90" i="2"/>
  <c r="BI68" i="2"/>
  <c r="BI130" i="2"/>
  <c r="BI143" i="2"/>
  <c r="BI147" i="2"/>
  <c r="BI84" i="2"/>
  <c r="BI152" i="2"/>
  <c r="BI158" i="2"/>
  <c r="BI72" i="2"/>
  <c r="BI194" i="2"/>
  <c r="BI138" i="2"/>
  <c r="BI16" i="2"/>
  <c r="BI62" i="2"/>
  <c r="BI88" i="2"/>
  <c r="BI53" i="2"/>
  <c r="BI107" i="2"/>
  <c r="BI75" i="2"/>
  <c r="BI164" i="2"/>
  <c r="BI23" i="2"/>
  <c r="BI159" i="2"/>
  <c r="BI69" i="2"/>
  <c r="BI15" i="2"/>
  <c r="BI100" i="2"/>
  <c r="BI176" i="2"/>
  <c r="BI195" i="2"/>
  <c r="BI180" i="2"/>
  <c r="BI125" i="2"/>
  <c r="BI99" i="2"/>
  <c r="BI111" i="2"/>
  <c r="BI153" i="2"/>
  <c r="BI45" i="2"/>
  <c r="BI51" i="2"/>
  <c r="BI126" i="2"/>
  <c r="BI78" i="2"/>
  <c r="BI201" i="2"/>
  <c r="BI76" i="2"/>
  <c r="BI175" i="2"/>
  <c r="BI173" i="2"/>
  <c r="BI3" i="2"/>
  <c r="C8" i="4" s="1"/>
  <c r="E8" i="4" s="1"/>
  <c r="F8" i="4" s="1"/>
  <c r="G8" i="4" s="1"/>
  <c r="L8" i="4" s="1"/>
  <c r="BI28" i="2"/>
  <c r="BI41" i="2"/>
  <c r="BI181" i="2"/>
  <c r="BI187" i="2"/>
  <c r="BI34" i="2"/>
  <c r="BI66" i="2"/>
  <c r="BI82" i="2"/>
  <c r="BI98" i="2"/>
  <c r="BI106" i="2"/>
  <c r="BI112" i="2"/>
  <c r="BI166" i="2"/>
  <c r="BI71" i="2"/>
  <c r="BI127" i="2"/>
  <c r="BI183" i="2"/>
  <c r="BI87" i="2"/>
  <c r="BI96" i="2"/>
  <c r="BI134" i="2"/>
  <c r="BI121" i="2"/>
  <c r="BI32" i="2"/>
  <c r="BI133" i="2"/>
  <c r="BI43" i="2"/>
  <c r="BI146" i="2"/>
  <c r="BI63" i="2"/>
  <c r="BI190" i="2"/>
  <c r="BI191" i="2"/>
  <c r="BI105" i="2"/>
  <c r="BI95" i="2"/>
  <c r="BI132" i="2"/>
  <c r="BI57" i="2"/>
  <c r="BI163" i="2"/>
  <c r="BI142" i="2"/>
  <c r="BI149" i="2"/>
  <c r="BI174" i="2"/>
  <c r="BI38" i="2"/>
  <c r="BI169" i="2"/>
  <c r="BI26" i="2"/>
  <c r="BI157" i="2"/>
  <c r="BI145" i="2"/>
  <c r="BI196" i="2"/>
  <c r="BI162" i="2"/>
  <c r="BI61" i="2"/>
  <c r="BI77" i="2"/>
  <c r="BI128" i="2"/>
  <c r="BI37" i="2"/>
  <c r="BI141" i="2"/>
  <c r="BI199" i="2"/>
  <c r="BI81" i="2"/>
  <c r="BI13" i="2"/>
  <c r="BI156" i="2"/>
  <c r="BI56" i="2"/>
  <c r="BI155" i="2"/>
  <c r="BI200" i="2"/>
  <c r="BI172" i="2"/>
  <c r="BI193" i="2"/>
  <c r="BI19" i="2"/>
  <c r="BI165" i="2"/>
  <c r="BI59" i="2"/>
  <c r="BI124" i="2"/>
  <c r="BI21" i="2"/>
  <c r="BI103" i="2"/>
  <c r="BI49" i="2"/>
  <c r="BI94" i="2"/>
  <c r="BI170" i="2"/>
  <c r="BI12" i="2"/>
  <c r="BI115" i="2"/>
  <c r="BI46" i="2"/>
  <c r="BI14" i="2"/>
  <c r="BI83" i="2"/>
  <c r="BI92" i="2"/>
  <c r="BI10" i="2"/>
  <c r="BI97" i="2"/>
  <c r="BI20" i="2"/>
  <c r="BI186" i="2"/>
  <c r="BI55" i="2"/>
  <c r="BI102" i="2"/>
  <c r="BI29" i="2"/>
  <c r="BI6" i="2"/>
  <c r="BI136" i="2"/>
  <c r="BI42" i="2"/>
  <c r="BI189" i="2"/>
  <c r="BI119" i="2"/>
  <c r="BI188" i="2"/>
  <c r="BI177" i="2"/>
  <c r="BI160" i="2"/>
  <c r="BI120" i="2"/>
  <c r="BI148" i="2"/>
  <c r="BI64" i="2"/>
  <c r="BI104" i="2"/>
  <c r="BI137" i="2"/>
  <c r="BI52" i="2"/>
  <c r="BI89" i="2"/>
  <c r="BI197" i="2"/>
  <c r="BI8" i="2"/>
  <c r="BI35" i="2"/>
  <c r="BI80" i="2"/>
  <c r="BI48" i="2"/>
  <c r="BI58" i="2"/>
  <c r="BI114" i="2"/>
  <c r="BI11" i="2"/>
  <c r="BI30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<sst xmlns="http://schemas.openxmlformats.org/spreadsheetml/2006/main" count="1179" uniqueCount="324">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</sst>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2.593989336816577</c:v>
                </c:pt>
                <c:pt idx="2">
                  <c:v>3.0652197553224139</c:v>
                </c:pt>
                <c:pt idx="3">
                  <c:v>3.6223704015646927</c:v>
                </c:pt>
                <c:pt idx="4">
                  <c:v>4.2811615619696477</c:v>
                </c:pt>
                <c:pt idx="5">
                  <c:v>5.0601990833794659</c:v>
                </c:pt>
                <c:pt idx="6">
                  <c:v>5.9815056295813074</c:v>
                </c:pt>
                <c:pt idx="7">
                  <c:v>7.0711500182745013</c:v>
                </c:pt>
                <c:pt idx="8">
                  <c:v>8.3599927921993835</c:v>
                </c:pt>
                <c:pt idx="9">
                  <c:v>9.8845695460451353</c:v>
                </c:pt>
                <c:pt idx="10">
                  <c:v>11.688137524783633</c:v>
                </c:pt>
                <c:pt idx="11">
                  <c:v>13.821915745871536</c:v>
                </c:pt>
                <c:pt idx="12">
                  <c:v>16.34655451571577</c:v>
                </c:pt>
                <c:pt idx="13">
                  <c:v>19.333876874128119</c:v>
                </c:pt>
                <c:pt idx="14">
                  <c:v>22.868942404081093</c:v>
                </c:pt>
                <c:pt idx="15">
                  <c:v>27.05249321918517</c:v>
                </c:pt>
                <c:pt idx="16">
                  <c:v>32.003853062396061</c:v>
                </c:pt>
                <c:pt idx="17">
                  <c:v>37.864363642261203</c:v>
                </c:pt>
                <c:pt idx="18">
                  <c:v>44.80145798412218</c:v>
                </c:pt>
                <c:pt idx="19">
                  <c:v>53.013489141951169</c:v>
                </c:pt>
                <c:pt idx="20">
                  <c:v>62.735454646537619</c:v>
                </c:pt>
                <c:pt idx="21">
                  <c:v>74.245783204008049</c:v>
                </c:pt>
                <c:pt idx="22">
                  <c:v>87.874381172505764</c:v>
                </c:pt>
                <c:pt idx="23">
                  <c:v>104.01217314516242</c:v>
                </c:pt>
                <c:pt idx="24">
                  <c:v>123.12241463555988</c:v>
                </c:pt>
                <c:pt idx="25">
                  <c:v>145.75410668135342</c:v>
                </c:pt>
                <c:pt idx="26">
                  <c:v>150.23693675874819</c:v>
                </c:pt>
                <c:pt idx="27">
                  <c:v>167.76494354361139</c:v>
                </c:pt>
                <c:pt idx="28">
                  <c:v>185.24975095506525</c:v>
                </c:pt>
                <c:pt idx="29">
                  <c:v>202.69601208813617</c:v>
                </c:pt>
                <c:pt idx="30">
                  <c:v>220.10751245497332</c:v>
                </c:pt>
                <c:pt idx="31">
                  <c:v>187.10749574697891</c:v>
                </c:pt>
                <c:pt idx="32">
                  <c:v>206.03271564587536</c:v>
                </c:pt>
                <c:pt idx="33">
                  <c:v>224.91775571009896</c:v>
                </c:pt>
                <c:pt idx="34">
                  <c:v>243.76646443655662</c:v>
                </c:pt>
                <c:pt idx="35">
                  <c:v>262.58204610854824</c:v>
                </c:pt>
                <c:pt idx="36">
                  <c:v>230.09538291979402</c:v>
                </c:pt>
                <c:pt idx="37">
                  <c:v>249.30376817805222</c:v>
                </c:pt>
                <c:pt idx="38">
                  <c:v>268.47858881189222</c:v>
                </c:pt>
                <c:pt idx="39">
                  <c:v>287.62257877818189</c:v>
                </c:pt>
                <c:pt idx="40">
                  <c:v>306.73807829258828</c:v>
                </c:pt>
                <c:pt idx="41">
                  <c:v>275.47695163372049</c:v>
                </c:pt>
                <c:pt idx="42">
                  <c:v>295.71325882522723</c:v>
                </c:pt>
                <c:pt idx="43">
                  <c:v>315.91868734548376</c:v>
                </c:pt>
                <c:pt idx="44">
                  <c:v>336.09548909483652</c:v>
                </c:pt>
                <c:pt idx="45">
                  <c:v>356.24562356348309</c:v>
                </c:pt>
                <c:pt idx="46">
                  <c:v>325.09338574282282</c:v>
                </c:pt>
                <c:pt idx="47">
                  <c:v>345.25783856692919</c:v>
                </c:pt>
                <c:pt idx="48">
                  <c:v>365.39643285792204</c:v>
                </c:pt>
                <c:pt idx="49">
                  <c:v>385.51079352962597</c:v>
                </c:pt>
                <c:pt idx="50">
                  <c:v>405.60236216041108</c:v>
                </c:pt>
                <c:pt idx="51">
                  <c:v>374.5422376976797</c:v>
                </c:pt>
                <c:pt idx="52">
                  <c:v>394.64606952207777</c:v>
                </c:pt>
                <c:pt idx="53">
                  <c:v>414.7277120155033</c:v>
                </c:pt>
                <c:pt idx="54">
                  <c:v>434.78839012126599</c:v>
                </c:pt>
                <c:pt idx="55">
                  <c:v>454.82920658695622</c:v>
                </c:pt>
                <c:pt idx="56">
                  <c:v>423.48397302905909</c:v>
                </c:pt>
                <c:pt idx="57">
                  <c:v>443.17145181723475</c:v>
                </c:pt>
                <c:pt idx="58">
                  <c:v>462.84019859006776</c:v>
                </c:pt>
                <c:pt idx="59">
                  <c:v>482.49112087009524</c:v>
                </c:pt>
                <c:pt idx="60">
                  <c:v>502.12504627431446</c:v>
                </c:pt>
                <c:pt idx="61">
                  <c:v>470.12035055146072</c:v>
                </c:pt>
                <c:pt idx="62">
                  <c:v>489.03761244496371</c:v>
                </c:pt>
                <c:pt idx="63">
                  <c:v>507.93935454019061</c:v>
                </c:pt>
                <c:pt idx="64">
                  <c:v>526.82623526820407</c:v>
                </c:pt>
                <c:pt idx="65">
                  <c:v>545.69886203239605</c:v>
                </c:pt>
                <c:pt idx="66">
                  <c:v>513.02571977154446</c:v>
                </c:pt>
                <c:pt idx="67">
                  <c:v>531.18270081556818</c:v>
                </c:pt>
                <c:pt idx="68">
                  <c:v>549.32662698500246</c:v>
                </c:pt>
                <c:pt idx="69">
                  <c:v>567.45798988344666</c:v>
                </c:pt>
                <c:pt idx="70">
                  <c:v>585.57724715974564</c:v>
                </c:pt>
                <c:pt idx="71">
                  <c:v>551.86576328556498</c:v>
                </c:pt>
                <c:pt idx="72">
                  <c:v>568.90797010861991</c:v>
                </c:pt>
                <c:pt idx="73">
                  <c:v>585.93951180923568</c:v>
                </c:pt>
                <c:pt idx="74">
                  <c:v>602.96074183921132</c:v>
                </c:pt>
                <c:pt idx="75">
                  <c:v>619.97199208161771</c:v>
                </c:pt>
                <c:pt idx="76">
                  <c:v>585.2149778397428</c:v>
                </c:pt>
                <c:pt idx="77">
                  <c:v>601.15045270282633</c:v>
                </c:pt>
                <c:pt idx="78">
                  <c:v>617.07715121692206</c:v>
                </c:pt>
                <c:pt idx="79">
                  <c:v>632.99533165913181</c:v>
                </c:pt>
                <c:pt idx="80">
                  <c:v>648.90523826610968</c:v>
                </c:pt>
                <c:pt idx="81">
                  <c:v>613.4582040265019</c:v>
                </c:pt>
                <c:pt idx="82">
                  <c:v>628.65484029812274</c:v>
                </c:pt>
                <c:pt idx="83">
                  <c:v>643.84387841344767</c:v>
                </c:pt>
                <c:pt idx="84">
                  <c:v>659.0255227598891</c:v>
                </c:pt>
                <c:pt idx="85">
                  <c:v>674.19996754655347</c:v>
                </c:pt>
                <c:pt idx="86">
                  <c:v>639.5049164447255</c:v>
                </c:pt>
                <c:pt idx="87">
                  <c:v>653.60434327896314</c:v>
                </c:pt>
                <c:pt idx="88">
                  <c:v>667.69750358645092</c:v>
                </c:pt>
                <c:pt idx="89">
                  <c:v>681.7845481930716</c:v>
                </c:pt>
                <c:pt idx="90">
                  <c:v>695.86562118765914</c:v>
                </c:pt>
                <c:pt idx="91">
                  <c:v>662.63913175881351</c:v>
                </c:pt>
                <c:pt idx="92">
                  <c:v>676.36716853994994</c:v>
                </c:pt>
                <c:pt idx="93">
                  <c:v>690.08948416197893</c:v>
                </c:pt>
                <c:pt idx="94">
                  <c:v>703.80620835021966</c:v>
                </c:pt>
                <c:pt idx="95">
                  <c:v>717.51746536438907</c:v>
                </c:pt>
                <c:pt idx="96">
                  <c:v>685.39564340837842</c:v>
                </c:pt>
                <c:pt idx="97">
                  <c:v>698.39237185117861</c:v>
                </c:pt>
                <c:pt idx="98">
                  <c:v>711.38415005145782</c:v>
                </c:pt>
                <c:pt idx="99">
                  <c:v>724.37108110022939</c:v>
                </c:pt>
                <c:pt idx="100">
                  <c:v>737.35326409284005</c:v>
                </c:pt>
                <c:pt idx="101">
                  <c:v>705.9715040210923</c:v>
                </c:pt>
                <c:pt idx="102">
                  <c:v>717.87821518538215</c:v>
                </c:pt>
                <c:pt idx="103">
                  <c:v>729.7808954807623</c:v>
                </c:pt>
                <c:pt idx="104">
                  <c:v>741.67961988038905</c:v>
                </c:pt>
                <c:pt idx="105">
                  <c:v>753.57446075706082</c:v>
                </c:pt>
                <c:pt idx="106">
                  <c:v>723.64971039145075</c:v>
                </c:pt>
                <c:pt idx="107">
                  <c:v>735.1898925629672</c:v>
                </c:pt>
                <c:pt idx="108">
                  <c:v>746.72638619800034</c:v>
                </c:pt>
                <c:pt idx="109">
                  <c:v>758.25925628282687</c:v>
                </c:pt>
                <c:pt idx="110">
                  <c:v>769.78856566682896</c:v>
                </c:pt>
                <c:pt idx="111">
                  <c:v>740.95859633457894</c:v>
                </c:pt>
                <c:pt idx="112">
                  <c:v>751.77245897300418</c:v>
                </c:pt>
                <c:pt idx="113">
                  <c:v>762.58316126167267</c:v>
                </c:pt>
                <c:pt idx="114">
                  <c:v>773.39075429462207</c:v>
                </c:pt>
                <c:pt idx="115">
                  <c:v>784.19528762222535</c:v>
                </c:pt>
                <c:pt idx="116">
                  <c:v>754.65561979095912</c:v>
                </c:pt>
                <c:pt idx="117">
                  <c:v>764.74492700132032</c:v>
                </c:pt>
                <c:pt idx="118">
                  <c:v>774.83153445720109</c:v>
                </c:pt>
                <c:pt idx="119">
                  <c:v>784.91548224027645</c:v>
                </c:pt>
                <c:pt idx="120">
                  <c:v>794.996809318901</c:v>
                </c:pt>
                <c:pt idx="121">
                  <c:v>1.4722807076609983E-12</c:v>
                </c:pt>
                <c:pt idx="122">
                  <c:v>1.4722807076609983E-12</c:v>
                </c:pt>
                <c:pt idx="123">
                  <c:v>1.4722807076609983E-12</c:v>
                </c:pt>
                <c:pt idx="124">
                  <c:v>1.4722807076609983E-12</c:v>
                </c:pt>
                <c:pt idx="125">
                  <c:v>1.4722807076609983E-12</c:v>
                </c:pt>
                <c:pt idx="126">
                  <c:v>1.4722807076609983E-12</c:v>
                </c:pt>
                <c:pt idx="127">
                  <c:v>1.4722807076609983E-12</c:v>
                </c:pt>
                <c:pt idx="128">
                  <c:v>1.4722807076609983E-12</c:v>
                </c:pt>
                <c:pt idx="129">
                  <c:v>1.4722807076609983E-12</c:v>
                </c:pt>
                <c:pt idx="130">
                  <c:v>1.4722807076609983E-12</c:v>
                </c:pt>
                <c:pt idx="131">
                  <c:v>1.4722807076609983E-12</c:v>
                </c:pt>
                <c:pt idx="132">
                  <c:v>1.4722807076609983E-12</c:v>
                </c:pt>
                <c:pt idx="133">
                  <c:v>1.4722807076609983E-12</c:v>
                </c:pt>
                <c:pt idx="134">
                  <c:v>1.4722807076609983E-12</c:v>
                </c:pt>
                <c:pt idx="135">
                  <c:v>1.4722807076609983E-12</c:v>
                </c:pt>
                <c:pt idx="136">
                  <c:v>1.4722807076609983E-12</c:v>
                </c:pt>
                <c:pt idx="137">
                  <c:v>1.4722807076609983E-12</c:v>
                </c:pt>
                <c:pt idx="138">
                  <c:v>1.4722807076609983E-12</c:v>
                </c:pt>
                <c:pt idx="139">
                  <c:v>1.4722807076609983E-12</c:v>
                </c:pt>
                <c:pt idx="140">
                  <c:v>1.4722807076609983E-12</c:v>
                </c:pt>
                <c:pt idx="141">
                  <c:v>1.4722807076609983E-12</c:v>
                </c:pt>
                <c:pt idx="142">
                  <c:v>1.4722807076609983E-12</c:v>
                </c:pt>
                <c:pt idx="143">
                  <c:v>1.4722807076609983E-12</c:v>
                </c:pt>
                <c:pt idx="144">
                  <c:v>1.4722807076609983E-12</c:v>
                </c:pt>
                <c:pt idx="145">
                  <c:v>1.4722807076609983E-12</c:v>
                </c:pt>
                <c:pt idx="146">
                  <c:v>1.4722807076609983E-12</c:v>
                </c:pt>
                <c:pt idx="147">
                  <c:v>1.4722807076609983E-12</c:v>
                </c:pt>
                <c:pt idx="148">
                  <c:v>1.4722807076609983E-12</c:v>
                </c:pt>
                <c:pt idx="149">
                  <c:v>1.4722807076609983E-12</c:v>
                </c:pt>
                <c:pt idx="150">
                  <c:v>1.4722807076609983E-12</c:v>
                </c:pt>
                <c:pt idx="151">
                  <c:v>1.4722807076609983E-12</c:v>
                </c:pt>
                <c:pt idx="152">
                  <c:v>1.4722807076609983E-12</c:v>
                </c:pt>
                <c:pt idx="153">
                  <c:v>1.4722807076609983E-12</c:v>
                </c:pt>
                <c:pt idx="154">
                  <c:v>1.4722807076609983E-12</c:v>
                </c:pt>
                <c:pt idx="155">
                  <c:v>1.4722807076609983E-12</c:v>
                </c:pt>
                <c:pt idx="156">
                  <c:v>1.4722807076609983E-12</c:v>
                </c:pt>
                <c:pt idx="157">
                  <c:v>1.4722807076609983E-12</c:v>
                </c:pt>
                <c:pt idx="158">
                  <c:v>1.4722807076609983E-12</c:v>
                </c:pt>
                <c:pt idx="159">
                  <c:v>1.4722807076609983E-12</c:v>
                </c:pt>
                <c:pt idx="160">
                  <c:v>1.4722807076609983E-12</c:v>
                </c:pt>
                <c:pt idx="161">
                  <c:v>1.4722807076609983E-12</c:v>
                </c:pt>
                <c:pt idx="162">
                  <c:v>1.4722807076609983E-12</c:v>
                </c:pt>
                <c:pt idx="163">
                  <c:v>1.4722807076609983E-12</c:v>
                </c:pt>
                <c:pt idx="164">
                  <c:v>1.4722807076609983E-12</c:v>
                </c:pt>
                <c:pt idx="165">
                  <c:v>1.4722807076609983E-12</c:v>
                </c:pt>
                <c:pt idx="166">
                  <c:v>1.4722807076609983E-12</c:v>
                </c:pt>
                <c:pt idx="167">
                  <c:v>1.4722807076609983E-12</c:v>
                </c:pt>
                <c:pt idx="168">
                  <c:v>1.4722807076609983E-12</c:v>
                </c:pt>
                <c:pt idx="169">
                  <c:v>1.4722807076609983E-12</c:v>
                </c:pt>
                <c:pt idx="170">
                  <c:v>1.4722807076609983E-12</c:v>
                </c:pt>
                <c:pt idx="171">
                  <c:v>1.4722807076609983E-12</c:v>
                </c:pt>
                <c:pt idx="172">
                  <c:v>1.4722807076609983E-12</c:v>
                </c:pt>
                <c:pt idx="173">
                  <c:v>1.4722807076609983E-12</c:v>
                </c:pt>
                <c:pt idx="174">
                  <c:v>1.4722807076609983E-12</c:v>
                </c:pt>
                <c:pt idx="175">
                  <c:v>1.4722807076609983E-12</c:v>
                </c:pt>
                <c:pt idx="176">
                  <c:v>1.4722807076609983E-12</c:v>
                </c:pt>
                <c:pt idx="177">
                  <c:v>1.4722807076609983E-12</c:v>
                </c:pt>
                <c:pt idx="178">
                  <c:v>1.4722807076609983E-12</c:v>
                </c:pt>
                <c:pt idx="179">
                  <c:v>1.4722807076609983E-12</c:v>
                </c:pt>
                <c:pt idx="180">
                  <c:v>1.4722807076609983E-12</c:v>
                </c:pt>
                <c:pt idx="181">
                  <c:v>1.4722807076609983E-12</c:v>
                </c:pt>
                <c:pt idx="182">
                  <c:v>1.4722807076609983E-12</c:v>
                </c:pt>
                <c:pt idx="183">
                  <c:v>1.4722807076609983E-12</c:v>
                </c:pt>
                <c:pt idx="184">
                  <c:v>1.4722807076609983E-12</c:v>
                </c:pt>
                <c:pt idx="185">
                  <c:v>1.4722807076609983E-12</c:v>
                </c:pt>
                <c:pt idx="186">
                  <c:v>1.4722807076609983E-12</c:v>
                </c:pt>
                <c:pt idx="187">
                  <c:v>1.4722807076609983E-12</c:v>
                </c:pt>
                <c:pt idx="188">
                  <c:v>1.4722807076609983E-12</c:v>
                </c:pt>
                <c:pt idx="189">
                  <c:v>1.4722807076609983E-12</c:v>
                </c:pt>
                <c:pt idx="190">
                  <c:v>1.4722807076609983E-12</c:v>
                </c:pt>
                <c:pt idx="191">
                  <c:v>1.4722807076609983E-12</c:v>
                </c:pt>
                <c:pt idx="192">
                  <c:v>1.4722807076609983E-12</c:v>
                </c:pt>
                <c:pt idx="193">
                  <c:v>1.4722807076609983E-12</c:v>
                </c:pt>
                <c:pt idx="194">
                  <c:v>1.4722807076609983E-12</c:v>
                </c:pt>
                <c:pt idx="195">
                  <c:v>1.4722807076609983E-12</c:v>
                </c:pt>
                <c:pt idx="196">
                  <c:v>1.4722807076609983E-12</c:v>
                </c:pt>
                <c:pt idx="197">
                  <c:v>1.4722807076609983E-12</c:v>
                </c:pt>
                <c:pt idx="198">
                  <c:v>1.4722807076609983E-12</c:v>
                </c:pt>
                <c:pt idx="199">
                  <c:v>1.4722807076609983E-12</c:v>
                </c:pt>
                <c:pt idx="200">
                  <c:v>1.4722807076609983E-12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2.1350786004664535</c:v>
                </c:pt>
                <c:pt idx="2">
                  <c:v>2.6921717481430694</c:v>
                </c:pt>
                <c:pt idx="3">
                  <c:v>3.3951979925602132</c:v>
                </c:pt>
                <c:pt idx="4">
                  <c:v>4.2825271299889929</c:v>
                </c:pt>
                <c:pt idx="5">
                  <c:v>5.4026523830368793</c:v>
                </c:pt>
                <c:pt idx="6">
                  <c:v>6.8168699269517186</c:v>
                </c:pt>
                <c:pt idx="7">
                  <c:v>8.6026697455530794</c:v>
                </c:pt>
                <c:pt idx="8">
                  <c:v>10.858027163519033</c:v>
                </c:pt>
                <c:pt idx="9">
                  <c:v>13.706834927621495</c:v>
                </c:pt>
                <c:pt idx="10">
                  <c:v>17.305779747951522</c:v>
                </c:pt>
                <c:pt idx="11">
                  <c:v>21.853048382275563</c:v>
                </c:pt>
                <c:pt idx="12">
                  <c:v>27.599351245605177</c:v>
                </c:pt>
                <c:pt idx="13">
                  <c:v>34.861881979556053</c:v>
                </c:pt>
                <c:pt idx="14">
                  <c:v>44.041996814142045</c:v>
                </c:pt>
                <c:pt idx="15">
                  <c:v>55.647607276796499</c:v>
                </c:pt>
                <c:pt idx="16">
                  <c:v>50.671605091578876</c:v>
                </c:pt>
                <c:pt idx="17">
                  <c:v>67.602585604870953</c:v>
                </c:pt>
                <c:pt idx="18">
                  <c:v>84.42357654371574</c:v>
                </c:pt>
                <c:pt idx="19">
                  <c:v>101.15975656350798</c:v>
                </c:pt>
                <c:pt idx="20">
                  <c:v>117.82719554138386</c:v>
                </c:pt>
                <c:pt idx="21">
                  <c:v>95.685441973812658</c:v>
                </c:pt>
                <c:pt idx="22">
                  <c:v>113.80965748960364</c:v>
                </c:pt>
                <c:pt idx="23">
                  <c:v>131.86304956724535</c:v>
                </c:pt>
                <c:pt idx="24">
                  <c:v>149.85670075971808</c:v>
                </c:pt>
                <c:pt idx="25">
                  <c:v>167.79880331835713</c:v>
                </c:pt>
                <c:pt idx="26">
                  <c:v>144.72123383801272</c:v>
                </c:pt>
                <c:pt idx="27">
                  <c:v>161.53873896208071</c:v>
                </c:pt>
                <c:pt idx="28">
                  <c:v>178.31479007290753</c:v>
                </c:pt>
                <c:pt idx="29">
                  <c:v>195.05383828243905</c:v>
                </c:pt>
                <c:pt idx="30">
                  <c:v>211.75950715739978</c:v>
                </c:pt>
                <c:pt idx="31">
                  <c:v>187.3979404339226</c:v>
                </c:pt>
                <c:pt idx="32">
                  <c:v>202.70275417831499</c:v>
                </c:pt>
                <c:pt idx="33">
                  <c:v>217.98082037329854</c:v>
                </c:pt>
                <c:pt idx="34">
                  <c:v>233.23427816301728</c:v>
                </c:pt>
                <c:pt idx="35">
                  <c:v>248.46496383915087</c:v>
                </c:pt>
                <c:pt idx="36">
                  <c:v>222.50284096633973</c:v>
                </c:pt>
                <c:pt idx="37">
                  <c:v>236.05644310479695</c:v>
                </c:pt>
                <c:pt idx="38">
                  <c:v>249.59230205465977</c:v>
                </c:pt>
                <c:pt idx="39">
                  <c:v>263.11151589765069</c:v>
                </c:pt>
                <c:pt idx="40">
                  <c:v>276.61506059958816</c:v>
                </c:pt>
                <c:pt idx="41">
                  <c:v>248.7468092558544</c:v>
                </c:pt>
                <c:pt idx="42">
                  <c:v>260.29633594452861</c:v>
                </c:pt>
                <c:pt idx="43">
                  <c:v>271.83429043682321</c:v>
                </c:pt>
                <c:pt idx="44">
                  <c:v>283.36123337871345</c:v>
                </c:pt>
                <c:pt idx="45">
                  <c:v>294.87767605242146</c:v>
                </c:pt>
                <c:pt idx="46">
                  <c:v>274.08429806422936</c:v>
                </c:pt>
                <c:pt idx="47">
                  <c:v>284.20425004649184</c:v>
                </c:pt>
                <c:pt idx="48">
                  <c:v>294.31613475104683</c:v>
                </c:pt>
                <c:pt idx="49">
                  <c:v>304.42026859998879</c:v>
                </c:pt>
                <c:pt idx="50">
                  <c:v>314.51694528188881</c:v>
                </c:pt>
                <c:pt idx="51">
                  <c:v>299.08847869495389</c:v>
                </c:pt>
                <c:pt idx="52">
                  <c:v>307.50614242847166</c:v>
                </c:pt>
                <c:pt idx="53">
                  <c:v>315.91868734548342</c:v>
                </c:pt>
                <c:pt idx="54">
                  <c:v>324.32626909194659</c:v>
                </c:pt>
                <c:pt idx="55">
                  <c:v>332.72903457884439</c:v>
                </c:pt>
                <c:pt idx="56">
                  <c:v>321.80450679845353</c:v>
                </c:pt>
                <c:pt idx="57">
                  <c:v>329.08841844950109</c:v>
                </c:pt>
                <c:pt idx="58">
                  <c:v>336.36877249407797</c:v>
                </c:pt>
                <c:pt idx="59">
                  <c:v>343.64565686779611</c:v>
                </c:pt>
                <c:pt idx="60">
                  <c:v>350.91915547472735</c:v>
                </c:pt>
                <c:pt idx="61">
                  <c:v>340.28752055444613</c:v>
                </c:pt>
                <c:pt idx="62">
                  <c:v>346.44355255688691</c:v>
                </c:pt>
                <c:pt idx="63">
                  <c:v>352.59718287003443</c:v>
                </c:pt>
                <c:pt idx="64">
                  <c:v>358.74845936750694</c:v>
                </c:pt>
                <c:pt idx="65">
                  <c:v>364.89742814550755</c:v>
                </c:pt>
                <c:pt idx="66">
                  <c:v>354.83428056807503</c:v>
                </c:pt>
                <c:pt idx="67">
                  <c:v>360.14615329066805</c:v>
                </c:pt>
                <c:pt idx="68">
                  <c:v>365.45631242252239</c:v>
                </c:pt>
                <c:pt idx="69">
                  <c:v>370.76478640470503</c:v>
                </c:pt>
                <c:pt idx="70">
                  <c:v>376.07160279648701</c:v>
                </c:pt>
                <c:pt idx="71">
                  <c:v>366.85344149976572</c:v>
                </c:pt>
                <c:pt idx="72">
                  <c:v>371.60281428696067</c:v>
                </c:pt>
                <c:pt idx="73">
                  <c:v>376.35086351579002</c:v>
                </c:pt>
                <c:pt idx="74">
                  <c:v>381.09760826078065</c:v>
                </c:pt>
                <c:pt idx="75">
                  <c:v>385.843067081963</c:v>
                </c:pt>
                <c:pt idx="76">
                  <c:v>377.18861860717408</c:v>
                </c:pt>
                <c:pt idx="77">
                  <c:v>381.09760826078065</c:v>
                </c:pt>
                <c:pt idx="78">
                  <c:v>385.00572580895852</c:v>
                </c:pt>
                <c:pt idx="79">
                  <c:v>388.9129813652267</c:v>
                </c:pt>
                <c:pt idx="80">
                  <c:v>392.81938482304832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2.5822836422111366</c:v>
                </c:pt>
                <c:pt idx="2">
                  <c:v>3.0918035815284672</c:v>
                </c:pt>
                <c:pt idx="3">
                  <c:v>3.7022337622707653</c:v>
                </c:pt>
                <c:pt idx="4">
                  <c:v>4.4336295362791462</c:v>
                </c:pt>
                <c:pt idx="5">
                  <c:v>5.3100452071463202</c:v>
                </c:pt>
                <c:pt idx="6">
                  <c:v>6.3603338288932347</c:v>
                </c:pt>
                <c:pt idx="7">
                  <c:v>7.6191074146970825</c:v>
                </c:pt>
                <c:pt idx="8">
                  <c:v>9.127889810760573</c:v>
                </c:pt>
                <c:pt idx="9">
                  <c:v>10.93650099145758</c:v>
                </c:pt>
                <c:pt idx="10">
                  <c:v>13.104719346021051</c:v>
                </c:pt>
                <c:pt idx="11">
                  <c:v>15.70427791998471</c:v>
                </c:pt>
                <c:pt idx="12">
                  <c:v>18.82126186594877</c:v>
                </c:pt>
                <c:pt idx="13">
                  <c:v>22.558987932416557</c:v>
                </c:pt>
                <c:pt idx="14">
                  <c:v>27.041463138816312</c:v>
                </c:pt>
                <c:pt idx="15">
                  <c:v>32.417539405558351</c:v>
                </c:pt>
                <c:pt idx="16">
                  <c:v>38.865904499125939</c:v>
                </c:pt>
                <c:pt idx="17">
                  <c:v>46.601078018602493</c:v>
                </c:pt>
                <c:pt idx="18">
                  <c:v>55.880615259949991</c:v>
                </c:pt>
                <c:pt idx="19">
                  <c:v>67.013762812651535</c:v>
                </c:pt>
                <c:pt idx="20">
                  <c:v>80.371859071508723</c:v>
                </c:pt>
                <c:pt idx="21">
                  <c:v>90.780755313309626</c:v>
                </c:pt>
                <c:pt idx="22">
                  <c:v>101.159756563508</c:v>
                </c:pt>
                <c:pt idx="23">
                  <c:v>111.5123681968909</c:v>
                </c:pt>
                <c:pt idx="24">
                  <c:v>121.84138944928242</c:v>
                </c:pt>
                <c:pt idx="25">
                  <c:v>132.14910489975807</c:v>
                </c:pt>
                <c:pt idx="26">
                  <c:v>142.0702886161877</c:v>
                </c:pt>
                <c:pt idx="27">
                  <c:v>151.9748671635376</c:v>
                </c:pt>
                <c:pt idx="28">
                  <c:v>161.86407656317965</c:v>
                </c:pt>
                <c:pt idx="29">
                  <c:v>171.73898922232456</c:v>
                </c:pt>
                <c:pt idx="30">
                  <c:v>181.60054396431894</c:v>
                </c:pt>
                <c:pt idx="31">
                  <c:v>157.83692263801242</c:v>
                </c:pt>
                <c:pt idx="32">
                  <c:v>172.46992207510789</c:v>
                </c:pt>
                <c:pt idx="33">
                  <c:v>187.07372242622989</c:v>
                </c:pt>
                <c:pt idx="34">
                  <c:v>201.65092519188462</c:v>
                </c:pt>
                <c:pt idx="35">
                  <c:v>216.20372460175977</c:v>
                </c:pt>
                <c:pt idx="36">
                  <c:v>193.27214793812982</c:v>
                </c:pt>
                <c:pt idx="37">
                  <c:v>208.56642615430937</c:v>
                </c:pt>
                <c:pt idx="38">
                  <c:v>223.83481773691528</c:v>
                </c:pt>
                <c:pt idx="39">
                  <c:v>239.07933751109394</c:v>
                </c:pt>
                <c:pt idx="40">
                  <c:v>254.30172220416452</c:v>
                </c:pt>
                <c:pt idx="41">
                  <c:v>231.45994723108024</c:v>
                </c:pt>
                <c:pt idx="42">
                  <c:v>246.69319751240894</c:v>
                </c:pt>
                <c:pt idx="43">
                  <c:v>261.90509392199004</c:v>
                </c:pt>
                <c:pt idx="44">
                  <c:v>277.0970514904804</c:v>
                </c:pt>
                <c:pt idx="45">
                  <c:v>292.27031736625923</c:v>
                </c:pt>
                <c:pt idx="46">
                  <c:v>269.1417660278766</c:v>
                </c:pt>
                <c:pt idx="47">
                  <c:v>283.96339386484857</c:v>
                </c:pt>
                <c:pt idx="48">
                  <c:v>298.76770238890396</c:v>
                </c:pt>
                <c:pt idx="49">
                  <c:v>313.5556706911018</c:v>
                </c:pt>
                <c:pt idx="50">
                  <c:v>328.32817795481515</c:v>
                </c:pt>
                <c:pt idx="51">
                  <c:v>304.90122958502059</c:v>
                </c:pt>
                <c:pt idx="52">
                  <c:v>319.32234555972747</c:v>
                </c:pt>
                <c:pt idx="53">
                  <c:v>333.72904960580678</c:v>
                </c:pt>
                <c:pt idx="54">
                  <c:v>348.12205150612687</c:v>
                </c:pt>
                <c:pt idx="55">
                  <c:v>362.50199755720973</c:v>
                </c:pt>
                <c:pt idx="56">
                  <c:v>338.40824566131738</c:v>
                </c:pt>
                <c:pt idx="57">
                  <c:v>352.07781219018153</c:v>
                </c:pt>
                <c:pt idx="58">
                  <c:v>365.73574755728549</c:v>
                </c:pt>
                <c:pt idx="59">
                  <c:v>379.38254731510466</c:v>
                </c:pt>
                <c:pt idx="60">
                  <c:v>393.01866845402543</c:v>
                </c:pt>
                <c:pt idx="61">
                  <c:v>368.25045438962269</c:v>
                </c:pt>
                <c:pt idx="62">
                  <c:v>381.17737444442338</c:v>
                </c:pt>
                <c:pt idx="63">
                  <c:v>394.09476222315908</c:v>
                </c:pt>
                <c:pt idx="64">
                  <c:v>407.00297420734063</c:v>
                </c:pt>
                <c:pt idx="65">
                  <c:v>419.90234242068578</c:v>
                </c:pt>
                <c:pt idx="66">
                  <c:v>394.45344597932922</c:v>
                </c:pt>
                <c:pt idx="67">
                  <c:v>406.64453366510526</c:v>
                </c:pt>
                <c:pt idx="68">
                  <c:v>418.82772515146894</c:v>
                </c:pt>
                <c:pt idx="69">
                  <c:v>431.00328251520642</c:v>
                </c:pt>
                <c:pt idx="70">
                  <c:v>443.17145181723458</c:v>
                </c:pt>
                <c:pt idx="71">
                  <c:v>416.67831216352153</c:v>
                </c:pt>
                <c:pt idx="72">
                  <c:v>427.78106967818331</c:v>
                </c:pt>
                <c:pt idx="73">
                  <c:v>438.87763264294875</c:v>
                </c:pt>
                <c:pt idx="74">
                  <c:v>449.96817978008789</c:v>
                </c:pt>
                <c:pt idx="75">
                  <c:v>461.05288028198476</c:v>
                </c:pt>
                <c:pt idx="76">
                  <c:v>434.22497775587226</c:v>
                </c:pt>
                <c:pt idx="77">
                  <c:v>444.96027949966771</c:v>
                </c:pt>
                <c:pt idx="78">
                  <c:v>455.69003527221344</c:v>
                </c:pt>
                <c:pt idx="79">
                  <c:v>466.41439408694373</c:v>
                </c:pt>
                <c:pt idx="80">
                  <c:v>477.13349754486762</c:v>
                </c:pt>
                <c:pt idx="81">
                  <c:v>449.96817978008789</c:v>
                </c:pt>
                <c:pt idx="82">
                  <c:v>460.3379115812433</c:v>
                </c:pt>
                <c:pt idx="83">
                  <c:v>470.70265841989794</c:v>
                </c:pt>
                <c:pt idx="84">
                  <c:v>481.06254555421037</c:v>
                </c:pt>
                <c:pt idx="85">
                  <c:v>491.41769240661648</c:v>
                </c:pt>
                <c:pt idx="86">
                  <c:v>463.55508464541487</c:v>
                </c:pt>
                <c:pt idx="87">
                  <c:v>473.2037611562468</c:v>
                </c:pt>
                <c:pt idx="88">
                  <c:v>482.848250644968</c:v>
                </c:pt>
                <c:pt idx="89">
                  <c:v>492.48864855160656</c:v>
                </c:pt>
                <c:pt idx="90">
                  <c:v>502.125046274314</c:v>
                </c:pt>
                <c:pt idx="91">
                  <c:v>477.13349754486757</c:v>
                </c:pt>
                <c:pt idx="92">
                  <c:v>489.6326554281622</c:v>
                </c:pt>
                <c:pt idx="93">
                  <c:v>502.125046274314</c:v>
                </c:pt>
                <c:pt idx="94">
                  <c:v>514.61086214265538</c:v>
                </c:pt>
                <c:pt idx="95">
                  <c:v>527.09028501417185</c:v>
                </c:pt>
                <c:pt idx="96">
                  <c:v>494.63041282058913</c:v>
                </c:pt>
                <c:pt idx="97">
                  <c:v>499.62710009899456</c:v>
                </c:pt>
                <c:pt idx="98">
                  <c:v>504.62272948273659</c:v>
                </c:pt>
                <c:pt idx="99">
                  <c:v>509.61731292933632</c:v>
                </c:pt>
                <c:pt idx="100">
                  <c:v>514.61086214265538</c:v>
                </c:pt>
                <c:pt idx="101">
                  <c:v>481.41969782516429</c:v>
                </c:pt>
                <c:pt idx="102">
                  <c:v>485.70508720424749</c:v>
                </c:pt>
                <c:pt idx="103">
                  <c:v>489.98967385222318</c:v>
                </c:pt>
                <c:pt idx="104">
                  <c:v>494.27346578454063</c:v>
                </c:pt>
                <c:pt idx="105">
                  <c:v>498.55647086626504</c:v>
                </c:pt>
                <c:pt idx="106">
                  <c:v>502.83869681619558</c:v>
                </c:pt>
                <c:pt idx="107">
                  <c:v>507.12015121083601</c:v>
                </c:pt>
                <c:pt idx="108">
                  <c:v>511.4008414882241</c:v>
                </c:pt>
                <c:pt idx="109">
                  <c:v>515.68077495162606</c:v>
                </c:pt>
                <c:pt idx="110">
                  <c:v>519.95995877310168</c:v>
                </c:pt>
                <c:pt idx="111">
                  <c:v>464.26994718146619</c:v>
                </c:pt>
                <c:pt idx="112">
                  <c:v>478.2051240896717</c:v>
                </c:pt>
                <c:pt idx="113">
                  <c:v>492.13166866279676</c:v>
                </c:pt>
                <c:pt idx="114">
                  <c:v>506.04985953638538</c:v>
                </c:pt>
                <c:pt idx="115">
                  <c:v>519.95995877310168</c:v>
                </c:pt>
                <c:pt idx="116">
                  <c:v>494.27346578454058</c:v>
                </c:pt>
                <c:pt idx="117">
                  <c:v>500.69768075588348</c:v>
                </c:pt>
                <c:pt idx="118">
                  <c:v>507.12015121083613</c:v>
                </c:pt>
                <c:pt idx="119">
                  <c:v>513.54090237038554</c:v>
                </c:pt>
                <c:pt idx="120">
                  <c:v>519.9599587731019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152.31425123991514</c:v>
                </c:pt>
                <c:pt idx="27">
                  <c:v>162.93487032621877</c:v>
                </c:pt>
                <c:pt idx="28">
                  <c:v>173.53911854728722</c:v>
                </c:pt>
                <c:pt idx="29">
                  <c:v>184.12813820679631</c:v>
                </c:pt>
                <c:pt idx="30">
                  <c:v>194.7029293179402</c:v>
                </c:pt>
                <c:pt idx="31">
                  <c:v>169.2207687360675</c:v>
                </c:pt>
                <c:pt idx="32">
                  <c:v>184.91193253803272</c:v>
                </c:pt>
                <c:pt idx="33">
                  <c:v>200.57199414028261</c:v>
                </c:pt>
                <c:pt idx="34">
                  <c:v>216.20372460175977</c:v>
                </c:pt>
                <c:pt idx="35">
                  <c:v>231.80946116582979</c:v>
                </c:pt>
                <c:pt idx="36">
                  <c:v>207.21879690654123</c:v>
                </c:pt>
                <c:pt idx="37">
                  <c:v>223.61956111075651</c:v>
                </c:pt>
                <c:pt idx="38">
                  <c:v>239.99275146392401</c:v>
                </c:pt>
                <c:pt idx="39">
                  <c:v>256.3405141117878</c:v>
                </c:pt>
                <c:pt idx="40">
                  <c:v>272.66469897663586</c:v>
                </c:pt>
                <c:pt idx="41">
                  <c:v>248.16968942779499</c:v>
                </c:pt>
                <c:pt idx="42">
                  <c:v>264.50544806917623</c:v>
                </c:pt>
                <c:pt idx="43">
                  <c:v>280.81846105391622</c:v>
                </c:pt>
                <c:pt idx="44">
                  <c:v>297.11023564036338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304.47370954373434</c:v>
                </c:pt>
                <c:pt idx="48">
                  <c:v>320.34995854628943</c:v>
                </c:pt>
                <c:pt idx="49">
                  <c:v>336.20880231759622</c:v>
                </c:pt>
                <c:pt idx="50">
                  <c:v>352.05117734371061</c:v>
                </c:pt>
                <c:pt idx="51">
                  <c:v>326.92763310831185</c:v>
                </c:pt>
                <c:pt idx="52">
                  <c:v>342.39310348379212</c:v>
                </c:pt>
                <c:pt idx="53">
                  <c:v>357.84322260194625</c:v>
                </c:pt>
                <c:pt idx="54">
                  <c:v>373.27874650728057</c:v>
                </c:pt>
                <c:pt idx="55">
                  <c:v>388.70036362009404</c:v>
                </c:pt>
                <c:pt idx="56">
                  <c:v>362.86133414806545</c:v>
                </c:pt>
                <c:pt idx="57">
                  <c:v>377.52104986809331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421.42793186976093</c:v>
                </c:pt>
                <c:pt idx="61">
                  <c:v>394.86525935006398</c:v>
                </c:pt>
                <c:pt idx="62">
                  <c:v>408.72870365690937</c:v>
                </c:pt>
                <c:pt idx="63">
                  <c:v>422.5819944009279</c:v>
                </c:pt>
                <c:pt idx="64">
                  <c:v>436.42551129808612</c:v>
                </c:pt>
                <c:pt idx="65">
                  <c:v>450.25960801246742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462.16500679362116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458.70928319621322</c:v>
                </c:pt>
                <c:pt idx="73">
                  <c:v>470.61001955868886</c:v>
                </c:pt>
                <c:pt idx="74">
                  <c:v>482.50434799892838</c:v>
                </c:pt>
                <c:pt idx="75">
                  <c:v>494.3924487367961</c:v>
                </c:pt>
                <c:pt idx="76">
                  <c:v>465.62017905920675</c:v>
                </c:pt>
                <c:pt idx="77">
                  <c:v>477.13349754486762</c:v>
                </c:pt>
                <c:pt idx="78">
                  <c:v>488.64090858857691</c:v>
                </c:pt>
                <c:pt idx="79">
                  <c:v>500.14257091604276</c:v>
                </c:pt>
                <c:pt idx="80">
                  <c:v>511.63863535742718</c:v>
                </c:pt>
                <c:pt idx="81">
                  <c:v>482.50434799892838</c:v>
                </c:pt>
                <c:pt idx="82">
                  <c:v>493.6256590558267</c:v>
                </c:pt>
                <c:pt idx="83">
                  <c:v>504.74166024448414</c:v>
                </c:pt>
                <c:pt idx="84">
                  <c:v>515.85248498703129</c:v>
                </c:pt>
                <c:pt idx="85">
                  <c:v>526.95826048952063</c:v>
                </c:pt>
                <c:pt idx="86">
                  <c:v>497.07601440225949</c:v>
                </c:pt>
                <c:pt idx="87">
                  <c:v>507.42405248193245</c:v>
                </c:pt>
                <c:pt idx="88">
                  <c:v>517.76763064124975</c:v>
                </c:pt>
                <c:pt idx="89">
                  <c:v>528.10685054075043</c:v>
                </c:pt>
                <c:pt idx="90">
                  <c:v>538.44180953565819</c:v>
                </c:pt>
                <c:pt idx="91">
                  <c:v>511.63863535742689</c:v>
                </c:pt>
                <c:pt idx="92">
                  <c:v>525.04382649327329</c:v>
                </c:pt>
                <c:pt idx="93">
                  <c:v>538.44180953565819</c:v>
                </c:pt>
                <c:pt idx="94">
                  <c:v>551.83278906179692</c:v>
                </c:pt>
                <c:pt idx="95">
                  <c:v>565.21695891368051</c:v>
                </c:pt>
                <c:pt idx="96">
                  <c:v>530.40387297462291</c:v>
                </c:pt>
                <c:pt idx="97">
                  <c:v>535.76277959494882</c:v>
                </c:pt>
                <c:pt idx="98">
                  <c:v>541.12055937003311</c:v>
                </c:pt>
                <c:pt idx="99">
                  <c:v>546.47722503675357</c:v>
                </c:pt>
                <c:pt idx="100">
                  <c:v>551.83278906179714</c:v>
                </c:pt>
                <c:pt idx="101">
                  <c:v>516.23552610410309</c:v>
                </c:pt>
                <c:pt idx="102">
                  <c:v>520.83155309732092</c:v>
                </c:pt>
                <c:pt idx="103">
                  <c:v>525.42672503969095</c:v>
                </c:pt>
                <c:pt idx="104">
                  <c:v>530.02105046908639</c:v>
                </c:pt>
                <c:pt idx="105">
                  <c:v>534.61453776319513</c:v>
                </c:pt>
                <c:pt idx="106">
                  <c:v>539.20719514390589</c:v>
                </c:pt>
                <c:pt idx="107">
                  <c:v>543.7990306815376</c:v>
                </c:pt>
                <c:pt idx="108">
                  <c:v>548.39005229891814</c:v>
                </c:pt>
                <c:pt idx="109">
                  <c:v>552.98026777532004</c:v>
                </c:pt>
                <c:pt idx="110">
                  <c:v>557.56968475025735</c:v>
                </c:pt>
                <c:pt idx="111">
                  <c:v>497.8426909990248</c:v>
                </c:pt>
                <c:pt idx="112">
                  <c:v>512.78793950323222</c:v>
                </c:pt>
                <c:pt idx="113">
                  <c:v>527.72399304120256</c:v>
                </c:pt>
                <c:pt idx="114">
                  <c:v>542.65114840915544</c:v>
                </c:pt>
                <c:pt idx="115">
                  <c:v>557.56968475025758</c:v>
                </c:pt>
                <c:pt idx="116">
                  <c:v>530.02105046908628</c:v>
                </c:pt>
                <c:pt idx="117">
                  <c:v>536.91096968482657</c:v>
                </c:pt>
                <c:pt idx="118">
                  <c:v>543.79903068153772</c:v>
                </c:pt>
                <c:pt idx="119">
                  <c:v>550.68526032403997</c:v>
                </c:pt>
                <c:pt idx="120">
                  <c:v>557.56968475025758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170.20243745871741</c:v>
                </c:pt>
                <c:pt idx="27">
                  <c:v>182.07368538348692</c:v>
                </c:pt>
                <c:pt idx="28">
                  <c:v>193.9268283761636</c:v>
                </c:pt>
                <c:pt idx="29">
                  <c:v>205.7631297377508</c:v>
                </c:pt>
                <c:pt idx="30">
                  <c:v>217.58369540679939</c:v>
                </c:pt>
                <c:pt idx="31">
                  <c:v>189.09987078266838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259.06280274212469</c:v>
                </c:pt>
                <c:pt idx="36">
                  <c:v>231.57421272848478</c:v>
                </c:pt>
                <c:pt idx="37">
                  <c:v>249.90766763554768</c:v>
                </c:pt>
                <c:pt idx="38">
                  <c:v>268.21062796009534</c:v>
                </c:pt>
                <c:pt idx="39">
                  <c:v>286.48546717612544</c:v>
                </c:pt>
                <c:pt idx="40">
                  <c:v>304.73423115701877</c:v>
                </c:pt>
                <c:pt idx="41">
                  <c:v>277.35142797945304</c:v>
                </c:pt>
                <c:pt idx="42">
                  <c:v>295.6129916771103</c:v>
                </c:pt>
                <c:pt idx="43">
                  <c:v>313.84940040812518</c:v>
                </c:pt>
                <c:pt idx="44">
                  <c:v>332.06232108561727</c:v>
                </c:pt>
                <c:pt idx="45">
                  <c:v>350.25322285655199</c:v>
                </c:pt>
                <c:pt idx="46">
                  <c:v>322.5250547616368</c:v>
                </c:pt>
                <c:pt idx="47">
                  <c:v>340.2941842426967</c:v>
                </c:pt>
                <c:pt idx="48">
                  <c:v>358.04291148739236</c:v>
                </c:pt>
                <c:pt idx="49">
                  <c:v>375.77238986983889</c:v>
                </c:pt>
                <c:pt idx="50">
                  <c:v>393.4836550724026</c:v>
                </c:pt>
                <c:pt idx="51">
                  <c:v>365.39643285792204</c:v>
                </c:pt>
                <c:pt idx="52">
                  <c:v>382.68621644309746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405.56917103469476</c:v>
                </c:pt>
                <c:pt idx="57">
                  <c:v>421.95854377334399</c:v>
                </c:pt>
                <c:pt idx="58">
                  <c:v>438.33421494585309</c:v>
                </c:pt>
                <c:pt idx="59">
                  <c:v>454.69676831549214</c:v>
                </c:pt>
                <c:pt idx="60">
                  <c:v>471.04674221919896</c:v>
                </c:pt>
                <c:pt idx="61">
                  <c:v>441.34933861906421</c:v>
                </c:pt>
                <c:pt idx="62">
                  <c:v>456.84878825602169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503.28141369303722</c:v>
                </c:pt>
                <c:pt idx="66">
                  <c:v>472.76708100439265</c:v>
                </c:pt>
                <c:pt idx="67">
                  <c:v>487.38463458913134</c:v>
                </c:pt>
                <c:pt idx="68">
                  <c:v>501.99288641186791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499.41562163511873</c:v>
                </c:pt>
                <c:pt idx="72">
                  <c:v>512.72849407236004</c:v>
                </c:pt>
                <c:pt idx="73">
                  <c:v>526.03406929915411</c:v>
                </c:pt>
                <c:pt idx="74">
                  <c:v>539.33255785122003</c:v>
                </c:pt>
                <c:pt idx="75">
                  <c:v>552.62415903802309</c:v>
                </c:pt>
                <c:pt idx="76">
                  <c:v>520.45518659727657</c:v>
                </c:pt>
                <c:pt idx="77">
                  <c:v>533.32765337796297</c:v>
                </c:pt>
                <c:pt idx="78">
                  <c:v>546.193586977059</c:v>
                </c:pt>
                <c:pt idx="79">
                  <c:v>559.05316293312762</c:v>
                </c:pt>
                <c:pt idx="80">
                  <c:v>571.90654805285931</c:v>
                </c:pt>
                <c:pt idx="81">
                  <c:v>539.33255785122003</c:v>
                </c:pt>
                <c:pt idx="82">
                  <c:v>551.76684049033884</c:v>
                </c:pt>
                <c:pt idx="83">
                  <c:v>564.19525081895085</c:v>
                </c:pt>
                <c:pt idx="84">
                  <c:v>576.61793639178745</c:v>
                </c:pt>
                <c:pt idx="85">
                  <c:v>589.03503788906914</c:v>
                </c:pt>
                <c:pt idx="86">
                  <c:v>555.62455474096146</c:v>
                </c:pt>
                <c:pt idx="87">
                  <c:v>567.19434879973312</c:v>
                </c:pt>
                <c:pt idx="88">
                  <c:v>578.75921052572824</c:v>
                </c:pt>
                <c:pt idx="89">
                  <c:v>590.31925234777293</c:v>
                </c:pt>
                <c:pt idx="90">
                  <c:v>601.87458193334135</c:v>
                </c:pt>
                <c:pt idx="91">
                  <c:v>571.90654805285897</c:v>
                </c:pt>
                <c:pt idx="92">
                  <c:v>586.89455079472907</c:v>
                </c:pt>
                <c:pt idx="93">
                  <c:v>601.87458193334135</c:v>
                </c:pt>
                <c:pt idx="94">
                  <c:v>616.84686771553959</c:v>
                </c:pt>
                <c:pt idx="95">
                  <c:v>631.81162251582634</c:v>
                </c:pt>
                <c:pt idx="96">
                  <c:v>592.88750689571236</c:v>
                </c:pt>
                <c:pt idx="97">
                  <c:v>598.87920239707955</c:v>
                </c:pt>
                <c:pt idx="98">
                  <c:v>604.86965169329608</c:v>
                </c:pt>
                <c:pt idx="99">
                  <c:v>610.85886887038032</c:v>
                </c:pt>
                <c:pt idx="100">
                  <c:v>616.84686771553982</c:v>
                </c:pt>
                <c:pt idx="101">
                  <c:v>577.04620447443256</c:v>
                </c:pt>
                <c:pt idx="102">
                  <c:v>582.18490565036154</c:v>
                </c:pt>
                <c:pt idx="103">
                  <c:v>587.32266120507177</c:v>
                </c:pt>
                <c:pt idx="104">
                  <c:v>592.45948058080182</c:v>
                </c:pt>
                <c:pt idx="105">
                  <c:v>597.59537304263756</c:v>
                </c:pt>
                <c:pt idx="106">
                  <c:v>602.73034768336242</c:v>
                </c:pt>
                <c:pt idx="107">
                  <c:v>607.86441342813578</c:v>
                </c:pt>
                <c:pt idx="108">
                  <c:v>612.99757903900263</c:v>
                </c:pt>
                <c:pt idx="109">
                  <c:v>618.12985311924672</c:v>
                </c:pt>
                <c:pt idx="110">
                  <c:v>623.26124411759019</c:v>
                </c:pt>
                <c:pt idx="111">
                  <c:v>556.48174822611543</c:v>
                </c:pt>
                <c:pt idx="112">
                  <c:v>573.19155224586291</c:v>
                </c:pt>
                <c:pt idx="113">
                  <c:v>589.89118733214707</c:v>
                </c:pt>
                <c:pt idx="114">
                  <c:v>606.58098171901725</c:v>
                </c:pt>
                <c:pt idx="115">
                  <c:v>623.26124411759042</c:v>
                </c:pt>
                <c:pt idx="116">
                  <c:v>592.45948058080182</c:v>
                </c:pt>
                <c:pt idx="117">
                  <c:v>600.16297452894139</c:v>
                </c:pt>
                <c:pt idx="118">
                  <c:v>607.86441342813589</c:v>
                </c:pt>
                <c:pt idx="119">
                  <c:v>615.5638269888334</c:v>
                </c:pt>
                <c:pt idx="120">
                  <c:v>623.26124411759065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2.7652466528357245</c:v>
                </c:pt>
                <c:pt idx="2">
                  <c:v>3.1526498732896608</c:v>
                </c:pt>
                <c:pt idx="3">
                  <c:v>3.5945199610585767</c:v>
                </c:pt>
                <c:pt idx="4">
                  <c:v>4.0985402882858457</c:v>
                </c:pt>
                <c:pt idx="5">
                  <c:v>4.6734814741684882</c:v>
                </c:pt>
                <c:pt idx="6">
                  <c:v>5.3293556850609054</c:v>
                </c:pt>
                <c:pt idx="7">
                  <c:v>6.0775928914475736</c:v>
                </c:pt>
                <c:pt idx="8">
                  <c:v>6.9312422139657466</c:v>
                </c:pt>
                <c:pt idx="9">
                  <c:v>7.9052019384800483</c:v>
                </c:pt>
                <c:pt idx="10">
                  <c:v>9.0164822921904193</c:v>
                </c:pt>
                <c:pt idx="11">
                  <c:v>10.284505658102008</c:v>
                </c:pt>
                <c:pt idx="12">
                  <c:v>11.73144957443391</c:v>
                </c:pt>
                <c:pt idx="13">
                  <c:v>13.382638630740383</c:v>
                </c:pt>
                <c:pt idx="14">
                  <c:v>15.266992247444895</c:v>
                </c:pt>
                <c:pt idx="15">
                  <c:v>17.417536325906397</c:v>
                </c:pt>
                <c:pt idx="16">
                  <c:v>19.871987900080956</c:v>
                </c:pt>
                <c:pt idx="17">
                  <c:v>22.6734232289357</c:v>
                </c:pt>
                <c:pt idx="18">
                  <c:v>25.871041264612035</c:v>
                </c:pt>
                <c:pt idx="19">
                  <c:v>29.521036141912429</c:v>
                </c:pt>
                <c:pt idx="20">
                  <c:v>33.687594290879673</c:v>
                </c:pt>
                <c:pt idx="21">
                  <c:v>38.444034011373397</c:v>
                </c:pt>
                <c:pt idx="22">
                  <c:v>43.874107907041058</c:v>
                </c:pt>
                <c:pt idx="23">
                  <c:v>50.073491502164835</c:v>
                </c:pt>
                <c:pt idx="24">
                  <c:v>57.151484711439622</c:v>
                </c:pt>
                <c:pt idx="25">
                  <c:v>65.232956660322571</c:v>
                </c:pt>
                <c:pt idx="26">
                  <c:v>75.36203788251963</c:v>
                </c:pt>
                <c:pt idx="27">
                  <c:v>85.456382396271991</c:v>
                </c:pt>
                <c:pt idx="28">
                  <c:v>95.520682327282813</c:v>
                </c:pt>
                <c:pt idx="29">
                  <c:v>105.55855600949467</c:v>
                </c:pt>
                <c:pt idx="30">
                  <c:v>115.57287501055875</c:v>
                </c:pt>
                <c:pt idx="31">
                  <c:v>125.98191930067928</c:v>
                </c:pt>
                <c:pt idx="32">
                  <c:v>136.37010598118897</c:v>
                </c:pt>
                <c:pt idx="33">
                  <c:v>146.73924981884883</c:v>
                </c:pt>
                <c:pt idx="34">
                  <c:v>157.09088766117375</c:v>
                </c:pt>
                <c:pt idx="35">
                  <c:v>167.42633692098417</c:v>
                </c:pt>
                <c:pt idx="36">
                  <c:v>151.71013504978851</c:v>
                </c:pt>
                <c:pt idx="37">
                  <c:v>162.88065693289695</c:v>
                </c:pt>
                <c:pt idx="38">
                  <c:v>174.03306200202442</c:v>
                </c:pt>
                <c:pt idx="39">
                  <c:v>185.16867584889792</c:v>
                </c:pt>
                <c:pt idx="40">
                  <c:v>196.28865140045741</c:v>
                </c:pt>
                <c:pt idx="41">
                  <c:v>178.98422457057109</c:v>
                </c:pt>
                <c:pt idx="42">
                  <c:v>190.52462490535595</c:v>
                </c:pt>
                <c:pt idx="43">
                  <c:v>202.04874721849876</c:v>
                </c:pt>
                <c:pt idx="44">
                  <c:v>213.55765143811337</c:v>
                </c:pt>
                <c:pt idx="45">
                  <c:v>225.05227380728206</c:v>
                </c:pt>
                <c:pt idx="46">
                  <c:v>207.80504043511849</c:v>
                </c:pt>
                <c:pt idx="47">
                  <c:v>219.30669358828911</c:v>
                </c:pt>
                <c:pt idx="48">
                  <c:v>230.7944931021203</c:v>
                </c:pt>
                <c:pt idx="49">
                  <c:v>242.26922614367652</c:v>
                </c:pt>
                <c:pt idx="50">
                  <c:v>253.7315991661691</c:v>
                </c:pt>
                <c:pt idx="51">
                  <c:v>236.53344703477231</c:v>
                </c:pt>
                <c:pt idx="52">
                  <c:v>248.00191632320647</c:v>
                </c:pt>
                <c:pt idx="53">
                  <c:v>259.45835227370497</c:v>
                </c:pt>
                <c:pt idx="54">
                  <c:v>270.9033613896147</c:v>
                </c:pt>
                <c:pt idx="55">
                  <c:v>282.33749471067301</c:v>
                </c:pt>
                <c:pt idx="56">
                  <c:v>264.77349292047239</c:v>
                </c:pt>
                <c:pt idx="57">
                  <c:v>275.80500562250131</c:v>
                </c:pt>
                <c:pt idx="58">
                  <c:v>286.82661124370242</c:v>
                </c:pt>
                <c:pt idx="59">
                  <c:v>297.83874433354407</c:v>
                </c:pt>
                <c:pt idx="60">
                  <c:v>308.84180466613213</c:v>
                </c:pt>
                <c:pt idx="61">
                  <c:v>291.31415591858644</c:v>
                </c:pt>
                <c:pt idx="62">
                  <c:v>302.3225462698868</c:v>
                </c:pt>
                <c:pt idx="63">
                  <c:v>313.32201769425825</c:v>
                </c:pt>
                <c:pt idx="64">
                  <c:v>324.31292757822456</c:v>
                </c:pt>
                <c:pt idx="65">
                  <c:v>335.2956070957909</c:v>
                </c:pt>
                <c:pt idx="66">
                  <c:v>316.9865887388741</c:v>
                </c:pt>
                <c:pt idx="67">
                  <c:v>327.16106643674794</c:v>
                </c:pt>
                <c:pt idx="68">
                  <c:v>337.32855839291477</c:v>
                </c:pt>
                <c:pt idx="69">
                  <c:v>347.48930495916358</c:v>
                </c:pt>
                <c:pt idx="70">
                  <c:v>357.64353127694955</c:v>
                </c:pt>
                <c:pt idx="71">
                  <c:v>339.36123992303641</c:v>
                </c:pt>
                <c:pt idx="72">
                  <c:v>349.52066488969604</c:v>
                </c:pt>
                <c:pt idx="73">
                  <c:v>359.67361293503609</c:v>
                </c:pt>
                <c:pt idx="74">
                  <c:v>369.82029275047876</c:v>
                </c:pt>
                <c:pt idx="75">
                  <c:v>379.96090063619022</c:v>
                </c:pt>
                <c:pt idx="76">
                  <c:v>360.8915414955336</c:v>
                </c:pt>
                <c:pt idx="77">
                  <c:v>370.22603238018934</c:v>
                </c:pt>
                <c:pt idx="78">
                  <c:v>379.55539054654463</c:v>
                </c:pt>
                <c:pt idx="79">
                  <c:v>388.8797600089427</c:v>
                </c:pt>
                <c:pt idx="80">
                  <c:v>398.19927730859058</c:v>
                </c:pt>
                <c:pt idx="81">
                  <c:v>378.74434206791716</c:v>
                </c:pt>
                <c:pt idx="82">
                  <c:v>387.66381592151902</c:v>
                </c:pt>
                <c:pt idx="83">
                  <c:v>396.57883448700221</c:v>
                </c:pt>
                <c:pt idx="84">
                  <c:v>405.48951209335405</c:v>
                </c:pt>
                <c:pt idx="85">
                  <c:v>414.39595763230818</c:v>
                </c:pt>
                <c:pt idx="86">
                  <c:v>394.55307910081621</c:v>
                </c:pt>
                <c:pt idx="87">
                  <c:v>403.05975148729186</c:v>
                </c:pt>
                <c:pt idx="88">
                  <c:v>411.56254124269799</c:v>
                </c:pt>
                <c:pt idx="89">
                  <c:v>420.06153993571371</c:v>
                </c:pt>
                <c:pt idx="90">
                  <c:v>428.55683512546551</c:v>
                </c:pt>
                <c:pt idx="91">
                  <c:v>407.91895794657762</c:v>
                </c:pt>
                <c:pt idx="92">
                  <c:v>415.61015082163493</c:v>
                </c:pt>
                <c:pt idx="93">
                  <c:v>423.29827493076988</c:v>
                </c:pt>
                <c:pt idx="94">
                  <c:v>430.98339390471682</c:v>
                </c:pt>
                <c:pt idx="95">
                  <c:v>438.665568918492</c:v>
                </c:pt>
                <c:pt idx="96">
                  <c:v>417.63363625997857</c:v>
                </c:pt>
                <c:pt idx="97">
                  <c:v>424.91644236173039</c:v>
                </c:pt>
                <c:pt idx="98">
                  <c:v>432.19656309026988</c:v>
                </c:pt>
                <c:pt idx="99">
                  <c:v>439.47405008772643</c:v>
                </c:pt>
                <c:pt idx="100">
                  <c:v>446.74895314532574</c:v>
                </c:pt>
                <c:pt idx="101">
                  <c:v>424.91644236173033</c:v>
                </c:pt>
                <c:pt idx="102">
                  <c:v>431.3877917760729</c:v>
                </c:pt>
                <c:pt idx="103">
                  <c:v>437.85705578334836</c:v>
                </c:pt>
                <c:pt idx="104">
                  <c:v>444.32426956358057</c:v>
                </c:pt>
                <c:pt idx="105">
                  <c:v>450.78946718843281</c:v>
                </c:pt>
                <c:pt idx="106">
                  <c:v>428.5568351254654</c:v>
                </c:pt>
                <c:pt idx="107">
                  <c:v>434.62268223024984</c:v>
                </c:pt>
                <c:pt idx="108">
                  <c:v>440.68671205242362</c:v>
                </c:pt>
                <c:pt idx="109">
                  <c:v>446.74895314532552</c:v>
                </c:pt>
                <c:pt idx="110">
                  <c:v>452.80943322358286</c:v>
                </c:pt>
                <c:pt idx="111">
                  <c:v>431.79218150168435</c:v>
                </c:pt>
                <c:pt idx="112">
                  <c:v>437.04851061482714</c:v>
                </c:pt>
                <c:pt idx="113">
                  <c:v>442.30348341629474</c:v>
                </c:pt>
                <c:pt idx="114">
                  <c:v>447.55711830783889</c:v>
                </c:pt>
                <c:pt idx="115">
                  <c:v>452.8094332235828</c:v>
                </c:pt>
                <c:pt idx="116">
                  <c:v>432.60093655052987</c:v>
                </c:pt>
                <c:pt idx="117">
                  <c:v>438.66556891849177</c:v>
                </c:pt>
                <c:pt idx="118">
                  <c:v>444.72840313441958</c:v>
                </c:pt>
                <c:pt idx="119">
                  <c:v>450.78946718843281</c:v>
                </c:pt>
                <c:pt idx="120">
                  <c:v>456.84878825602158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61.195253174133917</c:v>
                </c:pt>
                <c:pt idx="17">
                  <c:v>81.654071629220851</c:v>
                </c:pt>
                <c:pt idx="18">
                  <c:v>101.98231585945268</c:v>
                </c:pt>
                <c:pt idx="19">
                  <c:v>122.20987672882796</c:v>
                </c:pt>
                <c:pt idx="20">
                  <c:v>142.35583160682572</c:v>
                </c:pt>
                <c:pt idx="21">
                  <c:v>115.59337364680668</c:v>
                </c:pt>
                <c:pt idx="22">
                  <c:v>137.4997067322079</c:v>
                </c:pt>
                <c:pt idx="23">
                  <c:v>159.32196170762117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174.86524839501377</c:v>
                </c:pt>
                <c:pt idx="27">
                  <c:v>195.19554735609913</c:v>
                </c:pt>
                <c:pt idx="28">
                  <c:v>215.47663414709197</c:v>
                </c:pt>
                <c:pt idx="29">
                  <c:v>235.71379290964839</c:v>
                </c:pt>
                <c:pt idx="30">
                  <c:v>255.91132536435109</c:v>
                </c:pt>
                <c:pt idx="31">
                  <c:v>226.45787789505599</c:v>
                </c:pt>
                <c:pt idx="32">
                  <c:v>244.96141929271744</c:v>
                </c:pt>
                <c:pt idx="33">
                  <c:v>263.43320731240294</c:v>
                </c:pt>
                <c:pt idx="34">
                  <c:v>281.875781441058</c:v>
                </c:pt>
                <c:pt idx="35">
                  <c:v>300.2913216340458</c:v>
                </c:pt>
                <c:pt idx="36">
                  <c:v>268.90061493982017</c:v>
                </c:pt>
                <c:pt idx="37">
                  <c:v>285.288046348151</c:v>
                </c:pt>
                <c:pt idx="38">
                  <c:v>301.65441391376049</c:v>
                </c:pt>
                <c:pt idx="39">
                  <c:v>318.00102122537902</c:v>
                </c:pt>
                <c:pt idx="40">
                  <c:v>334.32902690172892</c:v>
                </c:pt>
                <c:pt idx="41">
                  <c:v>300.63210759978875</c:v>
                </c:pt>
                <c:pt idx="42">
                  <c:v>314.59704855401981</c:v>
                </c:pt>
                <c:pt idx="43">
                  <c:v>328.54825156463437</c:v>
                </c:pt>
                <c:pt idx="44">
                  <c:v>342.48638220302013</c:v>
                </c:pt>
                <c:pt idx="45">
                  <c:v>356.4120474383385</c:v>
                </c:pt>
                <c:pt idx="46">
                  <c:v>331.26889354954557</c:v>
                </c:pt>
                <c:pt idx="47">
                  <c:v>343.50574897575689</c:v>
                </c:pt>
                <c:pt idx="48">
                  <c:v>355.73302732578964</c:v>
                </c:pt>
                <c:pt idx="49">
                  <c:v>367.95110424042508</c:v>
                </c:pt>
                <c:pt idx="50">
                  <c:v>380.160328372322</c:v>
                </c:pt>
                <c:pt idx="51">
                  <c:v>361.5037994693871</c:v>
                </c:pt>
                <c:pt idx="52">
                  <c:v>371.68262431492622</c:v>
                </c:pt>
                <c:pt idx="53">
                  <c:v>381.85537235272426</c:v>
                </c:pt>
                <c:pt idx="54">
                  <c:v>392.02222835802286</c:v>
                </c:pt>
                <c:pt idx="55">
                  <c:v>402.18336673633195</c:v>
                </c:pt>
                <c:pt idx="56">
                  <c:v>388.97277965128006</c:v>
                </c:pt>
                <c:pt idx="57">
                  <c:v>397.78089798901971</c:v>
                </c:pt>
                <c:pt idx="58">
                  <c:v>406.58479291095313</c:v>
                </c:pt>
                <c:pt idx="59">
                  <c:v>415.384568809923</c:v>
                </c:pt>
                <c:pt idx="60">
                  <c:v>424.18032529272591</c:v>
                </c:pt>
                <c:pt idx="61">
                  <c:v>411.32363915605634</c:v>
                </c:pt>
                <c:pt idx="62">
                  <c:v>418.76802245127936</c:v>
                </c:pt>
                <c:pt idx="63">
                  <c:v>426.20955457884071</c:v>
                </c:pt>
                <c:pt idx="64">
                  <c:v>433.64829237194994</c:v>
                </c:pt>
                <c:pt idx="65">
                  <c:v>441.08429055375751</c:v>
                </c:pt>
                <c:pt idx="66">
                  <c:v>428.91487052918592</c:v>
                </c:pt>
                <c:pt idx="67">
                  <c:v>435.33853059869892</c:v>
                </c:pt>
                <c:pt idx="68">
                  <c:v>441.76015637738465</c:v>
                </c:pt>
                <c:pt idx="69">
                  <c:v>448.17978162908167</c:v>
                </c:pt>
                <c:pt idx="70">
                  <c:v>454.59743907080406</c:v>
                </c:pt>
                <c:pt idx="71">
                  <c:v>443.44972404678083</c:v>
                </c:pt>
                <c:pt idx="72">
                  <c:v>449.1932259604792</c:v>
                </c:pt>
                <c:pt idx="73">
                  <c:v>454.93515661064157</c:v>
                </c:pt>
                <c:pt idx="74">
                  <c:v>460.67553864161067</c:v>
                </c:pt>
                <c:pt idx="75">
                  <c:v>466.41439408694333</c:v>
                </c:pt>
                <c:pt idx="76">
                  <c:v>455.94827709810414</c:v>
                </c:pt>
                <c:pt idx="77">
                  <c:v>460.67553864161067</c:v>
                </c:pt>
                <c:pt idx="78">
                  <c:v>465.40176486435234</c:v>
                </c:pt>
                <c:pt idx="79">
                  <c:v>470.12696777260271</c:v>
                </c:pt>
                <c:pt idx="80">
                  <c:v>474.85115911139536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2.3771589152136832</c:v>
                </c:pt>
                <c:pt idx="2">
                  <c:v>2.9949424842304286</c:v>
                </c:pt>
                <c:pt idx="3">
                  <c:v>3.7739077794462492</c:v>
                </c:pt>
                <c:pt idx="4">
                  <c:v>4.7562627052095419</c:v>
                </c:pt>
                <c:pt idx="5">
                  <c:v>5.9953059624826457</c:v>
                </c:pt>
                <c:pt idx="6">
                  <c:v>7.5583506142245538</c:v>
                </c:pt>
                <c:pt idx="7">
                  <c:v>9.5304205700421178</c:v>
                </c:pt>
                <c:pt idx="8">
                  <c:v>12.018924879161736</c:v>
                </c:pt>
                <c:pt idx="9">
                  <c:v>15.159569166298086</c:v>
                </c:pt>
                <c:pt idx="10">
                  <c:v>19.123832490408656</c:v>
                </c:pt>
                <c:pt idx="11">
                  <c:v>37.129924657008708</c:v>
                </c:pt>
                <c:pt idx="12">
                  <c:v>54.88875090739392</c:v>
                </c:pt>
                <c:pt idx="13">
                  <c:v>72.494513498617124</c:v>
                </c:pt>
                <c:pt idx="14">
                  <c:v>89.990173613778268</c:v>
                </c:pt>
                <c:pt idx="15">
                  <c:v>107.40030981071855</c:v>
                </c:pt>
                <c:pt idx="16">
                  <c:v>78.012881309795674</c:v>
                </c:pt>
                <c:pt idx="17">
                  <c:v>100.31646113802792</c:v>
                </c:pt>
                <c:pt idx="18">
                  <c:v>122.49645924610253</c:v>
                </c:pt>
                <c:pt idx="19">
                  <c:v>144.57852045501949</c:v>
                </c:pt>
                <c:pt idx="20">
                  <c:v>166.57974956981323</c:v>
                </c:pt>
                <c:pt idx="21">
                  <c:v>134.34850957742924</c:v>
                </c:pt>
                <c:pt idx="22">
                  <c:v>157.97933796889382</c:v>
                </c:pt>
                <c:pt idx="23">
                  <c:v>181.52619054784418</c:v>
                </c:pt>
                <c:pt idx="24">
                  <c:v>205.0015053728589</c:v>
                </c:pt>
                <c:pt idx="25">
                  <c:v>228.41463048777476</c:v>
                </c:pt>
                <c:pt idx="26">
                  <c:v>195.49245385292792</c:v>
                </c:pt>
                <c:pt idx="27">
                  <c:v>217.98082037329846</c:v>
                </c:pt>
                <c:pt idx="28">
                  <c:v>240.41585018926619</c:v>
                </c:pt>
                <c:pt idx="29">
                  <c:v>262.80321996128214</c:v>
                </c:pt>
                <c:pt idx="30">
                  <c:v>285.14755944378322</c:v>
                </c:pt>
                <c:pt idx="31">
                  <c:v>250.19618568369199</c:v>
                </c:pt>
                <c:pt idx="32">
                  <c:v>270.36084436950489</c:v>
                </c:pt>
                <c:pt idx="33">
                  <c:v>290.4916672508881</c:v>
                </c:pt>
                <c:pt idx="34">
                  <c:v>310.59132815273165</c:v>
                </c:pt>
                <c:pt idx="35">
                  <c:v>330.66212656242288</c:v>
                </c:pt>
                <c:pt idx="36">
                  <c:v>293.6342310126339</c:v>
                </c:pt>
                <c:pt idx="37">
                  <c:v>311.53277495970798</c:v>
                </c:pt>
                <c:pt idx="38">
                  <c:v>329.40850810618275</c:v>
                </c:pt>
                <c:pt idx="39">
                  <c:v>347.26284215565846</c:v>
                </c:pt>
                <c:pt idx="40">
                  <c:v>365.09703181844549</c:v>
                </c:pt>
                <c:pt idx="41">
                  <c:v>325.64701898414177</c:v>
                </c:pt>
                <c:pt idx="42">
                  <c:v>341.00051892831283</c:v>
                </c:pt>
                <c:pt idx="43">
                  <c:v>356.33882114313155</c:v>
                </c:pt>
                <c:pt idx="44">
                  <c:v>371.6626718429784</c:v>
                </c:pt>
                <c:pt idx="45">
                  <c:v>386.97275069119183</c:v>
                </c:pt>
                <c:pt idx="46">
                  <c:v>362.90791424748937</c:v>
                </c:pt>
                <c:pt idx="47">
                  <c:v>376.35086351579019</c:v>
                </c:pt>
                <c:pt idx="48">
                  <c:v>389.78335896423386</c:v>
                </c:pt>
                <c:pt idx="49">
                  <c:v>403.20581160192484</c:v>
                </c:pt>
                <c:pt idx="50">
                  <c:v>416.61860284059549</c:v>
                </c:pt>
                <c:pt idx="51">
                  <c:v>398.52467686288401</c:v>
                </c:pt>
                <c:pt idx="52">
                  <c:v>410.06935400448907</c:v>
                </c:pt>
                <c:pt idx="53">
                  <c:v>421.60701499488988</c:v>
                </c:pt>
                <c:pt idx="54">
                  <c:v>433.13787892530354</c:v>
                </c:pt>
                <c:pt idx="55">
                  <c:v>444.66215226871259</c:v>
                </c:pt>
                <c:pt idx="56">
                  <c:v>429.39887113927824</c:v>
                </c:pt>
                <c:pt idx="57">
                  <c:v>439.05655970073695</c:v>
                </c:pt>
                <c:pt idx="58">
                  <c:v>448.70969327309916</c:v>
                </c:pt>
                <c:pt idx="59">
                  <c:v>458.35838369213019</c:v>
                </c:pt>
                <c:pt idx="60">
                  <c:v>468.00273769986558</c:v>
                </c:pt>
                <c:pt idx="61">
                  <c:v>454.31269266448368</c:v>
                </c:pt>
                <c:pt idx="62">
                  <c:v>462.40331218251168</c:v>
                </c:pt>
                <c:pt idx="63">
                  <c:v>470.49091188062221</c:v>
                </c:pt>
                <c:pt idx="64">
                  <c:v>478.57555101045637</c:v>
                </c:pt>
                <c:pt idx="65">
                  <c:v>486.65728665769001</c:v>
                </c:pt>
                <c:pt idx="66">
                  <c:v>473.60073566758007</c:v>
                </c:pt>
                <c:pt idx="67">
                  <c:v>480.75168621261065</c:v>
                </c:pt>
                <c:pt idx="68">
                  <c:v>487.90037643155364</c:v>
                </c:pt>
                <c:pt idx="69">
                  <c:v>495.04684412923598</c:v>
                </c:pt>
                <c:pt idx="70">
                  <c:v>502.19112592946141</c:v>
                </c:pt>
                <c:pt idx="71">
                  <c:v>488.52189609916542</c:v>
                </c:pt>
                <c:pt idx="72">
                  <c:v>495.04684412923598</c:v>
                </c:pt>
                <c:pt idx="73">
                  <c:v>501.56996990242982</c:v>
                </c:pt>
                <c:pt idx="74">
                  <c:v>508.09130047272885</c:v>
                </c:pt>
                <c:pt idx="75">
                  <c:v>514.61086214265538</c:v>
                </c:pt>
                <c:pt idx="76">
                  <c:v>501.56996990242982</c:v>
                </c:pt>
                <c:pt idx="77">
                  <c:v>507.15979072537579</c:v>
                </c:pt>
                <c:pt idx="78">
                  <c:v>512.74830923215643</c:v>
                </c:pt>
                <c:pt idx="79">
                  <c:v>518.33554162748942</c:v>
                </c:pt>
                <c:pt idx="80">
                  <c:v>523.92150373805168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2.1331506950396717</c:v>
                </c:pt>
                <c:pt idx="2">
                  <c:v>2.6873085043373757</c:v>
                </c:pt>
                <c:pt idx="3">
                  <c:v>3.3859956732303242</c:v>
                </c:pt>
                <c:pt idx="4">
                  <c:v>4.2670466336791462</c:v>
                </c:pt>
                <c:pt idx="5">
                  <c:v>5.3782342902694369</c:v>
                </c:pt>
                <c:pt idx="6">
                  <c:v>6.7798890692470613</c:v>
                </c:pt>
                <c:pt idx="7">
                  <c:v>8.5482101956432839</c:v>
                </c:pt>
                <c:pt idx="8">
                  <c:v>10.779452652918643</c:v>
                </c:pt>
                <c:pt idx="9">
                  <c:v>13.59522201845288</c:v>
                </c:pt>
                <c:pt idx="10">
                  <c:v>17.149171084619187</c:v>
                </c:pt>
                <c:pt idx="11">
                  <c:v>33.289354974370632</c:v>
                </c:pt>
                <c:pt idx="12">
                  <c:v>49.205665893571926</c:v>
                </c:pt>
                <c:pt idx="13">
                  <c:v>64.983393960011185</c:v>
                </c:pt>
                <c:pt idx="14">
                  <c:v>80.661435952614355</c:v>
                </c:pt>
                <c:pt idx="15">
                  <c:v>96.262045139603686</c:v>
                </c:pt>
                <c:pt idx="16">
                  <c:v>69.928557673965017</c:v>
                </c:pt>
                <c:pt idx="17">
                  <c:v>89.914543654715828</c:v>
                </c:pt>
                <c:pt idx="18">
                  <c:v>109.78863954070181</c:v>
                </c:pt>
                <c:pt idx="19">
                  <c:v>129.57406398795285</c:v>
                </c:pt>
                <c:pt idx="20">
                  <c:v>149.28630357695829</c:v>
                </c:pt>
                <c:pt idx="21">
                  <c:v>120.40812454265038</c:v>
                </c:pt>
                <c:pt idx="22">
                  <c:v>141.58075430337473</c:v>
                </c:pt>
                <c:pt idx="23">
                  <c:v>162.67735290343725</c:v>
                </c:pt>
                <c:pt idx="24">
                  <c:v>183.70918168109486</c:v>
                </c:pt>
                <c:pt idx="25">
                  <c:v>204.68470429512652</c:v>
                </c:pt>
                <c:pt idx="26">
                  <c:v>175.18997878840631</c:v>
                </c:pt>
                <c:pt idx="27">
                  <c:v>195.33725403815257</c:v>
                </c:pt>
                <c:pt idx="28">
                  <c:v>215.43623857870276</c:v>
                </c:pt>
                <c:pt idx="29">
                  <c:v>235.49207202192679</c:v>
                </c:pt>
                <c:pt idx="30">
                  <c:v>255.50894611772119</c:v>
                </c:pt>
                <c:pt idx="31">
                  <c:v>224.19805253054756</c:v>
                </c:pt>
                <c:pt idx="32">
                  <c:v>242.26251159741642</c:v>
                </c:pt>
                <c:pt idx="33">
                  <c:v>260.29633594452861</c:v>
                </c:pt>
                <c:pt idx="34">
                  <c:v>278.301946435746</c:v>
                </c:pt>
                <c:pt idx="35">
                  <c:v>296.28142501216269</c:v>
                </c:pt>
                <c:pt idx="36">
                  <c:v>263.11151589765069</c:v>
                </c:pt>
                <c:pt idx="37">
                  <c:v>279.14530320025654</c:v>
                </c:pt>
                <c:pt idx="38">
                  <c:v>295.1584377506797</c:v>
                </c:pt>
                <c:pt idx="39">
                  <c:v>311.15219769628214</c:v>
                </c:pt>
                <c:pt idx="40">
                  <c:v>327.1277190437109</c:v>
                </c:pt>
                <c:pt idx="41">
                  <c:v>291.78890217004903</c:v>
                </c:pt>
                <c:pt idx="42">
                  <c:v>305.54248465313009</c:v>
                </c:pt>
                <c:pt idx="43">
                  <c:v>319.28230720978155</c:v>
                </c:pt>
                <c:pt idx="44">
                  <c:v>333.00904545770453</c:v>
                </c:pt>
                <c:pt idx="45">
                  <c:v>346.72331475971595</c:v>
                </c:pt>
                <c:pt idx="46">
                  <c:v>325.16676002004442</c:v>
                </c:pt>
                <c:pt idx="47">
                  <c:v>337.20858844808726</c:v>
                </c:pt>
                <c:pt idx="48">
                  <c:v>349.24095205485236</c:v>
                </c:pt>
                <c:pt idx="49">
                  <c:v>361.26422296534025</c:v>
                </c:pt>
                <c:pt idx="50">
                  <c:v>373.27874650728057</c:v>
                </c:pt>
                <c:pt idx="51">
                  <c:v>357.07106927741569</c:v>
                </c:pt>
                <c:pt idx="52">
                  <c:v>367.41226056988808</c:v>
                </c:pt>
                <c:pt idx="53">
                  <c:v>377.74709948417603</c:v>
                </c:pt>
                <c:pt idx="54">
                  <c:v>388.07578438405852</c:v>
                </c:pt>
                <c:pt idx="55">
                  <c:v>398.39850220884642</c:v>
                </c:pt>
                <c:pt idx="56">
                  <c:v>384.7266032604951</c:v>
                </c:pt>
                <c:pt idx="57">
                  <c:v>393.37737346788646</c:v>
                </c:pt>
                <c:pt idx="58">
                  <c:v>402.02401961743959</c:v>
                </c:pt>
                <c:pt idx="59">
                  <c:v>410.66664296453746</c:v>
                </c:pt>
                <c:pt idx="60">
                  <c:v>419.30534015273264</c:v>
                </c:pt>
                <c:pt idx="61">
                  <c:v>407.04280051298906</c:v>
                </c:pt>
                <c:pt idx="62">
                  <c:v>414.28979501974953</c:v>
                </c:pt>
                <c:pt idx="63">
                  <c:v>421.53405540097515</c:v>
                </c:pt>
                <c:pt idx="64">
                  <c:v>428.77563530272056</c:v>
                </c:pt>
                <c:pt idx="65">
                  <c:v>436.01458640998993</c:v>
                </c:pt>
                <c:pt idx="66">
                  <c:v>424.3195927914519</c:v>
                </c:pt>
                <c:pt idx="67">
                  <c:v>430.72484017315429</c:v>
                </c:pt>
                <c:pt idx="68">
                  <c:v>437.12804107015182</c:v>
                </c:pt>
                <c:pt idx="69">
                  <c:v>443.5292297106912</c:v>
                </c:pt>
                <c:pt idx="70">
                  <c:v>449.92843925372921</c:v>
                </c:pt>
                <c:pt idx="71">
                  <c:v>437.68474556682258</c:v>
                </c:pt>
                <c:pt idx="72">
                  <c:v>443.5292297106912</c:v>
                </c:pt>
                <c:pt idx="73">
                  <c:v>449.37206399490168</c:v>
                </c:pt>
                <c:pt idx="74">
                  <c:v>455.21327291395437</c:v>
                </c:pt>
                <c:pt idx="75">
                  <c:v>461.05288028198464</c:v>
                </c:pt>
                <c:pt idx="76">
                  <c:v>449.37206399490168</c:v>
                </c:pt>
                <c:pt idx="77">
                  <c:v>454.37891309932866</c:v>
                </c:pt>
                <c:pt idx="78">
                  <c:v>459.38458309507376</c:v>
                </c:pt>
                <c:pt idx="79">
                  <c:v>464.38908865378454</c:v>
                </c:pt>
                <c:pt idx="80">
                  <c:v>469.39244410483212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2.6202873647055487</c:v>
                </c:pt>
                <c:pt idx="2">
                  <c:v>3.3014890700969475</c:v>
                </c:pt>
                <c:pt idx="3">
                  <c:v>4.1604758697806128</c:v>
                </c:pt>
                <c:pt idx="4">
                  <c:v>5.2438175769854629</c:v>
                </c:pt>
                <c:pt idx="5">
                  <c:v>6.6103243965889789</c:v>
                </c:pt>
                <c:pt idx="6">
                  <c:v>8.3342743628219527</c:v>
                </c:pt>
                <c:pt idx="7">
                  <c:v>10.509494235432264</c:v>
                </c:pt>
                <c:pt idx="8">
                  <c:v>13.25452014211402</c:v>
                </c:pt>
                <c:pt idx="9">
                  <c:v>16.71912439869411</c:v>
                </c:pt>
                <c:pt idx="10">
                  <c:v>21.092571102519226</c:v>
                </c:pt>
                <c:pt idx="11">
                  <c:v>40.959654766376069</c:v>
                </c:pt>
                <c:pt idx="12">
                  <c:v>60.556368030357454</c:v>
                </c:pt>
                <c:pt idx="13">
                  <c:v>79.985715393823597</c:v>
                </c:pt>
                <c:pt idx="14">
                  <c:v>99.294672325256599</c:v>
                </c:pt>
                <c:pt idx="15">
                  <c:v>118.51011399861339</c:v>
                </c:pt>
                <c:pt idx="16">
                  <c:v>86.075914671005776</c:v>
                </c:pt>
                <c:pt idx="17">
                  <c:v>110.69162732463077</c:v>
                </c:pt>
                <c:pt idx="18">
                  <c:v>135.17221080393281</c:v>
                </c:pt>
                <c:pt idx="19">
                  <c:v>159.54570617746938</c:v>
                </c:pt>
                <c:pt idx="20">
                  <c:v>183.83081652024472</c:v>
                </c:pt>
                <c:pt idx="21">
                  <c:v>148.25402389766143</c:v>
                </c:pt>
                <c:pt idx="22">
                  <c:v>174.33753126581527</c:v>
                </c:pt>
                <c:pt idx="23">
                  <c:v>200.32921613632394</c:v>
                </c:pt>
                <c:pt idx="24">
                  <c:v>226.24267877776924</c:v>
                </c:pt>
                <c:pt idx="25">
                  <c:v>252.08814071355724</c:v>
                </c:pt>
                <c:pt idx="26">
                  <c:v>215.74593348274445</c:v>
                </c:pt>
                <c:pt idx="27">
                  <c:v>240.57031057620057</c:v>
                </c:pt>
                <c:pt idx="28">
                  <c:v>265.33636719298863</c:v>
                </c:pt>
                <c:pt idx="29">
                  <c:v>290.05031041971233</c:v>
                </c:pt>
                <c:pt idx="30">
                  <c:v>314.7172026142477</c:v>
                </c:pt>
                <c:pt idx="31">
                  <c:v>276.13305084516702</c:v>
                </c:pt>
                <c:pt idx="32">
                  <c:v>298.39345366223546</c:v>
                </c:pt>
                <c:pt idx="33">
                  <c:v>320.6168590632679</c:v>
                </c:pt>
                <c:pt idx="34">
                  <c:v>342.80619071488059</c:v>
                </c:pt>
                <c:pt idx="35">
                  <c:v>364.96396296815789</c:v>
                </c:pt>
                <c:pt idx="36">
                  <c:v>324.08611998804474</c:v>
                </c:pt>
                <c:pt idx="37">
                  <c:v>343.84552311327383</c:v>
                </c:pt>
                <c:pt idx="38">
                  <c:v>363.5799840007133</c:v>
                </c:pt>
                <c:pt idx="39">
                  <c:v>383.29104626329899</c:v>
                </c:pt>
                <c:pt idx="40">
                  <c:v>402.9800818512519</c:v>
                </c:pt>
                <c:pt idx="41">
                  <c:v>359.4273541272596</c:v>
                </c:pt>
                <c:pt idx="42">
                  <c:v>376.37745953930607</c:v>
                </c:pt>
                <c:pt idx="43">
                  <c:v>393.31094714884654</c:v>
                </c:pt>
                <c:pt idx="44">
                  <c:v>410.22863289640105</c:v>
                </c:pt>
                <c:pt idx="45">
                  <c:v>427.13125995293154</c:v>
                </c:pt>
                <c:pt idx="46">
                  <c:v>400.56327392899146</c:v>
                </c:pt>
                <c:pt idx="47">
                  <c:v>415.40447321133956</c:v>
                </c:pt>
                <c:pt idx="48">
                  <c:v>430.23424187074426</c:v>
                </c:pt>
                <c:pt idx="49">
                  <c:v>445.05302932092837</c:v>
                </c:pt>
                <c:pt idx="50">
                  <c:v>459.86125261266943</c:v>
                </c:pt>
                <c:pt idx="51">
                  <c:v>439.88490533840962</c:v>
                </c:pt>
                <c:pt idx="52">
                  <c:v>452.63062434570611</c:v>
                </c:pt>
                <c:pt idx="53">
                  <c:v>465.3686716138655</c:v>
                </c:pt>
                <c:pt idx="54">
                  <c:v>478.09928670594991</c:v>
                </c:pt>
                <c:pt idx="55">
                  <c:v>490.82269538774045</c:v>
                </c:pt>
                <c:pt idx="56">
                  <c:v>473.97123882058969</c:v>
                </c:pt>
                <c:pt idx="57">
                  <c:v>484.63381543198619</c:v>
                </c:pt>
                <c:pt idx="58">
                  <c:v>495.29141143690708</c:v>
                </c:pt>
                <c:pt idx="59">
                  <c:v>505.94414912103224</c:v>
                </c:pt>
                <c:pt idx="60">
                  <c:v>516.59214520035403</c:v>
                </c:pt>
                <c:pt idx="61">
                  <c:v>501.47745591010658</c:v>
                </c:pt>
                <c:pt idx="62">
                  <c:v>510.41000854334516</c:v>
                </c:pt>
                <c:pt idx="63">
                  <c:v>519.33925918522516</c:v>
                </c:pt>
                <c:pt idx="64">
                  <c:v>528.26527262385048</c:v>
                </c:pt>
                <c:pt idx="65">
                  <c:v>537.18811127897254</c:v>
                </c:pt>
                <c:pt idx="66">
                  <c:v>522.77272091773659</c:v>
                </c:pt>
                <c:pt idx="67">
                  <c:v>530.66788510705476</c:v>
                </c:pt>
                <c:pt idx="68">
                  <c:v>538.56057776581395</c:v>
                </c:pt>
                <c:pt idx="69">
                  <c:v>546.4508402313171</c:v>
                </c:pt>
                <c:pt idx="70">
                  <c:v>554.33871254949031</c:v>
                </c:pt>
                <c:pt idx="71">
                  <c:v>539.24678343342578</c:v>
                </c:pt>
                <c:pt idx="72">
                  <c:v>546.4508402313171</c:v>
                </c:pt>
                <c:pt idx="73">
                  <c:v>553.65290450097075</c:v>
                </c:pt>
                <c:pt idx="74">
                  <c:v>560.85300582428658</c:v>
                </c:pt>
                <c:pt idx="75">
                  <c:v>568.05117296149081</c:v>
                </c:pt>
                <c:pt idx="76">
                  <c:v>553.65290450097075</c:v>
                </c:pt>
                <c:pt idx="77">
                  <c:v>559.8245390026176</c:v>
                </c:pt>
                <c:pt idx="78">
                  <c:v>565.99474949990611</c:v>
                </c:pt>
                <c:pt idx="79">
                  <c:v>572.16355371171983</c:v>
                </c:pt>
                <c:pt idx="80">
                  <c:v>578.33096894357811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D50" sqref="D50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5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5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5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5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5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5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5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5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5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5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5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5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5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5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5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5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5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5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1" zoomScale="80" zoomScaleNormal="80" workbookViewId="0">
      <selection activeCell="C26" sqref="C26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7" t="s">
        <v>190</v>
      </c>
      <c r="D1" s="257"/>
      <c r="E1" s="25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7" t="s">
        <v>231</v>
      </c>
      <c r="B5" s="267"/>
      <c r="C5" s="24">
        <v>2.5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25</v>
      </c>
      <c r="C9" s="32">
        <v>0.18</v>
      </c>
      <c r="D9" s="33">
        <f t="shared" ref="D9:D18" si="0">C9*$C$5</f>
        <v>0.44999999999999996</v>
      </c>
      <c r="E9" s="34">
        <v>120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11</v>
      </c>
      <c r="C10" s="32">
        <v>0.08</v>
      </c>
      <c r="D10" s="33">
        <f t="shared" si="0"/>
        <v>0.2</v>
      </c>
      <c r="E10" s="34">
        <v>120</v>
      </c>
      <c r="F10" s="35" t="str">
        <f t="array" ref="F10">IF(E10="","",IF(INDEX(A:A,MAX(IF(ISNUMBER($A$62:$A$81),ROW($A$62:$A$81),"")))&lt;&gt;E10,"Corrigez : révolution incorrecte","OK"))</f>
        <v>OK</v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14</v>
      </c>
      <c r="C11" s="32">
        <v>0.1</v>
      </c>
      <c r="D11" s="33">
        <f t="shared" si="0"/>
        <v>0.25</v>
      </c>
      <c r="E11" s="34">
        <v>120</v>
      </c>
      <c r="F11" s="35" t="str">
        <f t="array" ref="F11">IF(E11="","",IF(INDEX(A:A,MAX(IF(ISNUMBER($A$88:$A$107),ROW($A$88:$A$107),"")))&lt;&gt;E11,"Corrigez : révolution incorrecte","OK"))</f>
        <v>OK</v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12</v>
      </c>
      <c r="C12" s="32">
        <v>0.02</v>
      </c>
      <c r="D12" s="33">
        <f t="shared" si="0"/>
        <v>0.05</v>
      </c>
      <c r="E12" s="34">
        <v>120</v>
      </c>
      <c r="F12" s="35" t="str">
        <f t="array" ref="F12">IF(E12="","",IF(INDEX(A:A,MAX(IF(ISNUMBER($A$114:$A$133),ROW($A$114:$A$133),"")))&lt;&gt;E12,"Corrigez : révolution incorrecte","OK"))</f>
        <v>OK</v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6</v>
      </c>
      <c r="C13" s="32">
        <v>0.16</v>
      </c>
      <c r="D13" s="33">
        <f t="shared" si="0"/>
        <v>0.4</v>
      </c>
      <c r="E13" s="34">
        <v>120</v>
      </c>
      <c r="F13" s="35" t="str">
        <f t="array" ref="F13">IF(E13="","",IF(INDEX(A:A,MAX(IF(ISNUMBER($A$140:$A$159),ROW($A$140:$A$159),"")))&lt;&gt;E13,"Corrigez : révolution incorrecte","OK"))</f>
        <v>OK</v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23</v>
      </c>
      <c r="C14" s="32">
        <v>0.03</v>
      </c>
      <c r="D14" s="33">
        <f t="shared" si="0"/>
        <v>7.4999999999999997E-2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 t="s">
        <v>8</v>
      </c>
      <c r="C15" s="32">
        <v>0.03</v>
      </c>
      <c r="D15" s="33">
        <f t="shared" si="0"/>
        <v>7.4999999999999997E-2</v>
      </c>
      <c r="E15" s="34">
        <v>80</v>
      </c>
      <c r="F15" s="35" t="str">
        <f t="array" ref="F15">IF(E15="","",IF(INDEX(A:A,MAX(IF(ISNUMBER($A$192:$A$211),ROW($A$192:$A$211),"")))&lt;&gt;E15,"Corrigez : révolution incorrecte","OK"))</f>
        <v>OK</v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 t="s">
        <v>98</v>
      </c>
      <c r="C16" s="32">
        <v>0.08</v>
      </c>
      <c r="D16" s="33">
        <f t="shared" si="0"/>
        <v>0.2</v>
      </c>
      <c r="E16" s="34">
        <v>80</v>
      </c>
      <c r="F16" s="35" t="str">
        <f t="array" ref="F16">IF(E16="","",IF(INDEX(A:A,MAX(IF(ISNUMBER($A$218:$A$237),ROW($A$218:$A$237),"")))&lt;&gt;E16,"Corrigez : révolution incorrecte","OK"))</f>
        <v>OK</v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 t="s">
        <v>5</v>
      </c>
      <c r="C17" s="32">
        <v>0.1</v>
      </c>
      <c r="D17" s="33">
        <f t="shared" si="0"/>
        <v>0.25</v>
      </c>
      <c r="E17" s="34">
        <v>80</v>
      </c>
      <c r="F17" s="35" t="str">
        <f t="array" ref="F17">IF(E17="","",IF(INDEX(A:A,MAX(IF(ISNUMBER($A$244:$A$263),ROW($A$244:$A$263),"")))&lt;&gt;E17,"Corrigez : révolution incorrecte","OK"))</f>
        <v>OK</v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 t="s">
        <v>4</v>
      </c>
      <c r="C18" s="32">
        <v>0.04</v>
      </c>
      <c r="D18" s="33">
        <f t="shared" si="0"/>
        <v>0.1</v>
      </c>
      <c r="E18" s="34">
        <v>80</v>
      </c>
      <c r="F18" s="35" t="str">
        <f t="array" ref="F18">IF(E18="","",IF(INDEX(A:A,MAX(IF(ISNUMBER($A$270:$A$289),ROW($A$270:$A$289),"")))&lt;&gt;E18,"Corrigez : révolution incorrecte","OK"))</f>
        <v>OK</v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0.82000000000000006</v>
      </c>
      <c r="D19" s="38">
        <f>SUM(D9:D18)</f>
        <v>2.0499999999999998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Hêtre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25</v>
      </c>
      <c r="B36" s="60">
        <v>76</v>
      </c>
      <c r="C36" s="60">
        <v>2</v>
      </c>
      <c r="D36" s="60">
        <v>7</v>
      </c>
      <c r="E36" s="51">
        <v>0</v>
      </c>
      <c r="F36" s="51"/>
      <c r="G36" s="51"/>
      <c r="H36" s="51">
        <v>1</v>
      </c>
      <c r="I36" s="49">
        <f>IFERROR(B36/A36,"")</f>
        <v>3.04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30</v>
      </c>
      <c r="B37" s="60">
        <v>116</v>
      </c>
      <c r="C37" s="60">
        <v>3</v>
      </c>
      <c r="D37" s="60">
        <v>28</v>
      </c>
      <c r="E37" s="51">
        <v>0</v>
      </c>
      <c r="F37" s="51"/>
      <c r="G37" s="51"/>
      <c r="H37" s="51">
        <v>1</v>
      </c>
      <c r="I37" s="53">
        <f t="shared" ref="I37:I55" si="1">IF(A37&lt;&gt;0,(B37-(B36-D36))/(A37-A36),"")</f>
        <v>9.4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35</v>
      </c>
      <c r="B38" s="60">
        <v>139</v>
      </c>
      <c r="C38" s="60">
        <v>4</v>
      </c>
      <c r="D38" s="60">
        <v>28</v>
      </c>
      <c r="E38" s="51">
        <v>0</v>
      </c>
      <c r="F38" s="51"/>
      <c r="G38" s="51"/>
      <c r="H38" s="51">
        <v>1</v>
      </c>
      <c r="I38" s="53">
        <f t="shared" si="1"/>
        <v>10.199999999999999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40</v>
      </c>
      <c r="B39" s="60">
        <v>163</v>
      </c>
      <c r="C39" s="60">
        <v>5</v>
      </c>
      <c r="D39" s="60">
        <v>28</v>
      </c>
      <c r="E39" s="51">
        <v>0</v>
      </c>
      <c r="F39" s="51"/>
      <c r="G39" s="51"/>
      <c r="H39" s="51">
        <v>1</v>
      </c>
      <c r="I39" s="49">
        <f t="shared" si="1"/>
        <v>10.4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45</v>
      </c>
      <c r="B40" s="60">
        <v>190</v>
      </c>
      <c r="C40" s="60">
        <v>6</v>
      </c>
      <c r="D40" s="60">
        <v>28</v>
      </c>
      <c r="E40" s="51">
        <v>0.2</v>
      </c>
      <c r="F40" s="51"/>
      <c r="G40" s="51"/>
      <c r="H40" s="51">
        <v>0.8</v>
      </c>
      <c r="I40" s="49">
        <f t="shared" si="1"/>
        <v>11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50</v>
      </c>
      <c r="B41" s="60">
        <v>217</v>
      </c>
      <c r="C41" s="60">
        <v>7</v>
      </c>
      <c r="D41" s="60">
        <v>28</v>
      </c>
      <c r="E41" s="51">
        <v>0.2</v>
      </c>
      <c r="F41" s="51"/>
      <c r="G41" s="51"/>
      <c r="H41" s="51">
        <v>0.8</v>
      </c>
      <c r="I41" s="53">
        <f t="shared" si="1"/>
        <v>11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55</v>
      </c>
      <c r="B42" s="60">
        <v>244</v>
      </c>
      <c r="C42" s="60">
        <v>8</v>
      </c>
      <c r="D42" s="60">
        <v>28</v>
      </c>
      <c r="E42" s="51">
        <v>0.3</v>
      </c>
      <c r="F42" s="51"/>
      <c r="G42" s="51"/>
      <c r="H42" s="51">
        <v>0.7</v>
      </c>
      <c r="I42" s="53">
        <f t="shared" si="1"/>
        <v>11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60</v>
      </c>
      <c r="B43" s="60">
        <v>270</v>
      </c>
      <c r="C43" s="60">
        <v>9</v>
      </c>
      <c r="D43" s="60">
        <v>28</v>
      </c>
      <c r="E43" s="51">
        <v>0.3</v>
      </c>
      <c r="F43" s="51"/>
      <c r="G43" s="51"/>
      <c r="H43" s="51">
        <v>0.7</v>
      </c>
      <c r="I43" s="49">
        <f t="shared" si="1"/>
        <v>10.8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65</v>
      </c>
      <c r="B44" s="60">
        <v>294</v>
      </c>
      <c r="C44" s="60">
        <v>10</v>
      </c>
      <c r="D44" s="60">
        <v>28</v>
      </c>
      <c r="E44" s="51">
        <v>0.4</v>
      </c>
      <c r="F44" s="51"/>
      <c r="G44" s="51"/>
      <c r="H44" s="51">
        <v>0.6</v>
      </c>
      <c r="I44" s="49">
        <f t="shared" si="1"/>
        <v>10.4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70</v>
      </c>
      <c r="B45" s="60">
        <v>316</v>
      </c>
      <c r="C45" s="60">
        <v>11</v>
      </c>
      <c r="D45" s="60">
        <v>28</v>
      </c>
      <c r="E45" s="51">
        <v>0.4</v>
      </c>
      <c r="F45" s="51"/>
      <c r="G45" s="51"/>
      <c r="H45" s="51">
        <v>0.6</v>
      </c>
      <c r="I45" s="49">
        <f t="shared" si="1"/>
        <v>10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75</v>
      </c>
      <c r="B46" s="60">
        <v>335</v>
      </c>
      <c r="C46" s="60">
        <v>12</v>
      </c>
      <c r="D46" s="60">
        <v>28</v>
      </c>
      <c r="E46" s="51">
        <v>0.5</v>
      </c>
      <c r="F46" s="51"/>
      <c r="G46" s="51"/>
      <c r="H46" s="51">
        <v>0.5</v>
      </c>
      <c r="I46" s="49">
        <f t="shared" si="1"/>
        <v>9.4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>
        <v>80</v>
      </c>
      <c r="B47" s="60">
        <v>351</v>
      </c>
      <c r="C47" s="60">
        <v>13</v>
      </c>
      <c r="D47" s="60">
        <v>28</v>
      </c>
      <c r="E47" s="51">
        <v>0.5</v>
      </c>
      <c r="F47" s="51"/>
      <c r="G47" s="51"/>
      <c r="H47" s="51">
        <v>0.5</v>
      </c>
      <c r="I47" s="49">
        <f t="shared" si="1"/>
        <v>8.8000000000000007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>
        <v>85</v>
      </c>
      <c r="B48" s="60">
        <v>365</v>
      </c>
      <c r="C48" s="60">
        <v>14</v>
      </c>
      <c r="D48" s="60">
        <v>27</v>
      </c>
      <c r="E48" s="51">
        <v>0.6</v>
      </c>
      <c r="F48" s="51"/>
      <c r="G48" s="51"/>
      <c r="H48" s="51">
        <v>0.4</v>
      </c>
      <c r="I48" s="49">
        <f t="shared" si="1"/>
        <v>8.4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>
        <v>90</v>
      </c>
      <c r="B49" s="60">
        <v>377</v>
      </c>
      <c r="C49" s="60">
        <v>15</v>
      </c>
      <c r="D49" s="60">
        <v>26</v>
      </c>
      <c r="E49" s="51">
        <v>0.6</v>
      </c>
      <c r="F49" s="51"/>
      <c r="G49" s="51"/>
      <c r="H49" s="51">
        <v>0.4</v>
      </c>
      <c r="I49" s="49">
        <f t="shared" si="1"/>
        <v>7.8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>
        <v>95</v>
      </c>
      <c r="B50" s="50">
        <v>389</v>
      </c>
      <c r="C50" s="50">
        <v>16</v>
      </c>
      <c r="D50" s="50">
        <v>25</v>
      </c>
      <c r="E50" s="51">
        <v>0.7</v>
      </c>
      <c r="F50" s="51"/>
      <c r="G50" s="51"/>
      <c r="H50" s="51">
        <v>0.3</v>
      </c>
      <c r="I50" s="49">
        <f t="shared" si="1"/>
        <v>7.6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>
        <v>100</v>
      </c>
      <c r="B51" s="50">
        <v>400</v>
      </c>
      <c r="C51" s="50">
        <v>17</v>
      </c>
      <c r="D51" s="50">
        <v>24</v>
      </c>
      <c r="E51" s="51">
        <v>0.7</v>
      </c>
      <c r="F51" s="51"/>
      <c r="G51" s="51"/>
      <c r="H51" s="51">
        <v>0.3</v>
      </c>
      <c r="I51" s="49">
        <f t="shared" si="1"/>
        <v>7.2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>
        <v>105</v>
      </c>
      <c r="B52" s="50">
        <v>409</v>
      </c>
      <c r="C52" s="50">
        <v>18</v>
      </c>
      <c r="D52" s="50">
        <v>23</v>
      </c>
      <c r="E52" s="51">
        <v>0.7</v>
      </c>
      <c r="F52" s="51"/>
      <c r="G52" s="51"/>
      <c r="H52" s="51">
        <v>0.3</v>
      </c>
      <c r="I52" s="49">
        <f t="shared" si="1"/>
        <v>6.6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>
        <v>110</v>
      </c>
      <c r="B53" s="50">
        <v>418</v>
      </c>
      <c r="C53" s="50">
        <v>19</v>
      </c>
      <c r="D53" s="50">
        <v>22</v>
      </c>
      <c r="E53" s="51">
        <v>0.8</v>
      </c>
      <c r="F53" s="51"/>
      <c r="G53" s="51"/>
      <c r="H53" s="51">
        <v>0.2</v>
      </c>
      <c r="I53" s="49">
        <f t="shared" si="1"/>
        <v>6.4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>
        <v>115</v>
      </c>
      <c r="B54" s="50">
        <v>426</v>
      </c>
      <c r="C54" s="50">
        <v>20</v>
      </c>
      <c r="D54" s="50">
        <v>22</v>
      </c>
      <c r="E54" s="51">
        <v>0.8</v>
      </c>
      <c r="F54" s="51"/>
      <c r="G54" s="51"/>
      <c r="H54" s="51">
        <v>0.2</v>
      </c>
      <c r="I54" s="49">
        <f t="shared" si="1"/>
        <v>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>
        <v>120</v>
      </c>
      <c r="B55" s="50">
        <v>432</v>
      </c>
      <c r="C55" s="50">
        <v>21</v>
      </c>
      <c r="D55" s="50">
        <v>432</v>
      </c>
      <c r="E55" s="51">
        <v>0.8</v>
      </c>
      <c r="F55" s="51"/>
      <c r="G55" s="51"/>
      <c r="H55" s="51">
        <v>0.2</v>
      </c>
      <c r="I55" s="49">
        <f t="shared" si="1"/>
        <v>5.6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 pédonculé</v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v>42</v>
      </c>
      <c r="C62" s="60">
        <v>1</v>
      </c>
      <c r="D62" s="60">
        <v>0</v>
      </c>
      <c r="E62" s="51">
        <v>0</v>
      </c>
      <c r="F62" s="51"/>
      <c r="G62" s="51"/>
      <c r="H62" s="51">
        <v>1</v>
      </c>
      <c r="I62" s="53">
        <f>IFERROR(B62/A62,"")</f>
        <v>2.1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25</v>
      </c>
      <c r="B63" s="60">
        <v>70</v>
      </c>
      <c r="C63" s="60">
        <v>2</v>
      </c>
      <c r="D63" s="60">
        <v>0</v>
      </c>
      <c r="E63" s="51">
        <v>0</v>
      </c>
      <c r="F63" s="51"/>
      <c r="G63" s="51"/>
      <c r="H63" s="51">
        <v>1</v>
      </c>
      <c r="I63" s="49">
        <f>IF(A63&lt;&gt;0,(B63-(B62-D62))/(A63-A62),"")</f>
        <v>5.6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30</v>
      </c>
      <c r="B64" s="60">
        <v>97</v>
      </c>
      <c r="C64" s="60">
        <v>3</v>
      </c>
      <c r="D64" s="60">
        <v>21</v>
      </c>
      <c r="E64" s="51">
        <v>0</v>
      </c>
      <c r="F64" s="51"/>
      <c r="G64" s="51"/>
      <c r="H64" s="51">
        <v>1</v>
      </c>
      <c r="I64" s="49">
        <f>IF(A64&lt;&gt;0,(B64-(B63-D63))/(A64-A63),"")</f>
        <v>5.4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35</v>
      </c>
      <c r="B65" s="60">
        <v>116</v>
      </c>
      <c r="C65" s="60">
        <v>4</v>
      </c>
      <c r="D65" s="60">
        <v>21</v>
      </c>
      <c r="E65" s="51">
        <v>0</v>
      </c>
      <c r="F65" s="51"/>
      <c r="G65" s="51"/>
      <c r="H65" s="51">
        <v>1</v>
      </c>
      <c r="I65" s="49">
        <f>IF(A65&lt;&gt;0,(B65-(B64-D64))/(A65-A64),"")</f>
        <v>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40</v>
      </c>
      <c r="B66" s="60">
        <v>137</v>
      </c>
      <c r="C66" s="60">
        <v>5</v>
      </c>
      <c r="D66" s="60">
        <v>21</v>
      </c>
      <c r="E66" s="51">
        <v>0.2</v>
      </c>
      <c r="F66" s="51"/>
      <c r="G66" s="51"/>
      <c r="H66" s="51">
        <v>0.8</v>
      </c>
      <c r="I66" s="49">
        <f t="shared" ref="I66:I81" si="2">IF(A66&lt;&gt;0,(B66-(B65-D65))/(A66-A65),"")</f>
        <v>8.4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45</v>
      </c>
      <c r="B67" s="60">
        <v>158</v>
      </c>
      <c r="C67" s="60">
        <v>6</v>
      </c>
      <c r="D67" s="60">
        <v>21</v>
      </c>
      <c r="E67" s="51">
        <v>0.2</v>
      </c>
      <c r="F67" s="51"/>
      <c r="G67" s="51"/>
      <c r="H67" s="51">
        <v>0.8</v>
      </c>
      <c r="I67" s="49">
        <f t="shared" si="2"/>
        <v>8.4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50</v>
      </c>
      <c r="B68" s="60">
        <v>178</v>
      </c>
      <c r="C68" s="60">
        <v>7</v>
      </c>
      <c r="D68" s="60">
        <v>21</v>
      </c>
      <c r="E68" s="51">
        <v>0.3</v>
      </c>
      <c r="F68" s="51"/>
      <c r="G68" s="51"/>
      <c r="H68" s="51">
        <v>0.7</v>
      </c>
      <c r="I68" s="49">
        <f t="shared" si="2"/>
        <v>8.1999999999999993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55</v>
      </c>
      <c r="B69" s="50">
        <v>197</v>
      </c>
      <c r="C69" s="50">
        <v>8</v>
      </c>
      <c r="D69" s="50">
        <v>21</v>
      </c>
      <c r="E69" s="51">
        <v>0.3</v>
      </c>
      <c r="F69" s="51"/>
      <c r="G69" s="51"/>
      <c r="H69" s="51">
        <v>0.7</v>
      </c>
      <c r="I69" s="49">
        <f t="shared" si="2"/>
        <v>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60</v>
      </c>
      <c r="B70" s="50">
        <v>214</v>
      </c>
      <c r="C70" s="50">
        <v>9</v>
      </c>
      <c r="D70" s="50">
        <v>21</v>
      </c>
      <c r="E70" s="51">
        <v>0.4</v>
      </c>
      <c r="F70" s="51"/>
      <c r="G70" s="51"/>
      <c r="H70" s="51">
        <v>0.6</v>
      </c>
      <c r="I70" s="49">
        <f t="shared" si="2"/>
        <v>7.6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65</v>
      </c>
      <c r="B71" s="50">
        <v>229</v>
      </c>
      <c r="C71" s="50">
        <v>10</v>
      </c>
      <c r="D71" s="50">
        <v>21</v>
      </c>
      <c r="E71" s="51">
        <v>0.4</v>
      </c>
      <c r="F71" s="51"/>
      <c r="G71" s="51"/>
      <c r="H71" s="51">
        <v>0.6</v>
      </c>
      <c r="I71" s="49">
        <f t="shared" si="2"/>
        <v>7.2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70</v>
      </c>
      <c r="B72" s="50">
        <v>242</v>
      </c>
      <c r="C72" s="50">
        <v>11</v>
      </c>
      <c r="D72" s="50">
        <v>21</v>
      </c>
      <c r="E72" s="51">
        <v>0.5</v>
      </c>
      <c r="F72" s="51"/>
      <c r="G72" s="51"/>
      <c r="H72" s="51">
        <v>0.5</v>
      </c>
      <c r="I72" s="49">
        <f t="shared" si="2"/>
        <v>6.8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>
        <v>75</v>
      </c>
      <c r="B73" s="50">
        <v>252</v>
      </c>
      <c r="C73" s="50">
        <v>12</v>
      </c>
      <c r="D73" s="50">
        <v>21</v>
      </c>
      <c r="E73" s="51">
        <v>0.5</v>
      </c>
      <c r="F73" s="51"/>
      <c r="G73" s="51"/>
      <c r="H73" s="51">
        <v>0.5</v>
      </c>
      <c r="I73" s="49">
        <f t="shared" si="2"/>
        <v>6.2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>
        <v>80</v>
      </c>
      <c r="B74" s="50">
        <v>261</v>
      </c>
      <c r="C74" s="50">
        <v>13</v>
      </c>
      <c r="D74" s="50">
        <v>21</v>
      </c>
      <c r="E74" s="51">
        <v>0.6</v>
      </c>
      <c r="F74" s="51"/>
      <c r="G74" s="51"/>
      <c r="H74" s="51">
        <v>0.4</v>
      </c>
      <c r="I74" s="49">
        <f t="shared" si="2"/>
        <v>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>
        <v>85</v>
      </c>
      <c r="B75" s="50">
        <v>269</v>
      </c>
      <c r="C75" s="50">
        <v>14</v>
      </c>
      <c r="D75" s="50">
        <v>21</v>
      </c>
      <c r="E75" s="51">
        <v>0.6</v>
      </c>
      <c r="F75" s="51"/>
      <c r="G75" s="51"/>
      <c r="H75" s="51">
        <v>0.4</v>
      </c>
      <c r="I75" s="49">
        <f t="shared" si="2"/>
        <v>5.8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>
        <v>90</v>
      </c>
      <c r="B76" s="50">
        <v>275</v>
      </c>
      <c r="C76" s="50">
        <v>15</v>
      </c>
      <c r="D76" s="50">
        <v>21</v>
      </c>
      <c r="E76" s="51">
        <v>0.7</v>
      </c>
      <c r="F76" s="51"/>
      <c r="G76" s="51"/>
      <c r="H76" s="51">
        <v>0.3</v>
      </c>
      <c r="I76" s="49">
        <f t="shared" si="2"/>
        <v>5.4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>
        <v>95</v>
      </c>
      <c r="B77" s="50">
        <v>289</v>
      </c>
      <c r="C77" s="50">
        <v>16</v>
      </c>
      <c r="D77" s="50">
        <v>21</v>
      </c>
      <c r="E77" s="51">
        <v>0.7</v>
      </c>
      <c r="F77" s="51"/>
      <c r="G77" s="51"/>
      <c r="H77" s="51">
        <v>0.3</v>
      </c>
      <c r="I77" s="49">
        <f t="shared" si="2"/>
        <v>7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>
        <v>100</v>
      </c>
      <c r="B78" s="50">
        <v>282</v>
      </c>
      <c r="C78" s="50">
        <v>17</v>
      </c>
      <c r="D78" s="50">
        <v>21</v>
      </c>
      <c r="E78" s="51">
        <v>0.7</v>
      </c>
      <c r="F78" s="51"/>
      <c r="G78" s="51"/>
      <c r="H78" s="51">
        <v>0.3</v>
      </c>
      <c r="I78" s="49">
        <f t="shared" si="2"/>
        <v>2.8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>
        <v>110</v>
      </c>
      <c r="B79" s="50">
        <v>285</v>
      </c>
      <c r="C79" s="50">
        <v>19</v>
      </c>
      <c r="D79" s="50">
        <v>39</v>
      </c>
      <c r="E79" s="51">
        <v>0.8</v>
      </c>
      <c r="F79" s="51"/>
      <c r="G79" s="51"/>
      <c r="H79" s="51">
        <v>0.2</v>
      </c>
      <c r="I79" s="49">
        <f t="shared" si="2"/>
        <v>2.4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>
        <v>115</v>
      </c>
      <c r="B80" s="50">
        <v>285</v>
      </c>
      <c r="C80" s="50">
        <v>20</v>
      </c>
      <c r="D80" s="50">
        <v>18</v>
      </c>
      <c r="E80" s="51">
        <v>0.8</v>
      </c>
      <c r="F80" s="51"/>
      <c r="G80" s="51"/>
      <c r="H80" s="51">
        <v>0.2</v>
      </c>
      <c r="I80" s="49">
        <f t="shared" si="2"/>
        <v>7.8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>
        <v>120</v>
      </c>
      <c r="B81" s="50">
        <v>285</v>
      </c>
      <c r="C81" s="50">
        <v>21</v>
      </c>
      <c r="D81" s="50">
        <v>285</v>
      </c>
      <c r="E81" s="51">
        <v>0.8</v>
      </c>
      <c r="F81" s="51"/>
      <c r="G81" s="51"/>
      <c r="H81" s="51">
        <v>0.2</v>
      </c>
      <c r="I81" s="49">
        <f t="shared" si="2"/>
        <v>3.6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Chêne sessile</v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20</v>
      </c>
      <c r="B88" s="60">
        <v>42</v>
      </c>
      <c r="C88" s="60">
        <v>1</v>
      </c>
      <c r="D88" s="60">
        <v>0</v>
      </c>
      <c r="E88" s="51">
        <v>0</v>
      </c>
      <c r="F88" s="51"/>
      <c r="G88" s="51"/>
      <c r="H88" s="87">
        <v>1</v>
      </c>
      <c r="I88" s="53">
        <f>IFERROR(B88/A88,"")</f>
        <v>2.1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25</v>
      </c>
      <c r="B89" s="60">
        <v>70</v>
      </c>
      <c r="C89" s="60">
        <v>2</v>
      </c>
      <c r="D89" s="60">
        <v>0</v>
      </c>
      <c r="E89" s="51">
        <v>0</v>
      </c>
      <c r="F89" s="51"/>
      <c r="G89" s="51"/>
      <c r="H89" s="87">
        <v>1</v>
      </c>
      <c r="I89" s="53">
        <f t="shared" ref="I89:I107" si="3">IF(A89&lt;&gt;0,(B89-(B88-D88))/(A89-A88),"")</f>
        <v>5.6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30</v>
      </c>
      <c r="B90" s="60">
        <v>97</v>
      </c>
      <c r="C90" s="60">
        <v>3</v>
      </c>
      <c r="D90" s="60">
        <v>21</v>
      </c>
      <c r="E90" s="87">
        <v>0</v>
      </c>
      <c r="F90" s="87"/>
      <c r="G90" s="87"/>
      <c r="H90" s="87">
        <v>1</v>
      </c>
      <c r="I90" s="53">
        <f t="shared" si="3"/>
        <v>5.4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35</v>
      </c>
      <c r="B91" s="60">
        <v>116</v>
      </c>
      <c r="C91" s="60">
        <v>4</v>
      </c>
      <c r="D91" s="60">
        <v>21</v>
      </c>
      <c r="E91" s="87">
        <v>0</v>
      </c>
      <c r="F91" s="87"/>
      <c r="G91" s="87"/>
      <c r="H91" s="87">
        <v>1</v>
      </c>
      <c r="I91" s="53">
        <f t="shared" si="3"/>
        <v>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40</v>
      </c>
      <c r="B92" s="60">
        <v>137</v>
      </c>
      <c r="C92" s="60">
        <v>5</v>
      </c>
      <c r="D92" s="60">
        <v>21</v>
      </c>
      <c r="E92" s="87">
        <v>0.2</v>
      </c>
      <c r="F92" s="87"/>
      <c r="G92" s="87"/>
      <c r="H92" s="87">
        <v>0.8</v>
      </c>
      <c r="I92" s="53">
        <f t="shared" si="3"/>
        <v>8.4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45</v>
      </c>
      <c r="B93" s="60">
        <v>158</v>
      </c>
      <c r="C93" s="60">
        <v>6</v>
      </c>
      <c r="D93" s="60">
        <v>21</v>
      </c>
      <c r="E93" s="87">
        <v>0.2</v>
      </c>
      <c r="F93" s="87"/>
      <c r="G93" s="87"/>
      <c r="H93" s="87">
        <v>0.8</v>
      </c>
      <c r="I93" s="53">
        <f t="shared" si="3"/>
        <v>8.4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50</v>
      </c>
      <c r="B94" s="60">
        <v>178</v>
      </c>
      <c r="C94" s="60">
        <v>7</v>
      </c>
      <c r="D94" s="60">
        <v>21</v>
      </c>
      <c r="E94" s="87">
        <v>0.3</v>
      </c>
      <c r="F94" s="87"/>
      <c r="G94" s="87"/>
      <c r="H94" s="87">
        <v>0.7</v>
      </c>
      <c r="I94" s="53">
        <f t="shared" si="3"/>
        <v>8.1999999999999993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55</v>
      </c>
      <c r="B95" s="60">
        <v>197</v>
      </c>
      <c r="C95" s="60">
        <v>8</v>
      </c>
      <c r="D95" s="60">
        <v>21</v>
      </c>
      <c r="E95" s="87">
        <v>0.3</v>
      </c>
      <c r="F95" s="87"/>
      <c r="G95" s="87"/>
      <c r="H95" s="87">
        <v>0.7</v>
      </c>
      <c r="I95" s="53">
        <f t="shared" si="3"/>
        <v>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60</v>
      </c>
      <c r="B96" s="60">
        <v>214</v>
      </c>
      <c r="C96" s="60">
        <v>9</v>
      </c>
      <c r="D96" s="60">
        <v>21</v>
      </c>
      <c r="E96" s="87">
        <v>0.4</v>
      </c>
      <c r="F96" s="87"/>
      <c r="G96" s="87"/>
      <c r="H96" s="87">
        <v>0.6</v>
      </c>
      <c r="I96" s="53">
        <f t="shared" si="3"/>
        <v>7.6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65</v>
      </c>
      <c r="B97" s="60">
        <v>229</v>
      </c>
      <c r="C97" s="60">
        <v>10</v>
      </c>
      <c r="D97" s="60">
        <v>21</v>
      </c>
      <c r="E97" s="87">
        <v>0.4</v>
      </c>
      <c r="F97" s="87"/>
      <c r="G97" s="87"/>
      <c r="H97" s="87">
        <v>0.6</v>
      </c>
      <c r="I97" s="53">
        <f t="shared" si="3"/>
        <v>7.2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>
        <v>70</v>
      </c>
      <c r="B98" s="60">
        <v>242</v>
      </c>
      <c r="C98" s="60">
        <v>11</v>
      </c>
      <c r="D98" s="60">
        <v>21</v>
      </c>
      <c r="E98" s="87">
        <v>0.5</v>
      </c>
      <c r="F98" s="87"/>
      <c r="G98" s="87"/>
      <c r="H98" s="87">
        <v>0.5</v>
      </c>
      <c r="I98" s="53">
        <f t="shared" si="3"/>
        <v>6.8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>
        <v>75</v>
      </c>
      <c r="B99" s="60">
        <v>252</v>
      </c>
      <c r="C99" s="60">
        <v>12</v>
      </c>
      <c r="D99" s="60">
        <v>21</v>
      </c>
      <c r="E99" s="87">
        <v>0.5</v>
      </c>
      <c r="F99" s="87"/>
      <c r="G99" s="87"/>
      <c r="H99" s="87">
        <v>0.5</v>
      </c>
      <c r="I99" s="53">
        <f t="shared" si="3"/>
        <v>6.2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>
        <v>80</v>
      </c>
      <c r="B100" s="60">
        <v>261</v>
      </c>
      <c r="C100" s="60">
        <v>13</v>
      </c>
      <c r="D100" s="60">
        <v>21</v>
      </c>
      <c r="E100" s="65">
        <v>0.6</v>
      </c>
      <c r="F100" s="65"/>
      <c r="G100" s="65"/>
      <c r="H100" s="65">
        <v>0.4</v>
      </c>
      <c r="I100" s="53">
        <f t="shared" si="3"/>
        <v>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>
        <v>85</v>
      </c>
      <c r="B101" s="60">
        <v>269</v>
      </c>
      <c r="C101" s="60">
        <v>14</v>
      </c>
      <c r="D101" s="60">
        <v>21</v>
      </c>
      <c r="E101" s="65">
        <v>0.6</v>
      </c>
      <c r="F101" s="65"/>
      <c r="G101" s="65"/>
      <c r="H101" s="65">
        <v>0.4</v>
      </c>
      <c r="I101" s="53">
        <f t="shared" si="3"/>
        <v>5.8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>
        <v>90</v>
      </c>
      <c r="B102" s="50">
        <v>275</v>
      </c>
      <c r="C102" s="60">
        <v>15</v>
      </c>
      <c r="D102" s="50">
        <v>21</v>
      </c>
      <c r="E102" s="54">
        <v>0.7</v>
      </c>
      <c r="F102" s="54"/>
      <c r="G102" s="54"/>
      <c r="H102" s="54">
        <v>0.3</v>
      </c>
      <c r="I102" s="53">
        <f t="shared" si="3"/>
        <v>5.4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>
        <v>95</v>
      </c>
      <c r="B103" s="50">
        <v>289</v>
      </c>
      <c r="C103" s="60">
        <v>16</v>
      </c>
      <c r="D103" s="50">
        <v>21</v>
      </c>
      <c r="E103" s="54">
        <v>0.7</v>
      </c>
      <c r="F103" s="54"/>
      <c r="G103" s="54"/>
      <c r="H103" s="54">
        <v>0.3</v>
      </c>
      <c r="I103" s="53">
        <f t="shared" si="3"/>
        <v>7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>
        <v>100</v>
      </c>
      <c r="B104" s="50">
        <v>282</v>
      </c>
      <c r="C104" s="60">
        <v>17</v>
      </c>
      <c r="D104" s="50">
        <v>21</v>
      </c>
      <c r="E104" s="54">
        <v>0.7</v>
      </c>
      <c r="F104" s="54"/>
      <c r="G104" s="54"/>
      <c r="H104" s="54">
        <v>0.3</v>
      </c>
      <c r="I104" s="53">
        <f t="shared" si="3"/>
        <v>2.8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>
        <v>110</v>
      </c>
      <c r="B105" s="50">
        <v>285</v>
      </c>
      <c r="C105" s="50">
        <v>19</v>
      </c>
      <c r="D105" s="50">
        <v>39</v>
      </c>
      <c r="E105" s="54">
        <v>0.8</v>
      </c>
      <c r="F105" s="54"/>
      <c r="G105" s="54"/>
      <c r="H105" s="54">
        <v>0.2</v>
      </c>
      <c r="I105" s="53">
        <f t="shared" si="3"/>
        <v>2.4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>
        <v>115</v>
      </c>
      <c r="B106" s="50">
        <v>285</v>
      </c>
      <c r="C106" s="50">
        <v>20</v>
      </c>
      <c r="D106" s="50">
        <v>18</v>
      </c>
      <c r="E106" s="54">
        <v>0.8</v>
      </c>
      <c r="F106" s="54"/>
      <c r="G106" s="54"/>
      <c r="H106" s="54">
        <v>0.2</v>
      </c>
      <c r="I106" s="53">
        <f t="shared" si="3"/>
        <v>7.8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>
        <v>120</v>
      </c>
      <c r="B107" s="50">
        <v>285</v>
      </c>
      <c r="C107" s="50">
        <v>21</v>
      </c>
      <c r="D107" s="50">
        <v>285</v>
      </c>
      <c r="E107" s="54">
        <v>0.8</v>
      </c>
      <c r="F107" s="54"/>
      <c r="G107" s="54"/>
      <c r="H107" s="54">
        <v>0.2</v>
      </c>
      <c r="I107" s="53">
        <f t="shared" si="3"/>
        <v>3.6</v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Chêne pubescent</v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20</v>
      </c>
      <c r="B114" s="60">
        <v>42</v>
      </c>
      <c r="C114" s="50">
        <v>1</v>
      </c>
      <c r="D114" s="60">
        <v>0</v>
      </c>
      <c r="E114" s="51">
        <v>0</v>
      </c>
      <c r="F114" s="51"/>
      <c r="G114" s="51"/>
      <c r="H114" s="51">
        <v>1</v>
      </c>
      <c r="I114" s="53">
        <f>IFERROR(B114/A114,"")</f>
        <v>2.1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25</v>
      </c>
      <c r="B115" s="60">
        <v>70</v>
      </c>
      <c r="C115" s="50">
        <v>2</v>
      </c>
      <c r="D115" s="60">
        <v>0</v>
      </c>
      <c r="E115" s="51">
        <v>0</v>
      </c>
      <c r="F115" s="51"/>
      <c r="G115" s="51"/>
      <c r="H115" s="51">
        <v>1</v>
      </c>
      <c r="I115" s="53">
        <f t="shared" ref="I115:I133" si="4">IF(A115&lt;&gt;0,(B115-(B114-D114))/(A115-A114),"")</f>
        <v>5.6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30</v>
      </c>
      <c r="B116" s="60">
        <v>97</v>
      </c>
      <c r="C116" s="50">
        <v>3</v>
      </c>
      <c r="D116" s="60">
        <v>21</v>
      </c>
      <c r="E116" s="51">
        <v>0</v>
      </c>
      <c r="F116" s="51"/>
      <c r="G116" s="51"/>
      <c r="H116" s="51">
        <v>1</v>
      </c>
      <c r="I116" s="53">
        <f t="shared" si="4"/>
        <v>5.4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35</v>
      </c>
      <c r="B117" s="60">
        <v>116</v>
      </c>
      <c r="C117" s="50">
        <v>4</v>
      </c>
      <c r="D117" s="60">
        <v>21</v>
      </c>
      <c r="E117" s="51">
        <v>0</v>
      </c>
      <c r="F117" s="51"/>
      <c r="G117" s="51"/>
      <c r="H117" s="51">
        <v>1</v>
      </c>
      <c r="I117" s="53">
        <f t="shared" si="4"/>
        <v>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40</v>
      </c>
      <c r="B118" s="60">
        <v>137</v>
      </c>
      <c r="C118" s="50">
        <v>5</v>
      </c>
      <c r="D118" s="60">
        <v>21</v>
      </c>
      <c r="E118" s="51">
        <v>0.2</v>
      </c>
      <c r="F118" s="51"/>
      <c r="G118" s="51"/>
      <c r="H118" s="51">
        <v>0.8</v>
      </c>
      <c r="I118" s="53">
        <f t="shared" si="4"/>
        <v>8.4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45</v>
      </c>
      <c r="B119" s="60">
        <v>158</v>
      </c>
      <c r="C119" s="50">
        <v>6</v>
      </c>
      <c r="D119" s="60">
        <v>21</v>
      </c>
      <c r="E119" s="51">
        <v>0.2</v>
      </c>
      <c r="F119" s="51"/>
      <c r="G119" s="51"/>
      <c r="H119" s="51">
        <v>0.8</v>
      </c>
      <c r="I119" s="53">
        <f t="shared" si="4"/>
        <v>8.4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50</v>
      </c>
      <c r="B120" s="60">
        <v>178</v>
      </c>
      <c r="C120" s="60">
        <v>7</v>
      </c>
      <c r="D120" s="60">
        <v>21</v>
      </c>
      <c r="E120" s="87">
        <v>0.3</v>
      </c>
      <c r="F120" s="87"/>
      <c r="G120" s="87"/>
      <c r="H120" s="87">
        <v>0.7</v>
      </c>
      <c r="I120" s="53">
        <f t="shared" si="4"/>
        <v>8.1999999999999993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55</v>
      </c>
      <c r="B121" s="60">
        <v>197</v>
      </c>
      <c r="C121" s="60">
        <v>8</v>
      </c>
      <c r="D121" s="60">
        <v>21</v>
      </c>
      <c r="E121" s="87">
        <v>0.3</v>
      </c>
      <c r="F121" s="87"/>
      <c r="G121" s="87"/>
      <c r="H121" s="87">
        <v>0.7</v>
      </c>
      <c r="I121" s="53">
        <f t="shared" si="4"/>
        <v>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60</v>
      </c>
      <c r="B122" s="60">
        <v>214</v>
      </c>
      <c r="C122" s="60">
        <v>9</v>
      </c>
      <c r="D122" s="60">
        <v>21</v>
      </c>
      <c r="E122" s="87">
        <v>0.4</v>
      </c>
      <c r="F122" s="87"/>
      <c r="G122" s="87"/>
      <c r="H122" s="87">
        <v>0.6</v>
      </c>
      <c r="I122" s="53">
        <f t="shared" si="4"/>
        <v>7.6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>
        <v>65</v>
      </c>
      <c r="B123" s="60">
        <v>229</v>
      </c>
      <c r="C123" s="60">
        <v>10</v>
      </c>
      <c r="D123" s="60">
        <v>21</v>
      </c>
      <c r="E123" s="87">
        <v>0.4</v>
      </c>
      <c r="F123" s="87"/>
      <c r="G123" s="87"/>
      <c r="H123" s="87">
        <v>0.6</v>
      </c>
      <c r="I123" s="53">
        <f t="shared" si="4"/>
        <v>7.2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>
        <v>70</v>
      </c>
      <c r="B124" s="60">
        <v>242</v>
      </c>
      <c r="C124" s="60">
        <v>11</v>
      </c>
      <c r="D124" s="60">
        <v>21</v>
      </c>
      <c r="E124" s="87">
        <v>0.5</v>
      </c>
      <c r="F124" s="87"/>
      <c r="G124" s="87"/>
      <c r="H124" s="87">
        <v>0.5</v>
      </c>
      <c r="I124" s="53">
        <f t="shared" si="4"/>
        <v>6.8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>
        <v>75</v>
      </c>
      <c r="B125" s="60">
        <v>252</v>
      </c>
      <c r="C125" s="60">
        <v>12</v>
      </c>
      <c r="D125" s="60">
        <v>21</v>
      </c>
      <c r="E125" s="87">
        <v>0.5</v>
      </c>
      <c r="F125" s="87"/>
      <c r="G125" s="87"/>
      <c r="H125" s="87">
        <v>0.5</v>
      </c>
      <c r="I125" s="53">
        <f t="shared" si="4"/>
        <v>6.2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>
        <v>80</v>
      </c>
      <c r="B126" s="60">
        <v>261</v>
      </c>
      <c r="C126" s="60">
        <v>13</v>
      </c>
      <c r="D126" s="60">
        <v>21</v>
      </c>
      <c r="E126" s="65">
        <v>0.6</v>
      </c>
      <c r="F126" s="65"/>
      <c r="G126" s="65"/>
      <c r="H126" s="65">
        <v>0.4</v>
      </c>
      <c r="I126" s="53">
        <f t="shared" si="4"/>
        <v>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>
        <v>85</v>
      </c>
      <c r="B127" s="60">
        <v>269</v>
      </c>
      <c r="C127" s="60">
        <v>14</v>
      </c>
      <c r="D127" s="60">
        <v>21</v>
      </c>
      <c r="E127" s="65">
        <v>0.6</v>
      </c>
      <c r="F127" s="65"/>
      <c r="G127" s="65"/>
      <c r="H127" s="65">
        <v>0.4</v>
      </c>
      <c r="I127" s="53">
        <f t="shared" si="4"/>
        <v>5.8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>
        <v>90</v>
      </c>
      <c r="B128" s="50">
        <v>275</v>
      </c>
      <c r="C128" s="50">
        <v>15</v>
      </c>
      <c r="D128" s="50">
        <v>21</v>
      </c>
      <c r="E128" s="54">
        <v>0.7</v>
      </c>
      <c r="F128" s="54"/>
      <c r="G128" s="54"/>
      <c r="H128" s="54">
        <v>0.3</v>
      </c>
      <c r="I128" s="53">
        <f t="shared" si="4"/>
        <v>5.4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>
        <v>95</v>
      </c>
      <c r="B129" s="50">
        <v>289</v>
      </c>
      <c r="C129" s="50">
        <v>16</v>
      </c>
      <c r="D129" s="50">
        <v>21</v>
      </c>
      <c r="E129" s="54">
        <v>0.7</v>
      </c>
      <c r="F129" s="54"/>
      <c r="G129" s="54"/>
      <c r="H129" s="54">
        <v>0.3</v>
      </c>
      <c r="I129" s="53">
        <f t="shared" si="4"/>
        <v>7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>
        <v>100</v>
      </c>
      <c r="B130" s="50">
        <v>282</v>
      </c>
      <c r="C130" s="50">
        <v>17</v>
      </c>
      <c r="D130" s="50">
        <v>21</v>
      </c>
      <c r="E130" s="54">
        <v>0.7</v>
      </c>
      <c r="F130" s="54"/>
      <c r="G130" s="54"/>
      <c r="H130" s="54">
        <v>0.3</v>
      </c>
      <c r="I130" s="53">
        <f t="shared" si="4"/>
        <v>2.8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>
        <v>110</v>
      </c>
      <c r="B131" s="50">
        <v>285</v>
      </c>
      <c r="C131" s="50">
        <v>19</v>
      </c>
      <c r="D131" s="50">
        <v>39</v>
      </c>
      <c r="E131" s="54">
        <v>0.8</v>
      </c>
      <c r="F131" s="54"/>
      <c r="G131" s="54"/>
      <c r="H131" s="54">
        <v>0.2</v>
      </c>
      <c r="I131" s="53">
        <f t="shared" si="4"/>
        <v>2.4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>
        <v>115</v>
      </c>
      <c r="B132" s="50">
        <v>285</v>
      </c>
      <c r="C132" s="50">
        <v>20</v>
      </c>
      <c r="D132" s="50">
        <v>18</v>
      </c>
      <c r="E132" s="54">
        <v>0.8</v>
      </c>
      <c r="F132" s="54"/>
      <c r="G132" s="54"/>
      <c r="H132" s="54">
        <v>0.2</v>
      </c>
      <c r="I132" s="53">
        <f t="shared" si="4"/>
        <v>7.8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>
        <v>120</v>
      </c>
      <c r="B133" s="50">
        <v>285</v>
      </c>
      <c r="C133" s="50">
        <v>21</v>
      </c>
      <c r="D133" s="50">
        <v>285</v>
      </c>
      <c r="E133" s="54">
        <v>0.8</v>
      </c>
      <c r="F133" s="54"/>
      <c r="G133" s="54"/>
      <c r="H133" s="54">
        <v>0.2</v>
      </c>
      <c r="I133" s="53">
        <f t="shared" si="4"/>
        <v>3.6</v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Charme</v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25</v>
      </c>
      <c r="B140" s="60">
        <v>30</v>
      </c>
      <c r="C140" s="50">
        <v>1</v>
      </c>
      <c r="D140" s="60">
        <v>0</v>
      </c>
      <c r="E140" s="51">
        <v>0</v>
      </c>
      <c r="F140" s="51"/>
      <c r="G140" s="51"/>
      <c r="H140" s="51">
        <v>1</v>
      </c>
      <c r="I140" s="57">
        <f>IFERROR(B140/A140,"")</f>
        <v>1.2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30</v>
      </c>
      <c r="B141" s="60">
        <v>54</v>
      </c>
      <c r="C141" s="50">
        <v>2</v>
      </c>
      <c r="D141" s="60">
        <v>0</v>
      </c>
      <c r="E141" s="51">
        <v>0</v>
      </c>
      <c r="F141" s="51"/>
      <c r="G141" s="51"/>
      <c r="H141" s="51">
        <v>1</v>
      </c>
      <c r="I141" s="57">
        <f t="shared" ref="I141:I159" si="5">IF(A141&lt;&gt;0,(B141-(B140-D140))/(A141-A140),"")</f>
        <v>4.8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35</v>
      </c>
      <c r="B142" s="60">
        <v>79</v>
      </c>
      <c r="C142" s="50">
        <v>3</v>
      </c>
      <c r="D142" s="60">
        <v>13</v>
      </c>
      <c r="E142" s="51">
        <v>0</v>
      </c>
      <c r="F142" s="51"/>
      <c r="G142" s="51"/>
      <c r="H142" s="51">
        <v>1</v>
      </c>
      <c r="I142" s="57">
        <f t="shared" si="5"/>
        <v>5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40</v>
      </c>
      <c r="B143" s="60">
        <v>93</v>
      </c>
      <c r="C143" s="50">
        <v>4</v>
      </c>
      <c r="D143" s="60">
        <v>14</v>
      </c>
      <c r="E143" s="51">
        <v>0.2</v>
      </c>
      <c r="F143" s="51"/>
      <c r="G143" s="51"/>
      <c r="H143" s="51">
        <v>0.8</v>
      </c>
      <c r="I143" s="57">
        <f t="shared" si="5"/>
        <v>5.4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45</v>
      </c>
      <c r="B144" s="60">
        <v>107</v>
      </c>
      <c r="C144" s="50">
        <v>5</v>
      </c>
      <c r="D144" s="60">
        <v>14</v>
      </c>
      <c r="E144" s="51">
        <v>0.2</v>
      </c>
      <c r="F144" s="51"/>
      <c r="G144" s="51"/>
      <c r="H144" s="51">
        <v>0.8</v>
      </c>
      <c r="I144" s="57">
        <f t="shared" si="5"/>
        <v>5.6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50</v>
      </c>
      <c r="B145" s="60">
        <v>121</v>
      </c>
      <c r="C145" s="50">
        <v>6</v>
      </c>
      <c r="D145" s="60">
        <v>14</v>
      </c>
      <c r="E145" s="51">
        <v>0.2</v>
      </c>
      <c r="F145" s="51"/>
      <c r="G145" s="51"/>
      <c r="H145" s="51">
        <v>0.8</v>
      </c>
      <c r="I145" s="57">
        <f t="shared" si="5"/>
        <v>5.6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55</v>
      </c>
      <c r="B146" s="60">
        <v>135</v>
      </c>
      <c r="C146" s="50">
        <v>7</v>
      </c>
      <c r="D146" s="60">
        <v>14</v>
      </c>
      <c r="E146" s="51">
        <v>0.3</v>
      </c>
      <c r="F146" s="51"/>
      <c r="G146" s="51"/>
      <c r="H146" s="51">
        <v>0.7</v>
      </c>
      <c r="I146" s="57">
        <f t="shared" si="5"/>
        <v>5.6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60</v>
      </c>
      <c r="B147" s="60">
        <v>148</v>
      </c>
      <c r="C147" s="50">
        <v>8</v>
      </c>
      <c r="D147" s="60">
        <v>14</v>
      </c>
      <c r="E147" s="51">
        <v>0.3</v>
      </c>
      <c r="F147" s="51"/>
      <c r="G147" s="51"/>
      <c r="H147" s="51">
        <v>0.7</v>
      </c>
      <c r="I147" s="57">
        <f>IF(A147&lt;&gt;0,(B147-(B146-D146))/(A147-A146),"")</f>
        <v>5.4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>
        <v>65</v>
      </c>
      <c r="B148" s="60">
        <v>161</v>
      </c>
      <c r="C148" s="50">
        <v>9</v>
      </c>
      <c r="D148" s="60">
        <v>14</v>
      </c>
      <c r="E148" s="51">
        <v>0.4</v>
      </c>
      <c r="F148" s="51"/>
      <c r="G148" s="51"/>
      <c r="H148" s="51">
        <v>0.6</v>
      </c>
      <c r="I148" s="57">
        <f t="shared" si="5"/>
        <v>5.4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>
        <v>70</v>
      </c>
      <c r="B149" s="60">
        <v>172</v>
      </c>
      <c r="C149" s="50">
        <v>10</v>
      </c>
      <c r="D149" s="60">
        <v>14</v>
      </c>
      <c r="E149" s="51">
        <v>0.4</v>
      </c>
      <c r="F149" s="51"/>
      <c r="G149" s="51"/>
      <c r="H149" s="51">
        <v>0.6</v>
      </c>
      <c r="I149" s="57">
        <f t="shared" si="5"/>
        <v>5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>
        <v>75</v>
      </c>
      <c r="B150" s="60">
        <v>183</v>
      </c>
      <c r="C150" s="50">
        <v>11</v>
      </c>
      <c r="D150" s="60">
        <v>14</v>
      </c>
      <c r="E150" s="51">
        <v>0.5</v>
      </c>
      <c r="F150" s="51"/>
      <c r="G150" s="51"/>
      <c r="H150" s="51">
        <v>0.5</v>
      </c>
      <c r="I150" s="57">
        <f t="shared" si="5"/>
        <v>5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>
        <v>80</v>
      </c>
      <c r="B151" s="60">
        <v>192</v>
      </c>
      <c r="C151" s="50">
        <v>12</v>
      </c>
      <c r="D151" s="60">
        <v>14</v>
      </c>
      <c r="E151" s="51">
        <v>0.5</v>
      </c>
      <c r="F151" s="51"/>
      <c r="G151" s="51"/>
      <c r="H151" s="51">
        <v>0.5</v>
      </c>
      <c r="I151" s="57">
        <f t="shared" si="5"/>
        <v>4.5999999999999996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>
        <v>85</v>
      </c>
      <c r="B152" s="60">
        <v>200</v>
      </c>
      <c r="C152" s="50">
        <v>13</v>
      </c>
      <c r="D152" s="60">
        <v>14</v>
      </c>
      <c r="E152" s="54">
        <v>0.6</v>
      </c>
      <c r="F152" s="54"/>
      <c r="G152" s="54"/>
      <c r="H152" s="54">
        <v>0.4</v>
      </c>
      <c r="I152" s="57">
        <f t="shared" si="5"/>
        <v>4.4000000000000004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>
        <v>90</v>
      </c>
      <c r="B153" s="60">
        <v>207</v>
      </c>
      <c r="C153" s="50">
        <v>14</v>
      </c>
      <c r="D153" s="60">
        <v>14</v>
      </c>
      <c r="E153" s="54">
        <v>0.6</v>
      </c>
      <c r="F153" s="54"/>
      <c r="G153" s="54"/>
      <c r="H153" s="54">
        <v>0.4</v>
      </c>
      <c r="I153" s="57">
        <f t="shared" si="5"/>
        <v>4.2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>
        <v>95</v>
      </c>
      <c r="B154" s="56">
        <v>212</v>
      </c>
      <c r="C154" s="50">
        <v>15</v>
      </c>
      <c r="D154" s="50">
        <v>14</v>
      </c>
      <c r="E154" s="54">
        <v>0.7</v>
      </c>
      <c r="F154" s="54"/>
      <c r="G154" s="54"/>
      <c r="H154" s="54">
        <v>0.3</v>
      </c>
      <c r="I154" s="57">
        <f t="shared" si="5"/>
        <v>3.8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>
        <v>100</v>
      </c>
      <c r="B155" s="56">
        <v>216</v>
      </c>
      <c r="C155" s="50">
        <v>16</v>
      </c>
      <c r="D155" s="50">
        <v>14</v>
      </c>
      <c r="E155" s="54">
        <v>0.7</v>
      </c>
      <c r="F155" s="54"/>
      <c r="G155" s="54"/>
      <c r="H155" s="54">
        <v>0.3</v>
      </c>
      <c r="I155" s="57">
        <f t="shared" si="5"/>
        <v>3.6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>
        <v>105</v>
      </c>
      <c r="B156" s="56">
        <v>218</v>
      </c>
      <c r="C156" s="50">
        <v>17</v>
      </c>
      <c r="D156" s="50">
        <v>14</v>
      </c>
      <c r="E156" s="54">
        <v>0.7</v>
      </c>
      <c r="F156" s="54"/>
      <c r="G156" s="54"/>
      <c r="H156" s="54">
        <v>0.3</v>
      </c>
      <c r="I156" s="57">
        <f t="shared" si="5"/>
        <v>3.2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>
        <v>110</v>
      </c>
      <c r="B157" s="56">
        <v>219</v>
      </c>
      <c r="C157" s="50">
        <v>18</v>
      </c>
      <c r="D157" s="50">
        <v>13</v>
      </c>
      <c r="E157" s="54">
        <v>0.7</v>
      </c>
      <c r="F157" s="54"/>
      <c r="G157" s="54"/>
      <c r="H157" s="54">
        <v>0.3</v>
      </c>
      <c r="I157" s="57">
        <f t="shared" si="5"/>
        <v>3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>
        <v>115</v>
      </c>
      <c r="B158" s="56">
        <v>219</v>
      </c>
      <c r="C158" s="50">
        <v>19</v>
      </c>
      <c r="D158" s="50">
        <v>13</v>
      </c>
      <c r="E158" s="54">
        <v>0.7</v>
      </c>
      <c r="F158" s="54"/>
      <c r="G158" s="54"/>
      <c r="H158" s="54">
        <v>0.3</v>
      </c>
      <c r="I158" s="57">
        <f t="shared" si="5"/>
        <v>2.6</v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>
        <v>120</v>
      </c>
      <c r="B159" s="56">
        <v>221</v>
      </c>
      <c r="C159" s="50">
        <v>20</v>
      </c>
      <c r="D159" s="58">
        <v>221</v>
      </c>
      <c r="E159" s="54">
        <v>0.8</v>
      </c>
      <c r="F159" s="54"/>
      <c r="G159" s="54"/>
      <c r="H159" s="54">
        <v>0.2</v>
      </c>
      <c r="I159" s="57">
        <f t="shared" si="5"/>
        <v>3</v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Erable sycomore</v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15</v>
      </c>
      <c r="B166" s="60">
        <v>37</v>
      </c>
      <c r="C166" s="60">
        <v>1</v>
      </c>
      <c r="D166" s="60">
        <v>15</v>
      </c>
      <c r="E166" s="51">
        <v>0</v>
      </c>
      <c r="F166" s="51"/>
      <c r="G166" s="51"/>
      <c r="H166" s="51">
        <v>1</v>
      </c>
      <c r="I166" s="49">
        <f>IFERROR(B166/A166,"")</f>
        <v>2.4666666666666668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20</v>
      </c>
      <c r="B167" s="60">
        <v>80</v>
      </c>
      <c r="C167" s="60">
        <v>2</v>
      </c>
      <c r="D167" s="60">
        <v>28</v>
      </c>
      <c r="E167" s="51">
        <v>0</v>
      </c>
      <c r="F167" s="51"/>
      <c r="G167" s="51"/>
      <c r="H167" s="51">
        <v>1</v>
      </c>
      <c r="I167" s="49">
        <f t="shared" ref="I167:I185" si="6">IF(A167&lt;&gt;0,(B167-(B166-D166))/(A167-A166),"")</f>
        <v>11.6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25</v>
      </c>
      <c r="B168" s="60">
        <v>115</v>
      </c>
      <c r="C168" s="60">
        <v>3</v>
      </c>
      <c r="D168" s="60">
        <v>28</v>
      </c>
      <c r="E168" s="51">
        <v>0</v>
      </c>
      <c r="F168" s="51"/>
      <c r="G168" s="51"/>
      <c r="H168" s="51">
        <v>1</v>
      </c>
      <c r="I168" s="49">
        <f t="shared" si="6"/>
        <v>12.6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30</v>
      </c>
      <c r="B169" s="60">
        <v>146</v>
      </c>
      <c r="C169" s="60">
        <v>4</v>
      </c>
      <c r="D169" s="60">
        <v>28</v>
      </c>
      <c r="E169" s="51">
        <v>0.2</v>
      </c>
      <c r="F169" s="51"/>
      <c r="G169" s="51"/>
      <c r="H169" s="51">
        <v>0.8</v>
      </c>
      <c r="I169" s="49">
        <f t="shared" si="6"/>
        <v>11.8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35</v>
      </c>
      <c r="B170" s="60">
        <v>172</v>
      </c>
      <c r="C170" s="60">
        <v>5</v>
      </c>
      <c r="D170" s="60">
        <v>28</v>
      </c>
      <c r="E170" s="51">
        <v>0.2</v>
      </c>
      <c r="F170" s="51"/>
      <c r="G170" s="51"/>
      <c r="H170" s="51">
        <v>0.8</v>
      </c>
      <c r="I170" s="49">
        <f t="shared" si="6"/>
        <v>10.8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40</v>
      </c>
      <c r="B171" s="60">
        <v>192</v>
      </c>
      <c r="C171" s="60">
        <v>6</v>
      </c>
      <c r="D171" s="60">
        <v>28</v>
      </c>
      <c r="E171" s="51">
        <v>0.2</v>
      </c>
      <c r="F171" s="51"/>
      <c r="G171" s="51"/>
      <c r="H171" s="51">
        <v>0.8</v>
      </c>
      <c r="I171" s="49">
        <f t="shared" si="6"/>
        <v>9.6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45</v>
      </c>
      <c r="B172" s="60">
        <v>205</v>
      </c>
      <c r="C172" s="60">
        <v>7</v>
      </c>
      <c r="D172" s="60">
        <v>22</v>
      </c>
      <c r="E172" s="51">
        <v>0.3</v>
      </c>
      <c r="F172" s="51"/>
      <c r="G172" s="51"/>
      <c r="H172" s="51">
        <v>0.7</v>
      </c>
      <c r="I172" s="49">
        <f t="shared" si="6"/>
        <v>8.1999999999999993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>
        <v>50</v>
      </c>
      <c r="B173" s="50">
        <v>219</v>
      </c>
      <c r="C173" s="50">
        <v>8</v>
      </c>
      <c r="D173" s="50">
        <v>17</v>
      </c>
      <c r="E173" s="51">
        <v>0.3</v>
      </c>
      <c r="F173" s="51"/>
      <c r="G173" s="51"/>
      <c r="H173" s="51">
        <v>0.7</v>
      </c>
      <c r="I173" s="49">
        <f t="shared" si="6"/>
        <v>7.2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>
        <v>55</v>
      </c>
      <c r="B174" s="50">
        <v>232</v>
      </c>
      <c r="C174" s="50">
        <v>9</v>
      </c>
      <c r="D174" s="50">
        <v>13</v>
      </c>
      <c r="E174" s="51">
        <v>0.4</v>
      </c>
      <c r="F174" s="51"/>
      <c r="G174" s="51"/>
      <c r="H174" s="51">
        <v>0.6</v>
      </c>
      <c r="I174" s="49">
        <f t="shared" si="6"/>
        <v>6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>
        <v>60</v>
      </c>
      <c r="B175" s="50">
        <v>245</v>
      </c>
      <c r="C175" s="50">
        <v>10</v>
      </c>
      <c r="D175" s="50">
        <v>12</v>
      </c>
      <c r="E175" s="51">
        <v>0.4</v>
      </c>
      <c r="F175" s="51"/>
      <c r="G175" s="51"/>
      <c r="H175" s="51">
        <v>0.6</v>
      </c>
      <c r="I175" s="49">
        <f t="shared" si="6"/>
        <v>5.2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>
        <v>65</v>
      </c>
      <c r="B176" s="50">
        <v>255</v>
      </c>
      <c r="C176" s="50">
        <v>11</v>
      </c>
      <c r="D176" s="50">
        <v>11</v>
      </c>
      <c r="E176" s="51">
        <v>0.5</v>
      </c>
      <c r="F176" s="51"/>
      <c r="G176" s="51"/>
      <c r="H176" s="51">
        <v>0.5</v>
      </c>
      <c r="I176" s="49">
        <f t="shared" si="6"/>
        <v>4.4000000000000004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>
        <v>70</v>
      </c>
      <c r="B177" s="50">
        <v>263</v>
      </c>
      <c r="C177" s="50">
        <v>12</v>
      </c>
      <c r="D177" s="50">
        <v>10</v>
      </c>
      <c r="E177" s="51">
        <v>0.5</v>
      </c>
      <c r="F177" s="51"/>
      <c r="G177" s="51"/>
      <c r="H177" s="51">
        <v>0.5</v>
      </c>
      <c r="I177" s="49">
        <f t="shared" si="6"/>
        <v>3.8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>
        <v>75</v>
      </c>
      <c r="B178" s="50">
        <v>270</v>
      </c>
      <c r="C178" s="50">
        <v>13</v>
      </c>
      <c r="D178" s="50">
        <v>9</v>
      </c>
      <c r="E178" s="51">
        <v>0.6</v>
      </c>
      <c r="F178" s="51"/>
      <c r="G178" s="51"/>
      <c r="H178" s="51">
        <v>0.4</v>
      </c>
      <c r="I178" s="49">
        <f t="shared" si="6"/>
        <v>3.4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>
        <v>80</v>
      </c>
      <c r="B179" s="50">
        <v>275</v>
      </c>
      <c r="C179" s="50">
        <v>14</v>
      </c>
      <c r="D179" s="50">
        <v>275</v>
      </c>
      <c r="E179" s="51">
        <v>0.6</v>
      </c>
      <c r="F179" s="51"/>
      <c r="G179" s="51"/>
      <c r="H179" s="51">
        <v>0.4</v>
      </c>
      <c r="I179" s="49">
        <f t="shared" si="6"/>
        <v>2.8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>Châtaignier</v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>
        <v>10</v>
      </c>
      <c r="B192" s="60">
        <v>11</v>
      </c>
      <c r="C192" s="60">
        <v>1</v>
      </c>
      <c r="D192" s="60">
        <v>0</v>
      </c>
      <c r="E192" s="51">
        <v>0</v>
      </c>
      <c r="F192" s="51"/>
      <c r="G192" s="51"/>
      <c r="H192" s="51">
        <v>1</v>
      </c>
      <c r="I192" s="49">
        <f>IFERROR(B192/A192,"")</f>
        <v>1.1000000000000001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>
        <v>15</v>
      </c>
      <c r="B193" s="60">
        <v>65</v>
      </c>
      <c r="C193" s="60">
        <v>2</v>
      </c>
      <c r="D193" s="60">
        <v>32</v>
      </c>
      <c r="E193" s="51">
        <v>0</v>
      </c>
      <c r="F193" s="51"/>
      <c r="G193" s="51"/>
      <c r="H193" s="51">
        <v>1</v>
      </c>
      <c r="I193" s="49">
        <f t="shared" ref="I193:I211" si="7">IF(A193&lt;&gt;0,(B193-(B192-D192))/(A193-A192),"")</f>
        <v>10.8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>
        <v>20</v>
      </c>
      <c r="B194" s="60">
        <v>102</v>
      </c>
      <c r="C194" s="60">
        <v>3</v>
      </c>
      <c r="D194" s="60">
        <v>35</v>
      </c>
      <c r="E194" s="51">
        <v>0</v>
      </c>
      <c r="F194" s="51"/>
      <c r="G194" s="51"/>
      <c r="H194" s="51">
        <v>1</v>
      </c>
      <c r="I194" s="49">
        <f t="shared" si="7"/>
        <v>13.8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>
        <v>25</v>
      </c>
      <c r="B195" s="60">
        <v>141</v>
      </c>
      <c r="C195" s="60">
        <v>4</v>
      </c>
      <c r="D195" s="60">
        <v>35</v>
      </c>
      <c r="E195" s="51">
        <v>0.2</v>
      </c>
      <c r="F195" s="51"/>
      <c r="G195" s="51"/>
      <c r="H195" s="51">
        <v>0.8</v>
      </c>
      <c r="I195" s="49">
        <f t="shared" si="7"/>
        <v>14.8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>
        <v>30</v>
      </c>
      <c r="B196" s="60">
        <v>177</v>
      </c>
      <c r="C196" s="60">
        <v>5</v>
      </c>
      <c r="D196" s="60">
        <v>35</v>
      </c>
      <c r="E196" s="51">
        <v>0.2</v>
      </c>
      <c r="F196" s="51"/>
      <c r="G196" s="51"/>
      <c r="H196" s="51">
        <v>0.8</v>
      </c>
      <c r="I196" s="49">
        <f t="shared" si="7"/>
        <v>14.2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>
        <v>35</v>
      </c>
      <c r="B197" s="60">
        <v>206</v>
      </c>
      <c r="C197" s="60">
        <v>6</v>
      </c>
      <c r="D197" s="60">
        <v>35</v>
      </c>
      <c r="E197" s="51">
        <v>0.2</v>
      </c>
      <c r="F197" s="51"/>
      <c r="G197" s="51"/>
      <c r="H197" s="51">
        <v>0.8</v>
      </c>
      <c r="I197" s="49">
        <f t="shared" si="7"/>
        <v>12.8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>
        <v>40</v>
      </c>
      <c r="B198" s="60">
        <v>228</v>
      </c>
      <c r="C198" s="60">
        <v>7</v>
      </c>
      <c r="D198" s="60">
        <v>35</v>
      </c>
      <c r="E198" s="51">
        <v>0.3</v>
      </c>
      <c r="F198" s="51"/>
      <c r="G198" s="51"/>
      <c r="H198" s="51">
        <v>0.7</v>
      </c>
      <c r="I198" s="49">
        <f t="shared" si="7"/>
        <v>11.4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>
        <v>45</v>
      </c>
      <c r="B199" s="50">
        <v>242</v>
      </c>
      <c r="C199" s="50">
        <v>8</v>
      </c>
      <c r="D199" s="50">
        <v>24</v>
      </c>
      <c r="E199" s="51">
        <v>0.3</v>
      </c>
      <c r="F199" s="51"/>
      <c r="G199" s="51"/>
      <c r="H199" s="51">
        <v>0.7</v>
      </c>
      <c r="I199" s="49">
        <f t="shared" si="7"/>
        <v>9.8000000000000007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>
        <v>50</v>
      </c>
      <c r="B200" s="50">
        <v>261</v>
      </c>
      <c r="C200" s="50">
        <v>9</v>
      </c>
      <c r="D200" s="50">
        <v>19</v>
      </c>
      <c r="E200" s="51">
        <v>0.4</v>
      </c>
      <c r="F200" s="51"/>
      <c r="G200" s="51"/>
      <c r="H200" s="51">
        <v>0.6</v>
      </c>
      <c r="I200" s="49">
        <f t="shared" si="7"/>
        <v>8.6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>
        <v>55</v>
      </c>
      <c r="B201" s="50">
        <v>279</v>
      </c>
      <c r="C201" s="50">
        <v>10</v>
      </c>
      <c r="D201" s="50">
        <v>16</v>
      </c>
      <c r="E201" s="51">
        <v>0.4</v>
      </c>
      <c r="F201" s="51"/>
      <c r="G201" s="51"/>
      <c r="H201" s="51">
        <v>0.6</v>
      </c>
      <c r="I201" s="49">
        <f t="shared" si="7"/>
        <v>7.4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>
        <v>60</v>
      </c>
      <c r="B202" s="50">
        <v>294</v>
      </c>
      <c r="C202" s="50">
        <v>11</v>
      </c>
      <c r="D202" s="50">
        <v>14</v>
      </c>
      <c r="E202" s="51">
        <v>0.5</v>
      </c>
      <c r="F202" s="51"/>
      <c r="G202" s="51"/>
      <c r="H202" s="51">
        <v>0.5</v>
      </c>
      <c r="I202" s="49">
        <f t="shared" si="7"/>
        <v>6.2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>
        <v>65</v>
      </c>
      <c r="B203" s="50">
        <v>306</v>
      </c>
      <c r="C203" s="50">
        <v>12</v>
      </c>
      <c r="D203" s="50">
        <v>13</v>
      </c>
      <c r="E203" s="51">
        <v>0.5</v>
      </c>
      <c r="F203" s="51"/>
      <c r="G203" s="51"/>
      <c r="H203" s="51">
        <v>0.5</v>
      </c>
      <c r="I203" s="49">
        <f t="shared" si="7"/>
        <v>5.2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>
        <v>70</v>
      </c>
      <c r="B204" s="50">
        <v>316</v>
      </c>
      <c r="C204" s="50">
        <v>13</v>
      </c>
      <c r="D204" s="50">
        <v>13</v>
      </c>
      <c r="E204" s="51">
        <v>0.6</v>
      </c>
      <c r="F204" s="51"/>
      <c r="G204" s="51"/>
      <c r="H204" s="51">
        <v>0.4</v>
      </c>
      <c r="I204" s="49">
        <f t="shared" si="7"/>
        <v>4.5999999999999996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>
        <v>75</v>
      </c>
      <c r="B205" s="50">
        <v>324</v>
      </c>
      <c r="C205" s="50">
        <v>14</v>
      </c>
      <c r="D205" s="50">
        <v>12</v>
      </c>
      <c r="E205" s="51">
        <v>0.6</v>
      </c>
      <c r="F205" s="51"/>
      <c r="G205" s="51"/>
      <c r="H205" s="51">
        <v>0.4</v>
      </c>
      <c r="I205" s="49">
        <f t="shared" si="7"/>
        <v>4.2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>
        <v>80</v>
      </c>
      <c r="B206" s="50">
        <v>330</v>
      </c>
      <c r="C206" s="50">
        <v>15</v>
      </c>
      <c r="D206" s="50">
        <v>330</v>
      </c>
      <c r="E206" s="51">
        <v>0.6</v>
      </c>
      <c r="F206" s="51"/>
      <c r="G206" s="51"/>
      <c r="H206" s="51">
        <v>0.4</v>
      </c>
      <c r="I206" s="49">
        <f t="shared" si="7"/>
        <v>3.6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>Aulne à feuilles en cœur</v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>
        <v>10</v>
      </c>
      <c r="B218" s="60">
        <v>11</v>
      </c>
      <c r="C218" s="50">
        <v>1</v>
      </c>
      <c r="D218" s="60">
        <v>0</v>
      </c>
      <c r="E218" s="63">
        <v>0</v>
      </c>
      <c r="F218" s="63"/>
      <c r="G218" s="63"/>
      <c r="H218" s="63">
        <v>1</v>
      </c>
      <c r="I218" s="53">
        <f>IFERROR(B218/A218,"")</f>
        <v>1.1000000000000001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>
        <v>15</v>
      </c>
      <c r="B219" s="60">
        <v>65</v>
      </c>
      <c r="C219" s="50">
        <v>2</v>
      </c>
      <c r="D219" s="60">
        <v>32</v>
      </c>
      <c r="E219" s="63">
        <v>0</v>
      </c>
      <c r="F219" s="63"/>
      <c r="G219" s="63"/>
      <c r="H219" s="63">
        <v>1</v>
      </c>
      <c r="I219" s="53">
        <f t="shared" ref="I219:I237" si="8">IF(A219&lt;&gt;0,(B219-(B218-D218))/(A219-A218),"")</f>
        <v>10.8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>
        <v>20</v>
      </c>
      <c r="B220" s="60">
        <v>102</v>
      </c>
      <c r="C220" s="50">
        <v>3</v>
      </c>
      <c r="D220" s="60">
        <v>35</v>
      </c>
      <c r="E220" s="63">
        <v>0</v>
      </c>
      <c r="F220" s="63"/>
      <c r="G220" s="63"/>
      <c r="H220" s="63">
        <v>1</v>
      </c>
      <c r="I220" s="53">
        <f t="shared" si="8"/>
        <v>13.8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>
        <v>25</v>
      </c>
      <c r="B221" s="55">
        <v>141</v>
      </c>
      <c r="C221" s="55">
        <v>4</v>
      </c>
      <c r="D221" s="55">
        <v>35</v>
      </c>
      <c r="E221" s="63">
        <v>0.2</v>
      </c>
      <c r="F221" s="63"/>
      <c r="G221" s="63"/>
      <c r="H221" s="63">
        <v>0.8</v>
      </c>
      <c r="I221" s="53">
        <f t="shared" si="8"/>
        <v>14.8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>
        <v>30</v>
      </c>
      <c r="B222" s="55">
        <v>177</v>
      </c>
      <c r="C222" s="55">
        <v>5</v>
      </c>
      <c r="D222" s="55">
        <v>35</v>
      </c>
      <c r="E222" s="63">
        <v>0.2</v>
      </c>
      <c r="F222" s="63"/>
      <c r="G222" s="63"/>
      <c r="H222" s="63">
        <v>0.8</v>
      </c>
      <c r="I222" s="53">
        <f t="shared" si="8"/>
        <v>14.2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>
        <v>35</v>
      </c>
      <c r="B223" s="55">
        <v>206</v>
      </c>
      <c r="C223" s="55">
        <v>6</v>
      </c>
      <c r="D223" s="55">
        <v>35</v>
      </c>
      <c r="E223" s="63">
        <v>0.2</v>
      </c>
      <c r="F223" s="63"/>
      <c r="G223" s="63"/>
      <c r="H223" s="63">
        <v>0.8</v>
      </c>
      <c r="I223" s="53">
        <f t="shared" si="8"/>
        <v>12.8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>
        <v>40</v>
      </c>
      <c r="B224" s="55">
        <v>228</v>
      </c>
      <c r="C224" s="55">
        <v>7</v>
      </c>
      <c r="D224" s="55">
        <v>35</v>
      </c>
      <c r="E224" s="63">
        <v>0.3</v>
      </c>
      <c r="F224" s="63"/>
      <c r="G224" s="63"/>
      <c r="H224" s="63">
        <v>0.7</v>
      </c>
      <c r="I224" s="53">
        <f t="shared" si="8"/>
        <v>11.4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>
        <v>45</v>
      </c>
      <c r="B225" s="55">
        <v>242</v>
      </c>
      <c r="C225" s="55">
        <v>8</v>
      </c>
      <c r="D225" s="55">
        <v>24</v>
      </c>
      <c r="E225" s="63">
        <v>0.3</v>
      </c>
      <c r="F225" s="63"/>
      <c r="G225" s="63"/>
      <c r="H225" s="63">
        <v>0.7</v>
      </c>
      <c r="I225" s="53">
        <f t="shared" si="8"/>
        <v>9.8000000000000007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>
        <v>50</v>
      </c>
      <c r="B226" s="55">
        <v>261</v>
      </c>
      <c r="C226" s="55">
        <v>9</v>
      </c>
      <c r="D226" s="55">
        <v>19</v>
      </c>
      <c r="E226" s="63">
        <v>0.4</v>
      </c>
      <c r="F226" s="63"/>
      <c r="G226" s="63"/>
      <c r="H226" s="63">
        <v>0.6</v>
      </c>
      <c r="I226" s="53">
        <f t="shared" si="8"/>
        <v>8.6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>
        <v>55</v>
      </c>
      <c r="B227" s="55">
        <v>279</v>
      </c>
      <c r="C227" s="55">
        <v>10</v>
      </c>
      <c r="D227" s="55">
        <v>16</v>
      </c>
      <c r="E227" s="63">
        <v>0.4</v>
      </c>
      <c r="F227" s="63"/>
      <c r="G227" s="63"/>
      <c r="H227" s="63">
        <v>0.6</v>
      </c>
      <c r="I227" s="53">
        <f t="shared" si="8"/>
        <v>7.4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>
        <v>60</v>
      </c>
      <c r="B228" s="55">
        <v>294</v>
      </c>
      <c r="C228" s="55">
        <v>11</v>
      </c>
      <c r="D228" s="55">
        <v>14</v>
      </c>
      <c r="E228" s="63">
        <v>0.5</v>
      </c>
      <c r="F228" s="63"/>
      <c r="G228" s="63"/>
      <c r="H228" s="63">
        <v>0.5</v>
      </c>
      <c r="I228" s="53">
        <f t="shared" si="8"/>
        <v>6.2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>
        <v>65</v>
      </c>
      <c r="B229" s="55">
        <v>306</v>
      </c>
      <c r="C229" s="55">
        <v>12</v>
      </c>
      <c r="D229" s="55">
        <v>13</v>
      </c>
      <c r="E229" s="63">
        <v>0.5</v>
      </c>
      <c r="F229" s="63"/>
      <c r="G229" s="63"/>
      <c r="H229" s="63">
        <v>0.5</v>
      </c>
      <c r="I229" s="53">
        <f t="shared" si="8"/>
        <v>5.2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>
        <v>70</v>
      </c>
      <c r="B230" s="55">
        <v>316</v>
      </c>
      <c r="C230" s="55">
        <v>13</v>
      </c>
      <c r="D230" s="55">
        <v>13</v>
      </c>
      <c r="E230" s="64">
        <v>0.6</v>
      </c>
      <c r="F230" s="64"/>
      <c r="G230" s="64"/>
      <c r="H230" s="64">
        <v>0.4</v>
      </c>
      <c r="I230" s="53">
        <f t="shared" si="8"/>
        <v>4.5999999999999996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>
        <v>75</v>
      </c>
      <c r="B231" s="60">
        <v>324</v>
      </c>
      <c r="C231" s="88">
        <v>14</v>
      </c>
      <c r="D231" s="60">
        <v>12</v>
      </c>
      <c r="E231" s="54">
        <v>0.6</v>
      </c>
      <c r="F231" s="54"/>
      <c r="G231" s="54"/>
      <c r="H231" s="54">
        <v>0.4</v>
      </c>
      <c r="I231" s="53">
        <f t="shared" si="8"/>
        <v>4.2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>
        <v>80</v>
      </c>
      <c r="B232" s="50">
        <v>330</v>
      </c>
      <c r="C232" s="50">
        <v>15</v>
      </c>
      <c r="D232" s="50">
        <v>330</v>
      </c>
      <c r="E232" s="54">
        <v>0.6</v>
      </c>
      <c r="F232" s="54"/>
      <c r="G232" s="54"/>
      <c r="H232" s="54">
        <v>0.4</v>
      </c>
      <c r="I232" s="53">
        <f t="shared" si="8"/>
        <v>3.6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>Bouleau verruqueux</v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>
        <v>10</v>
      </c>
      <c r="B244" s="60">
        <v>11</v>
      </c>
      <c r="C244" s="60">
        <v>1</v>
      </c>
      <c r="D244" s="60">
        <v>0</v>
      </c>
      <c r="E244" s="51">
        <v>0</v>
      </c>
      <c r="F244" s="51"/>
      <c r="G244" s="51"/>
      <c r="H244" s="63">
        <v>1</v>
      </c>
      <c r="I244" s="53">
        <f>IFERROR(B244/A244,"")</f>
        <v>1.1000000000000001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>
        <v>15</v>
      </c>
      <c r="B245" s="60">
        <v>65</v>
      </c>
      <c r="C245" s="60">
        <v>2</v>
      </c>
      <c r="D245" s="60">
        <v>32</v>
      </c>
      <c r="E245" s="63">
        <v>0</v>
      </c>
      <c r="F245" s="63"/>
      <c r="G245" s="63"/>
      <c r="H245" s="63">
        <v>1</v>
      </c>
      <c r="I245" s="53">
        <f>IF(A245&lt;&gt;0,(B245-(B244-D244))/(A245-A244),"")</f>
        <v>10.8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>
        <v>20</v>
      </c>
      <c r="B246" s="60">
        <v>102</v>
      </c>
      <c r="C246" s="60">
        <v>3</v>
      </c>
      <c r="D246" s="60">
        <v>35</v>
      </c>
      <c r="E246" s="63">
        <v>0</v>
      </c>
      <c r="F246" s="63"/>
      <c r="G246" s="63"/>
      <c r="H246" s="63">
        <v>1</v>
      </c>
      <c r="I246" s="53">
        <f>IF(A246&lt;&gt;0,(B246-(B245-D245))/(A246-A245),"")</f>
        <v>13.8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>
        <v>25</v>
      </c>
      <c r="B247" s="60">
        <v>141</v>
      </c>
      <c r="C247" s="60">
        <v>4</v>
      </c>
      <c r="D247" s="60">
        <v>35</v>
      </c>
      <c r="E247" s="63">
        <v>0.2</v>
      </c>
      <c r="F247" s="63"/>
      <c r="G247" s="63"/>
      <c r="H247" s="63">
        <v>0.8</v>
      </c>
      <c r="I247" s="53">
        <f t="shared" ref="I247:I263" si="9">IF(A247&lt;&gt;0,(B247-(B246-D246))/(A247-A246),"")</f>
        <v>14.8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>
        <v>30</v>
      </c>
      <c r="B248" s="60">
        <v>177</v>
      </c>
      <c r="C248" s="60">
        <v>5</v>
      </c>
      <c r="D248" s="60">
        <v>35</v>
      </c>
      <c r="E248" s="63">
        <v>0.2</v>
      </c>
      <c r="F248" s="63"/>
      <c r="G248" s="63"/>
      <c r="H248" s="63">
        <v>0.8</v>
      </c>
      <c r="I248" s="53">
        <f t="shared" si="9"/>
        <v>14.2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>
        <v>35</v>
      </c>
      <c r="B249" s="60">
        <v>206</v>
      </c>
      <c r="C249" s="60">
        <v>6</v>
      </c>
      <c r="D249" s="60">
        <v>35</v>
      </c>
      <c r="E249" s="63">
        <v>0.2</v>
      </c>
      <c r="F249" s="63"/>
      <c r="G249" s="63"/>
      <c r="H249" s="63">
        <v>0.8</v>
      </c>
      <c r="I249" s="53">
        <f t="shared" si="9"/>
        <v>12.8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>
        <v>40</v>
      </c>
      <c r="B250" s="60">
        <v>228</v>
      </c>
      <c r="C250" s="60">
        <v>7</v>
      </c>
      <c r="D250" s="60">
        <v>35</v>
      </c>
      <c r="E250" s="63">
        <v>0.3</v>
      </c>
      <c r="F250" s="63"/>
      <c r="G250" s="63"/>
      <c r="H250" s="63">
        <v>0.7</v>
      </c>
      <c r="I250" s="53">
        <f t="shared" si="9"/>
        <v>11.4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>
        <v>45</v>
      </c>
      <c r="B251" s="55">
        <v>242</v>
      </c>
      <c r="C251" s="55">
        <v>8</v>
      </c>
      <c r="D251" s="55">
        <v>24</v>
      </c>
      <c r="E251" s="63">
        <v>0.3</v>
      </c>
      <c r="F251" s="63"/>
      <c r="G251" s="63"/>
      <c r="H251" s="63">
        <v>0.7</v>
      </c>
      <c r="I251" s="53">
        <f t="shared" si="9"/>
        <v>9.8000000000000007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>
        <v>50</v>
      </c>
      <c r="B252" s="55">
        <v>261</v>
      </c>
      <c r="C252" s="55">
        <v>9</v>
      </c>
      <c r="D252" s="55">
        <v>19</v>
      </c>
      <c r="E252" s="63">
        <v>0.4</v>
      </c>
      <c r="F252" s="63"/>
      <c r="G252" s="63"/>
      <c r="H252" s="63">
        <v>0.6</v>
      </c>
      <c r="I252" s="53">
        <f t="shared" si="9"/>
        <v>8.6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>
        <v>55</v>
      </c>
      <c r="B253" s="55">
        <v>279</v>
      </c>
      <c r="C253" s="55">
        <v>10</v>
      </c>
      <c r="D253" s="55">
        <v>16</v>
      </c>
      <c r="E253" s="63">
        <v>0.4</v>
      </c>
      <c r="F253" s="63"/>
      <c r="G253" s="63"/>
      <c r="H253" s="63">
        <v>0.6</v>
      </c>
      <c r="I253" s="53">
        <f t="shared" si="9"/>
        <v>7.4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>
        <v>60</v>
      </c>
      <c r="B254" s="55">
        <v>294</v>
      </c>
      <c r="C254" s="55">
        <v>11</v>
      </c>
      <c r="D254" s="55">
        <v>14</v>
      </c>
      <c r="E254" s="63">
        <v>0.5</v>
      </c>
      <c r="F254" s="63"/>
      <c r="G254" s="63"/>
      <c r="H254" s="63">
        <v>0.5</v>
      </c>
      <c r="I254" s="53">
        <f t="shared" si="9"/>
        <v>6.2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>
        <v>65</v>
      </c>
      <c r="B255" s="55">
        <v>306</v>
      </c>
      <c r="C255" s="55">
        <v>12</v>
      </c>
      <c r="D255" s="55">
        <v>13</v>
      </c>
      <c r="E255" s="63">
        <v>0.5</v>
      </c>
      <c r="F255" s="63"/>
      <c r="G255" s="63"/>
      <c r="H255" s="63">
        <v>0.5</v>
      </c>
      <c r="I255" s="53">
        <f t="shared" si="9"/>
        <v>5.2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>
        <v>70</v>
      </c>
      <c r="B256" s="55">
        <v>316</v>
      </c>
      <c r="C256" s="55">
        <v>13</v>
      </c>
      <c r="D256" s="55">
        <v>13</v>
      </c>
      <c r="E256" s="64">
        <v>0.6</v>
      </c>
      <c r="F256" s="64"/>
      <c r="G256" s="64"/>
      <c r="H256" s="64">
        <v>0.4</v>
      </c>
      <c r="I256" s="53">
        <f t="shared" si="9"/>
        <v>4.5999999999999996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>
        <v>75</v>
      </c>
      <c r="B257" s="60">
        <v>324</v>
      </c>
      <c r="C257" s="88">
        <v>14</v>
      </c>
      <c r="D257" s="60">
        <v>12</v>
      </c>
      <c r="E257" s="54">
        <v>0.6</v>
      </c>
      <c r="F257" s="54"/>
      <c r="G257" s="54"/>
      <c r="H257" s="54">
        <v>0.4</v>
      </c>
      <c r="I257" s="53">
        <f t="shared" si="9"/>
        <v>4.2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>
        <v>80</v>
      </c>
      <c r="B258" s="50">
        <v>330</v>
      </c>
      <c r="C258" s="50">
        <v>15</v>
      </c>
      <c r="D258" s="50">
        <v>330</v>
      </c>
      <c r="E258" s="54">
        <v>0.6</v>
      </c>
      <c r="F258" s="54"/>
      <c r="G258" s="54"/>
      <c r="H258" s="54">
        <v>0.4</v>
      </c>
      <c r="I258" s="53">
        <f t="shared" si="9"/>
        <v>3.6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>Aulne glutineux</v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>
        <v>15</v>
      </c>
      <c r="B270" s="60">
        <v>37</v>
      </c>
      <c r="C270" s="50">
        <v>1</v>
      </c>
      <c r="D270" s="60">
        <v>15</v>
      </c>
      <c r="E270" s="51">
        <v>0</v>
      </c>
      <c r="F270" s="51"/>
      <c r="G270" s="51"/>
      <c r="H270" s="51">
        <v>1</v>
      </c>
      <c r="I270" s="53">
        <f>IFERROR(B270/A270,"")</f>
        <v>2.4666666666666668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>
        <v>20</v>
      </c>
      <c r="B271" s="60">
        <v>80</v>
      </c>
      <c r="C271" s="50">
        <v>2</v>
      </c>
      <c r="D271" s="60">
        <v>28</v>
      </c>
      <c r="E271" s="51">
        <v>0</v>
      </c>
      <c r="F271" s="51"/>
      <c r="G271" s="51"/>
      <c r="H271" s="51">
        <v>1</v>
      </c>
      <c r="I271" s="53">
        <f>IF(A271&lt;&gt;0,(B271-(B270-D270))/(A271-A270),"")</f>
        <v>11.6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>
        <v>25</v>
      </c>
      <c r="B272" s="60">
        <v>115</v>
      </c>
      <c r="C272" s="50">
        <v>3</v>
      </c>
      <c r="D272" s="60">
        <v>28</v>
      </c>
      <c r="E272" s="51">
        <v>0</v>
      </c>
      <c r="F272" s="51"/>
      <c r="G272" s="51"/>
      <c r="H272" s="51">
        <v>1</v>
      </c>
      <c r="I272" s="53">
        <f t="shared" ref="I272:I289" si="10">IF(A272&lt;&gt;0,(B272-(B271-D271))/(A272-A271),"")</f>
        <v>12.6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>
        <v>30</v>
      </c>
      <c r="B273" s="60">
        <v>146</v>
      </c>
      <c r="C273" s="50">
        <v>4</v>
      </c>
      <c r="D273" s="60">
        <v>28</v>
      </c>
      <c r="E273" s="51">
        <v>0.2</v>
      </c>
      <c r="F273" s="51"/>
      <c r="G273" s="51"/>
      <c r="H273" s="51">
        <v>0.8</v>
      </c>
      <c r="I273" s="53">
        <f t="shared" si="10"/>
        <v>11.8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>
        <v>35</v>
      </c>
      <c r="B274" s="60">
        <v>172</v>
      </c>
      <c r="C274" s="50">
        <v>5</v>
      </c>
      <c r="D274" s="60">
        <v>28</v>
      </c>
      <c r="E274" s="51">
        <v>0.2</v>
      </c>
      <c r="F274" s="51"/>
      <c r="G274" s="51"/>
      <c r="H274" s="51">
        <v>0.8</v>
      </c>
      <c r="I274" s="53">
        <f t="shared" si="10"/>
        <v>10.8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>
        <v>40</v>
      </c>
      <c r="B275" s="60">
        <v>192</v>
      </c>
      <c r="C275" s="50">
        <v>6</v>
      </c>
      <c r="D275" s="60">
        <v>28</v>
      </c>
      <c r="E275" s="63">
        <v>0.2</v>
      </c>
      <c r="F275" s="63"/>
      <c r="G275" s="63"/>
      <c r="H275" s="63">
        <v>0.8</v>
      </c>
      <c r="I275" s="53">
        <f t="shared" si="10"/>
        <v>9.6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>
        <v>45</v>
      </c>
      <c r="B276" s="60">
        <v>205</v>
      </c>
      <c r="C276" s="50">
        <v>7</v>
      </c>
      <c r="D276" s="60">
        <v>22</v>
      </c>
      <c r="E276" s="63">
        <v>0.3</v>
      </c>
      <c r="F276" s="63"/>
      <c r="G276" s="63"/>
      <c r="H276" s="63">
        <v>0.7</v>
      </c>
      <c r="I276" s="53">
        <f t="shared" si="10"/>
        <v>8.1999999999999993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>
        <v>50</v>
      </c>
      <c r="B277" s="55">
        <v>219</v>
      </c>
      <c r="C277" s="55">
        <v>8</v>
      </c>
      <c r="D277" s="55">
        <v>17</v>
      </c>
      <c r="E277" s="63">
        <v>0.3</v>
      </c>
      <c r="F277" s="63"/>
      <c r="G277" s="63"/>
      <c r="H277" s="63">
        <v>0.7</v>
      </c>
      <c r="I277" s="53">
        <f t="shared" si="10"/>
        <v>7.2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>
        <v>55</v>
      </c>
      <c r="B278" s="55">
        <v>232</v>
      </c>
      <c r="C278" s="55">
        <v>9</v>
      </c>
      <c r="D278" s="55">
        <v>13</v>
      </c>
      <c r="E278" s="63">
        <v>0.4</v>
      </c>
      <c r="F278" s="63"/>
      <c r="G278" s="63"/>
      <c r="H278" s="63">
        <v>0.6</v>
      </c>
      <c r="I278" s="53">
        <f t="shared" si="10"/>
        <v>6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>
        <v>60</v>
      </c>
      <c r="B279" s="55">
        <v>245</v>
      </c>
      <c r="C279" s="55">
        <v>10</v>
      </c>
      <c r="D279" s="55">
        <v>12</v>
      </c>
      <c r="E279" s="63">
        <v>0.4</v>
      </c>
      <c r="F279" s="63"/>
      <c r="G279" s="63"/>
      <c r="H279" s="63">
        <v>0.6</v>
      </c>
      <c r="I279" s="53">
        <f t="shared" si="10"/>
        <v>5.2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>
        <v>65</v>
      </c>
      <c r="B280" s="55">
        <v>255</v>
      </c>
      <c r="C280" s="55">
        <v>11</v>
      </c>
      <c r="D280" s="55">
        <v>11</v>
      </c>
      <c r="E280" s="63">
        <v>0.5</v>
      </c>
      <c r="F280" s="63"/>
      <c r="G280" s="63"/>
      <c r="H280" s="63">
        <v>0.5</v>
      </c>
      <c r="I280" s="53">
        <f t="shared" si="10"/>
        <v>4.4000000000000004</v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>
        <v>70</v>
      </c>
      <c r="B281" s="55">
        <v>263</v>
      </c>
      <c r="C281" s="55">
        <v>12</v>
      </c>
      <c r="D281" s="55">
        <v>10</v>
      </c>
      <c r="E281" s="63">
        <v>0.5</v>
      </c>
      <c r="F281" s="63"/>
      <c r="G281" s="63"/>
      <c r="H281" s="63">
        <v>0.5</v>
      </c>
      <c r="I281" s="53">
        <f t="shared" si="10"/>
        <v>3.8</v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>
        <v>75</v>
      </c>
      <c r="B282" s="55">
        <v>270</v>
      </c>
      <c r="C282" s="55">
        <v>13</v>
      </c>
      <c r="D282" s="55">
        <v>9</v>
      </c>
      <c r="E282" s="64">
        <v>0.6</v>
      </c>
      <c r="F282" s="64"/>
      <c r="G282" s="64"/>
      <c r="H282" s="64">
        <v>0.4</v>
      </c>
      <c r="I282" s="53">
        <f t="shared" si="10"/>
        <v>3.4</v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>
        <v>80</v>
      </c>
      <c r="B283" s="60">
        <v>275</v>
      </c>
      <c r="C283" s="88">
        <v>14</v>
      </c>
      <c r="D283" s="60">
        <v>275</v>
      </c>
      <c r="E283" s="54">
        <v>0.6</v>
      </c>
      <c r="F283" s="54"/>
      <c r="G283" s="54"/>
      <c r="H283" s="54">
        <v>0.4</v>
      </c>
      <c r="I283" s="53">
        <f t="shared" si="10"/>
        <v>2.8</v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30" sqref="C30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42578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0.42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0.57999999999999996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42578125" style="4" customWidth="1"/>
    <col min="6" max="7" width="11.42578125" style="4"/>
    <col min="8" max="8" width="10.7109375" style="4" customWidth="1"/>
    <col min="9" max="9" width="9.42578125" style="4" customWidth="1"/>
    <col min="10" max="11" width="10.42578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42578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42578125" style="4" bestFit="1" customWidth="1"/>
    <col min="36" max="36" width="9.42578125" style="4" bestFit="1" customWidth="1"/>
    <col min="37" max="38" width="10.42578125" style="4" bestFit="1" customWidth="1"/>
    <col min="39" max="41" width="10.42578125" style="4" customWidth="1"/>
    <col min="42" max="42" width="9" style="4" bestFit="1" customWidth="1"/>
    <col min="43" max="43" width="10.42578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42578125" style="4" bestFit="1" customWidth="1"/>
    <col min="54" max="54" width="14.28515625" style="4" customWidth="1"/>
    <col min="55" max="55" width="14" style="4" customWidth="1"/>
    <col min="56" max="56" width="10.42578125" style="4" bestFit="1" customWidth="1"/>
    <col min="57" max="57" width="9.42578125" style="4" bestFit="1" customWidth="1"/>
    <col min="58" max="59" width="10.42578125" style="4" bestFit="1" customWidth="1"/>
    <col min="60" max="62" width="10.42578125" style="4" customWidth="1"/>
    <col min="63" max="63" width="9" style="4" bestFit="1" customWidth="1"/>
    <col min="64" max="64" width="10.42578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42578125" style="4" bestFit="1" customWidth="1"/>
    <col min="75" max="75" width="14" style="4" bestFit="1" customWidth="1"/>
    <col min="76" max="76" width="13.85546875" style="4" customWidth="1"/>
    <col min="77" max="77" width="10.42578125" style="4" bestFit="1" customWidth="1"/>
    <col min="78" max="78" width="9.42578125" style="4" bestFit="1" customWidth="1"/>
    <col min="79" max="80" width="10.42578125" style="4" bestFit="1" customWidth="1"/>
    <col min="81" max="83" width="10.42578125" style="4" customWidth="1"/>
    <col min="84" max="84" width="11.42578125" style="4"/>
    <col min="85" max="85" width="10.42578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42578125" style="4" bestFit="1" customWidth="1"/>
    <col min="99" max="99" width="9.42578125" style="4" bestFit="1" customWidth="1"/>
    <col min="100" max="101" width="10.42578125" style="4" bestFit="1" customWidth="1"/>
    <col min="102" max="104" width="10.42578125" style="4" customWidth="1"/>
    <col min="105" max="105" width="9" style="4" bestFit="1" customWidth="1"/>
    <col min="106" max="106" width="10.42578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42578125" style="4" bestFit="1" customWidth="1"/>
    <col min="117" max="117" width="14.28515625" style="4" customWidth="1"/>
    <col min="118" max="118" width="14" style="4" bestFit="1" customWidth="1"/>
    <col min="119" max="119" width="10.42578125" style="4" bestFit="1" customWidth="1"/>
    <col min="120" max="120" width="9.42578125" style="4" bestFit="1" customWidth="1"/>
    <col min="121" max="122" width="10.42578125" style="4" bestFit="1" customWidth="1"/>
    <col min="123" max="125" width="10.42578125" style="4" customWidth="1"/>
    <col min="126" max="126" width="9" style="4" bestFit="1" customWidth="1"/>
    <col min="127" max="127" width="10.42578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42578125" style="4" bestFit="1" customWidth="1"/>
    <col min="138" max="139" width="14" style="4" customWidth="1"/>
    <col min="140" max="140" width="10.42578125" style="4" bestFit="1" customWidth="1"/>
    <col min="141" max="141" width="9.42578125" style="4" bestFit="1" customWidth="1"/>
    <col min="142" max="143" width="10.42578125" style="4" bestFit="1" customWidth="1"/>
    <col min="144" max="146" width="10.42578125" style="4" customWidth="1"/>
    <col min="147" max="147" width="9" style="4" bestFit="1" customWidth="1"/>
    <col min="148" max="148" width="10.42578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42578125" style="4" bestFit="1" customWidth="1"/>
    <col min="162" max="162" width="9.42578125" style="4" bestFit="1" customWidth="1"/>
    <col min="163" max="164" width="10.42578125" style="4" bestFit="1" customWidth="1"/>
    <col min="165" max="167" width="10.42578125" style="4" customWidth="1"/>
    <col min="168" max="168" width="9" style="4" bestFit="1" customWidth="1"/>
    <col min="169" max="169" width="10.42578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42578125" style="4" bestFit="1" customWidth="1"/>
    <col min="180" max="181" width="14" style="4" bestFit="1" customWidth="1"/>
    <col min="182" max="182" width="10.42578125" style="4" bestFit="1" customWidth="1"/>
    <col min="183" max="183" width="9.42578125" style="4" bestFit="1" customWidth="1"/>
    <col min="184" max="185" width="10.42578125" style="4" bestFit="1" customWidth="1"/>
    <col min="186" max="188" width="10.42578125" style="4" customWidth="1"/>
    <col min="189" max="189" width="9" style="4" bestFit="1" customWidth="1"/>
    <col min="190" max="190" width="10.42578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42578125" style="4" bestFit="1" customWidth="1"/>
    <col min="201" max="201" width="14" style="4" customWidth="1"/>
    <col min="202" max="202" width="14.28515625" style="4" customWidth="1"/>
    <col min="203" max="203" width="10.42578125" style="4" bestFit="1" customWidth="1"/>
    <col min="204" max="204" width="9.42578125" style="4" bestFit="1" customWidth="1"/>
    <col min="205" max="206" width="10.42578125" style="4" bestFit="1" customWidth="1"/>
    <col min="207" max="209" width="10.42578125" style="4" customWidth="1"/>
    <col min="210" max="210" width="9" style="4" bestFit="1" customWidth="1"/>
    <col min="211" max="211" width="10.42578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Hêtre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>Chêne pédonculé</v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>Chêne sessile</v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>Chêne pubescent</v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>Charme</v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>Erable sycomore</v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>Châtaignier</v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>Aulne à feuilles en cœur</v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>Bouleau verruqueux</v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>Aulne glutineux</v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2.1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7.7</v>
      </c>
      <c r="H3" s="67">
        <f>(B3+E3+F3)*44/12+(C3+D3)*0.475*44/12</f>
        <v>225.86666666666665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59.499999999999993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218.16666666666663</v>
      </c>
      <c r="S3" s="59">
        <f ca="1">AVERAGE(OFFSET($R$3,0,0,'Données projet'!$E$9+1,1))-AVERAGE(OFFSET($H$3,0,0,'Données projet'!$E$9+1,1))</f>
        <v>476.79071915271794</v>
      </c>
      <c r="T3" s="59">
        <f>IF('Données projet'!E9&gt;30,$R$33-$H$33,LOOKUP('Données projet'!$E$9,$A$3:$A$203,R3:R203)-LOOKUP('Données projet'!$E$9,$A$3:$A$203,$H$3:$H$203))</f>
        <v>264.79929759351762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59.499999999999993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218.16666666666663</v>
      </c>
      <c r="AN3" s="59">
        <f ca="1">AVERAGE(OFFSET($AM$3,0,0,'Données projet'!$E$10+1,1))-AVERAGE(OFFSET($H$3,0,0,'Données projet'!$E$10+1,1))</f>
        <v>365.104658862176</v>
      </c>
      <c r="AO3" s="59">
        <f>IF('Données projet'!E10&gt;30,$AM$33-$H$33,LOOKUP('Données projet'!$E$10,$A$3:$A$203,AM3:AM203)-LOOKUP('Données projet'!$E$10,$A$3:$A$203,$H$3:$H$203))</f>
        <v>226.29232910286325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59.499999999999993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218.16666666666663</v>
      </c>
      <c r="BI3" s="59">
        <f ca="1">AVERAGE(OFFSET($BH$3,0,0,'Données projet'!$E$11+1,1))-AVERAGE(OFFSET($H$3,0,0,'Données projet'!$E$11+1,1))</f>
        <v>388.12494342575195</v>
      </c>
      <c r="BJ3" s="59">
        <f>IF('Données projet'!E11&gt;30,$BH$33-$H$33,LOOKUP('Données projet'!$E$11,$A$3:$A$203,BH3:BH203)-LOOKUP('Données projet'!$E$11,$A$3:$A$203,$H$3:$H$203))</f>
        <v>239.39471445648454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59.499999999999993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218.16666666666663</v>
      </c>
      <c r="CD3" s="59">
        <f ca="1">AVERAGE(OFFSET($CC$3,0,0,'Données projet'!$E$12+1,1))-AVERAGE(OFFSET($H$3,0,0,'Données projet'!$E$12+1,1))</f>
        <v>428.33148932885132</v>
      </c>
      <c r="CE3" s="59">
        <f>IF('Données projet'!E12&gt;30,$CC$33-$H$33,LOOKUP('Données projet'!$E$12,$A$3:$A$203,CC3:CC203)-LOOKUP('Données projet'!$E$12,$A$3:$A$203,$H$3:$H$203))</f>
        <v>262.27548054534373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59.499999999999993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218.16666666666663</v>
      </c>
      <c r="CY3" s="59">
        <f ca="1">AVERAGE(OFFSET($CX$3,0,0,'Données projet'!$E$13+1,1))-AVERAGE(OFFSET($H$3,0,0,'Données projet'!$E$13+1,1))</f>
        <v>307.62549820830162</v>
      </c>
      <c r="CZ3" s="59">
        <f>IF('Données projet'!E13&gt;30,$CX$33-$H$33,LOOKUP('Données projet'!$E$13,$A$3:$A$203,CX3:CX203)-LOOKUP('Données projet'!$E$13,$A$3:$A$203,$H$3:$H$203))</f>
        <v>160.26466014910304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59.499999999999993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218.16666666666663</v>
      </c>
      <c r="DT3" s="59">
        <f ca="1">AVERAGE(OFFSET($DS$3,0,0,'Données projet'!$E$14+1,1))-AVERAGE(OFFSET($H$3,0,0,'Données projet'!$E$14+1,1))</f>
        <v>309.14579005132464</v>
      </c>
      <c r="DU3" s="59">
        <f>IF('Données projet'!E14&gt;30,$DS$33-$H$33,LOOKUP('Données projet'!$E$14,$A$3:$A$203,DS3:DS203)-LOOKUP('Données projet'!$E$14,$A$3:$A$203,$H$3:$H$203))</f>
        <v>300.60311050289533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59.499999999999993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218.16666666666663</v>
      </c>
      <c r="EO3" s="59">
        <f ca="1">AVERAGE(OFFSET($EN$3,0,0,'Données projet'!$E$15+1,1))-AVERAGE(OFFSET($H$3,0,0,'Données projet'!$E$15+1,1))</f>
        <v>338.59243085476896</v>
      </c>
      <c r="EP3" s="59">
        <f>IF('Données projet'!E15&gt;30,$EN$33-$H$33,LOOKUP('Données projet'!$E$15,$A$3:$A$203,EN3:EN203)-LOOKUP('Données projet'!$E$15,$A$3:$A$203,$H$3:$H$203))</f>
        <v>329.8393445823275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59.499999999999993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218.16666666666663</v>
      </c>
      <c r="FJ3" s="59">
        <f ca="1">AVERAGE(OFFSET($FI$3,0,0,'Données projet'!$E$16+1,1))-AVERAGE(OFFSET($H$3,0,0,'Données projet'!$E$16+1,1))</f>
        <v>307.50573770128085</v>
      </c>
      <c r="FK3" s="59">
        <f>IF('Données projet'!E16&gt;30,$FI$33-$H$33,LOOKUP('Données projet'!$E$16,$A$3:$A$203,FI3:FI203)-LOOKUP('Données projet'!$E$16,$A$3:$A$203,$H$3:$H$203))</f>
        <v>300.2007312562655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59.499999999999993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218.16666666666663</v>
      </c>
      <c r="GE3" s="59">
        <f ca="1">AVERAGE(OFFSET($GD$3,0,0,'Données projet'!$E$17+1,1))-AVERAGE(OFFSET($H$3,0,0,'Données projet'!$E$17+1,1))</f>
        <v>369.60865427618342</v>
      </c>
      <c r="GF3" s="59">
        <f>IF('Données projet'!E17&gt;30,$GD$33-$H$33,LOOKUP('Données projet'!$E$17,$A$3:$A$203,GD3:GD203)-LOOKUP('Données projet'!$E$17,$A$3:$A$203,$H$3:$H$203))</f>
        <v>359.40898775279197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59.499999999999993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218.16666666666663</v>
      </c>
      <c r="GZ3" s="59">
        <f ca="1">AVERAGE(OFFSET($GY$3,0,0,'Données projet'!$E$18+1,1))-AVERAGE(OFFSET($H$3,0,0,'Données projet'!$E$18+1,1))</f>
        <v>262.62914256200031</v>
      </c>
      <c r="HA3" s="59">
        <f>IF('Données projet'!E18&gt;30,$GY$33-$H$33,LOOKUP('Données projet'!$E$18,$A$3:$A$203,GY3:GY203)-LOOKUP('Données projet'!$E$18,$A$3:$A$203,$H$3:$H$203))</f>
        <v>256.45129229594409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2.1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7.7</v>
      </c>
      <c r="H4" s="67">
        <f t="shared" ref="H4:H67" si="1">(B4+E4+F4)*44/12+(C4+D4)*0.475*44/12</f>
        <v>225.86666666666665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59.682151525516723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3.04</v>
      </c>
      <c r="N4" s="13">
        <f>IF('Données projet'!$A$36&gt;35,N3+M4-V3,IF(A4&lt;'Données projet'!$A$36,$K$205^A4,IF(A4='Données projet'!$A$36,'Données projet'!$B$36,N3+M4-V3)))</f>
        <v>1.1891387833073912</v>
      </c>
      <c r="O4" s="13">
        <f>N4*VLOOKUP('Données projet'!$B$9,Paramètres!$A$1:$I$89,3,0)*VLOOKUP('Données projet'!$B$9,Paramètres!$A$1:$I$89,5,0)</f>
        <v>1.0202810760777419</v>
      </c>
      <c r="P4" s="13">
        <f>EXP(-1.0587+0.8836*LN(O4)+0.284)</f>
        <v>0.46909079195091474</v>
      </c>
      <c r="Q4" s="20">
        <f t="shared" ref="Q4:Q34" si="2">(O4+P4)*0.475*44/12</f>
        <v>2.593989336816577</v>
      </c>
      <c r="R4" s="59">
        <f t="shared" si="0"/>
        <v>222.65076715260014</v>
      </c>
      <c r="S4" s="59">
        <f ca="1">AVERAGE(OFFSET($R$3,0,0,'Données projet'!$E$9+1,1))-AVERAGE(OFFSET($H$3,0,0,'Données projet'!$E$9+1,1))</f>
        <v>476.79071915271794</v>
      </c>
      <c r="T4" s="59">
        <f>$T$3</f>
        <v>264.79929759351762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59.682151525516723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2.1</v>
      </c>
      <c r="AI4" s="13">
        <f>IF('Données projet'!$A$62&gt;35,AI3+AH4-AQ3,IF(A4&lt;'Données projet'!$A$62,$AF$205^A4,IF(A4='Données projet'!$A$62,'Données projet'!$B$62,AI3+AH4-AQ3)))</f>
        <v>1.2054868146447177</v>
      </c>
      <c r="AJ4" s="13">
        <f>AI4*VLOOKUP('Données projet'!$B$10,Paramètres!$A$1:$I$89,3,0)*VLOOKUP('Données projet'!$B$10,Paramètres!$A$1:$I$89,5,0)</f>
        <v>1.0155020926567102</v>
      </c>
      <c r="AK4" s="13">
        <f>EXP(-1.0587+0.8836*LN(AJ4)+0.284)</f>
        <v>0.46714880239274614</v>
      </c>
      <c r="AL4" s="20">
        <f t="shared" ref="AL4:AL67" si="4">(AJ4+AK4)*0.475*44/12</f>
        <v>2.5822836422111366</v>
      </c>
      <c r="AM4" s="59">
        <f t="shared" ref="AM4:AM67" si="5">AL4+(AD4+AE4)*44/12</f>
        <v>222.6390614579947</v>
      </c>
      <c r="AN4" s="59">
        <f ca="1">AVERAGE(OFFSET($AM$3,0,0,'Données projet'!$E$10+1,1))-AVERAGE(OFFSET($H$3,0,0,'Données projet'!$E$10+1,1))</f>
        <v>365.104658862176</v>
      </c>
      <c r="AO4" s="59">
        <f>$AO$3</f>
        <v>226.29232910286325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59.682151525516723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2.1</v>
      </c>
      <c r="BD4" s="12">
        <f>IF('Données projet'!$A$88&gt;35,BD3+BC4-BL3,IF(A4&lt;'Données projet'!$A$88,$BA$205^A4,IF(A4='Données projet'!$A$88,'Données projet'!$B$88,BD3+BC4-BL3)))</f>
        <v>1.2054868146447177</v>
      </c>
      <c r="BE4" s="13">
        <f>BD4*VLOOKUP('Données projet'!$B$11,Paramètres!$A$1:$I$89,3,0)*VLOOKUP('Données projet'!$B$11,Paramètres!$A$1:$I$89,5,0)</f>
        <v>1.0907244698905405</v>
      </c>
      <c r="BF4" s="13">
        <f>EXP(-1.0587+0.8836*LN(BE4)+0.284)</f>
        <v>0.49759623852608204</v>
      </c>
      <c r="BG4" s="20">
        <f t="shared" ref="BG4:BG67" si="7">(BE4+BF4)*0.475*44/12</f>
        <v>2.7663252338256172</v>
      </c>
      <c r="BH4" s="59">
        <f t="shared" ref="BH4:BH67" si="8">BG4+(AY4+AZ4)*44/12</f>
        <v>222.82310304960919</v>
      </c>
      <c r="BI4" s="59">
        <f ca="1">AVERAGE(OFFSET($BH$3,0,0,'Données projet'!$E$11+1,1))-AVERAGE(OFFSET($H$3,0,0,'Données projet'!$E$11+1,1))</f>
        <v>388.12494342575195</v>
      </c>
      <c r="BJ4" s="59">
        <f>$BJ$3</f>
        <v>239.39471445648454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59.682151525516723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2.1</v>
      </c>
      <c r="BY4" s="12">
        <f>IF('Données projet'!$A$114&gt;35,BY3+BX4-CG3,IF(A4&lt;'Données projet'!$A$114,$BV$205^A4,IF(A4='Données projet'!$A$114,'Données projet'!$B$114,BY3+BX4-CG3)))</f>
        <v>1.2054868146447177</v>
      </c>
      <c r="BZ4" s="13">
        <f>BY4*VLOOKUP('Données projet'!$B$12,Paramètres!$A$1:$I$89,3,0)*VLOOKUP('Données projet'!$B$12,Paramètres!$A$1:$I$89,5,0)</f>
        <v>1.2223636300497438</v>
      </c>
      <c r="CA4" s="13">
        <f>EXP(-1.0587+0.8836*LN(BZ4)+0.284)</f>
        <v>0.55030360208821416</v>
      </c>
      <c r="CB4" s="20">
        <f t="shared" ref="CB4:CB67" si="10">(BZ4+CA4)*0.475*44/12</f>
        <v>3.0873954293069432</v>
      </c>
      <c r="CC4" s="59">
        <f t="shared" ref="CC4:CC67" si="11">CB4+(BT4+BU4)*44/12</f>
        <v>223.14417324509051</v>
      </c>
      <c r="CD4" s="59">
        <f ca="1">AVERAGE(OFFSET($CC$3,0,0,'Données projet'!$E$12+1,1))-AVERAGE(OFFSET($H$3,0,0,'Données projet'!$E$12+1,1))</f>
        <v>428.33148932885132</v>
      </c>
      <c r="CE4" s="59">
        <f>$CE$3</f>
        <v>262.27548054534373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59.682151525516723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1.2</v>
      </c>
      <c r="CT4" s="12">
        <f>IF('Données projet'!$A$140&gt;35,CT3+CS4-DB3,IF(A4&lt;'Données projet'!$A$140,$CQ$205^A4,IF(A4='Données projet'!$A$140,'Données projet'!$B$140,CT3+CS4-DB3)))</f>
        <v>1.1457367676485573</v>
      </c>
      <c r="CU4" s="17">
        <f>CT4*VLOOKUP('Données projet'!$B$13,Paramètres!$A$1:$I$89,3,0)*VLOOKUP('Données projet'!$B$13,Paramètres!$A$1:$I$89,5,0)</f>
        <v>1.0902831080943671</v>
      </c>
      <c r="CV4" s="13">
        <f>EXP(-1.0587+0.8836*LN(CU4)+0.284)</f>
        <v>0.49741831937112058</v>
      </c>
      <c r="CW4" s="20">
        <f t="shared" ref="CW4:CW67" si="13">(CU4+CV4)*0.475*44/12</f>
        <v>2.7652466528357245</v>
      </c>
      <c r="CX4" s="59">
        <f t="shared" ref="CX4:CX67" si="14">CW4+(CO4+CP4)*44/12</f>
        <v>222.82202446861928</v>
      </c>
      <c r="CY4" s="59">
        <f ca="1">AVERAGE(OFFSET($CX$3,0,0,'Données projet'!$E$13+1,1))-AVERAGE(OFFSET($H$3,0,0,'Données projet'!$E$13+1,1))</f>
        <v>307.62549820830162</v>
      </c>
      <c r="CZ4" s="59">
        <f>$CZ$3</f>
        <v>160.26466014910304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59.682151525516723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2.4666666666666668</v>
      </c>
      <c r="DO4" s="12">
        <f>IF('Données projet'!$A$166&gt;35,DO3+DN4-DW3,IF(A4&lt;'Données projet'!$A$166,$DL$205^A4,IF(A4='Données projet'!$A$166,'Données projet'!$B$166,DO3+DN4-DW3)))</f>
        <v>1.2721747796233518</v>
      </c>
      <c r="DP4" s="17">
        <f>DO4*VLOOKUP('Données projet'!$B$14,Paramètres!$A$1:$I$89,3,0)*VLOOKUP('Données projet'!$B$14,Paramètres!$A$1:$I$89,5,0)</f>
        <v>1.0121422546683387</v>
      </c>
      <c r="DQ4" s="13">
        <f>EXP(-1.0587+0.8836*LN(DP4)+0.284)</f>
        <v>0.46578286063395047</v>
      </c>
      <c r="DR4" s="20">
        <f t="shared" ref="DR4:DR67" si="16">(DP4+DQ4)*0.475*44/12</f>
        <v>2.574052909151487</v>
      </c>
      <c r="DS4" s="59">
        <f t="shared" ref="DS4:DS67" si="17">DR4+(DJ4+DK4)*44/12</f>
        <v>222.63083072493504</v>
      </c>
      <c r="DT4" s="59">
        <f ca="1">AVERAGE(OFFSET($DS$3,0,0,'Données projet'!$E$14+1,1))-AVERAGE(OFFSET($H$3,0,0,'Données projet'!$E$14+1,1))</f>
        <v>309.14579005132464</v>
      </c>
      <c r="DU4" s="59">
        <f>$DU$3</f>
        <v>300.60311050289533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59.682151525516723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1.1000000000000001</v>
      </c>
      <c r="EJ4" s="12">
        <f>IF('Données projet'!$A$192&gt;35,EJ3+EI4-ER3,IF(A4&lt;'Données projet'!$A$192,$EG$205^A4,IF(A4='Données projet'!$A$192,'Données projet'!$B$192,EJ3+EI4-ER3)))</f>
        <v>1.2709816152101407</v>
      </c>
      <c r="EK4" s="17">
        <f>EJ4*VLOOKUP('Données projet'!$B$15,Paramètres!$A$1:$I$89,3,0)*VLOOKUP('Données projet'!$B$15,Paramètres!$A$1:$I$89,5,0)</f>
        <v>0.93188372027207511</v>
      </c>
      <c r="EL4" s="13">
        <f>EXP(-1.0587+0.8836*LN(EK4)+0.284)</f>
        <v>0.43299221190803017</v>
      </c>
      <c r="EM4" s="20">
        <f t="shared" ref="EM4:EM67" si="19">(EK4+EL4)*0.475*44/12</f>
        <v>2.3771589152136832</v>
      </c>
      <c r="EN4" s="59">
        <f t="shared" ref="EN4:EN67" si="20">EM4+(EE4+EF4)*44/12</f>
        <v>222.43393673099723</v>
      </c>
      <c r="EO4" s="59">
        <f ca="1">AVERAGE(OFFSET($EN$3,0,0,'Données projet'!$E$15+1,1))-AVERAGE(OFFSET($H$3,0,0,'Données projet'!$E$15+1,1))</f>
        <v>338.59243085476896</v>
      </c>
      <c r="EP4" s="59">
        <f>$EP$3</f>
        <v>329.8393445823275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59.682151525516723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1.1000000000000001</v>
      </c>
      <c r="FE4" s="12">
        <f>IF('Données projet'!$A$218&gt;35,FE3+FD4-FM3,IF(A4&lt;'Données projet'!$A$218,$FB$205^A4,IF(A4='Données projet'!$A$218,'Données projet'!$B$218,FE3+FD4-FM3)))</f>
        <v>1.2709816152101407</v>
      </c>
      <c r="FF4" s="17">
        <f>FE4*VLOOKUP('Données projet'!$B$16,Paramètres!$A$1:$I$89,3,0)*VLOOKUP('Données projet'!$B$16,Paramètres!$A$1:$I$89,5,0)</f>
        <v>0.83274715428568413</v>
      </c>
      <c r="FG4" s="13">
        <f>EXP(-1.0587+0.8836*LN(FF4)+0.284)</f>
        <v>0.39202836439738087</v>
      </c>
      <c r="FH4" s="20">
        <f t="shared" ref="FH4:FH67" si="22">(FF4+FG4)*0.475*44/12</f>
        <v>2.1331506950396717</v>
      </c>
      <c r="FI4" s="59">
        <f t="shared" ref="FI4:FI67" si="23">FH4+(EZ4+FA4)*44/12</f>
        <v>222.18992851082322</v>
      </c>
      <c r="FJ4" s="59">
        <f ca="1">AVERAGE(OFFSET($FI$3,0,0,'Données projet'!$E$16+1,1))-AVERAGE(OFFSET($H$3,0,0,'Données projet'!$E$16+1,1))</f>
        <v>307.50573770128085</v>
      </c>
      <c r="FK4" s="59">
        <f>$FK$3</f>
        <v>300.2007312562655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59.682151525516723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1.1000000000000001</v>
      </c>
      <c r="FZ4" s="12">
        <f>IF('Données projet'!$A$244&gt;35,FZ3+FY4-GH3,IF(A4&lt;'Données projet'!$A$244,$FW$205^A4,IF(A4='Données projet'!$A$244,'Données projet'!$B$244,FZ3+FY4-GH3)))</f>
        <v>1.2709816152101407</v>
      </c>
      <c r="GA4" s="17">
        <f>FZ4*VLOOKUP('Données projet'!$B$17,Paramètres!$A$1:$I$89,3,0)*VLOOKUP('Données projet'!$B$17,Paramètres!$A$1:$I$89,5,0)</f>
        <v>1.0310202862584663</v>
      </c>
      <c r="GB4" s="13">
        <f>EXP(-1.0587+0.8836*LN(GA4)+0.284)</f>
        <v>0.47345092792653765</v>
      </c>
      <c r="GC4" s="20">
        <f t="shared" ref="GC4:GC67" si="25">(GA4+GB4)*0.475*44/12</f>
        <v>2.6202873647055487</v>
      </c>
      <c r="GD4" s="59">
        <f t="shared" ref="GD4:GD67" si="26">GC4+(FU4+FV4)*44/12</f>
        <v>222.67706518048911</v>
      </c>
      <c r="GE4" s="59">
        <f ca="1">AVERAGE(OFFSET($GD$3,0,0,'Données projet'!$E$17+1,1))-AVERAGE(OFFSET($H$3,0,0,'Données projet'!$E$17+1,1))</f>
        <v>369.60865427618342</v>
      </c>
      <c r="GF4" s="59">
        <f>$GF$3</f>
        <v>359.40898775279197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59.682151525516723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2.4666666666666668</v>
      </c>
      <c r="GU4" s="12">
        <f>IF('Données projet'!$A$270&gt;35,GU3+GT4-HC3,IF(A4&lt;'Données projet'!$A$270,$GR$205^A4,IF(A4='Données projet'!$A$270,'Données projet'!$B$270,GU3+GT4-HC3)))</f>
        <v>1.2721747796233518</v>
      </c>
      <c r="GV4" s="17">
        <f>GU4*VLOOKUP('Données projet'!$B$18,Paramètres!$A$1:$I$89,3,0)*VLOOKUP('Données projet'!$B$18,Paramètres!$A$1:$I$89,5,0)</f>
        <v>0.83352891560922016</v>
      </c>
      <c r="GW4" s="13">
        <f>EXP(-1.0587+0.8836*LN(GV4)+0.284)</f>
        <v>0.39235353441936577</v>
      </c>
      <c r="GX4" s="20">
        <f t="shared" ref="GX4:GX67" si="28">(GV4+GW4)*0.475*44/12</f>
        <v>2.1350786004664535</v>
      </c>
      <c r="GY4" s="59">
        <f t="shared" ref="GY4:GY67" si="29">GX4+(GP4+GQ4)*44/12</f>
        <v>222.19185641625</v>
      </c>
      <c r="GZ4" s="59">
        <f ca="1">AVERAGE(OFFSET($GY$3,0,0,'Données projet'!$E$18+1,1))-AVERAGE(OFFSET($H$3,0,0,'Données projet'!$E$18+1,1))</f>
        <v>262.62914256200031</v>
      </c>
      <c r="HA4" s="59">
        <f>$HA$3</f>
        <v>256.45129229594409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2.1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7.7</v>
      </c>
      <c r="H5" s="67">
        <f t="shared" si="1"/>
        <v>225.86666666666665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59.861143129295542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3.04</v>
      </c>
      <c r="N5" s="13">
        <f>IF('Données projet'!$A$36&gt;35,N4+M5-V4,IF(A5&lt;'Données projet'!$A$36,$K$205^A5,IF(A5='Données projet'!$A$36,'Données projet'!$B$36,N4+M5-V4)))</f>
        <v>1.4140510459657827</v>
      </c>
      <c r="O5" s="13">
        <f>N5*VLOOKUP('Données projet'!$B$9,Paramètres!$A$1:$I$89,3,0)*VLOOKUP('Données projet'!$B$9,Paramètres!$A$1:$I$89,5,0)</f>
        <v>1.2132557974386415</v>
      </c>
      <c r="P5" s="13">
        <f t="shared" ref="P5:P68" si="33">EXP(-1.0587+0.8836*LN(O5)+0.284)</f>
        <v>0.54667899030628542</v>
      </c>
      <c r="Q5" s="20">
        <f t="shared" si="2"/>
        <v>3.0652197553224139</v>
      </c>
      <c r="R5" s="59">
        <f t="shared" si="0"/>
        <v>225.00052234051716</v>
      </c>
      <c r="S5" s="59">
        <f ca="1">AVERAGE(OFFSET($R$3,0,0,'Données projet'!$E$9+1,1))-AVERAGE(OFFSET($H$3,0,0,'Données projet'!$E$9+1,1))</f>
        <v>476.79071915271794</v>
      </c>
      <c r="T5" s="59">
        <f t="shared" ref="T5:T68" si="34">$T$3</f>
        <v>264.79929759351762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59.861143129295542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2.1</v>
      </c>
      <c r="AI5" s="13">
        <f>IF('Données projet'!$A$62&gt;35,AI4+AH5-AQ4,IF(A5&lt;'Données projet'!$A$62,$AF$205^A5,IF(A5='Données projet'!$A$62,'Données projet'!$B$62,AI4+AH5-AQ4)))</f>
        <v>1.4531984602822681</v>
      </c>
      <c r="AJ5" s="13">
        <f>AI5*VLOOKUP('Données projet'!$B$10,Paramètres!$A$1:$I$89,3,0)*VLOOKUP('Données projet'!$B$10,Paramètres!$A$1:$I$89,5,0)</f>
        <v>1.2241743829417828</v>
      </c>
      <c r="AK5" s="13">
        <f t="shared" ref="AK5:AK68" si="35">EXP(-1.0587+0.8836*LN(AJ5)+0.284)</f>
        <v>0.55102384568700224</v>
      </c>
      <c r="AL5" s="20">
        <f t="shared" si="4"/>
        <v>3.0918035815284672</v>
      </c>
      <c r="AM5" s="59">
        <f t="shared" si="5"/>
        <v>225.02710616672323</v>
      </c>
      <c r="AN5" s="59">
        <f ca="1">AVERAGE(OFFSET($AM$3,0,0,'Données projet'!$E$10+1,1))-AVERAGE(OFFSET($H$3,0,0,'Données projet'!$E$10+1,1))</f>
        <v>365.104658862176</v>
      </c>
      <c r="AO5" s="59">
        <f t="shared" ref="AO5:AO68" si="36">$AO$3</f>
        <v>226.29232910286325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59.861143129295542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2.1</v>
      </c>
      <c r="BD5" s="12">
        <f>IF('Données projet'!$A$88&gt;35,BD4+BC5-BL4,IF(A5&lt;'Données projet'!$A$88,$BA$205^A5,IF(A5='Données projet'!$A$88,'Données projet'!$B$88,BD4+BC5-BL4)))</f>
        <v>1.4531984602822681</v>
      </c>
      <c r="BE5" s="13">
        <f>BD5*VLOOKUP('Données projet'!$B$11,Paramètres!$A$1:$I$89,3,0)*VLOOKUP('Données projet'!$B$11,Paramètres!$A$1:$I$89,5,0)</f>
        <v>1.3148539668633961</v>
      </c>
      <c r="BF5" s="13">
        <f t="shared" ref="BF5:BF68" si="37">EXP(-1.0587+0.8836*LN(BE5)+0.284)</f>
        <v>0.58693801963664449</v>
      </c>
      <c r="BG5" s="20">
        <f t="shared" si="7"/>
        <v>3.3122877098209038</v>
      </c>
      <c r="BH5" s="59">
        <f t="shared" si="8"/>
        <v>225.24759029501567</v>
      </c>
      <c r="BI5" s="59">
        <f ca="1">AVERAGE(OFFSET($BH$3,0,0,'Données projet'!$E$11+1,1))-AVERAGE(OFFSET($H$3,0,0,'Données projet'!$E$11+1,1))</f>
        <v>388.12494342575195</v>
      </c>
      <c r="BJ5" s="59">
        <f t="shared" ref="BJ5:BJ68" si="38">$BJ$3</f>
        <v>239.39471445648454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59.861143129295542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2.1</v>
      </c>
      <c r="BY5" s="12">
        <f>IF('Données projet'!$A$114&gt;35,BY4+BX5-CG4,IF(A5&lt;'Données projet'!$A$114,$BV$205^A5,IF(A5='Données projet'!$A$114,'Données projet'!$B$114,BY4+BX5-CG4)))</f>
        <v>1.4531984602822681</v>
      </c>
      <c r="BZ5" s="13">
        <f>BY5*VLOOKUP('Données projet'!$B$12,Paramètres!$A$1:$I$89,3,0)*VLOOKUP('Données projet'!$B$12,Paramètres!$A$1:$I$89,5,0)</f>
        <v>1.47354323872622</v>
      </c>
      <c r="CA5" s="13">
        <f t="shared" ref="CA5:CA68" si="39">EXP(-1.0587+0.8836*LN(BZ5)+0.284)</f>
        <v>0.64910881835703094</v>
      </c>
      <c r="CB5" s="20">
        <f t="shared" si="10"/>
        <v>3.6969523327533285</v>
      </c>
      <c r="CC5" s="59">
        <f t="shared" si="11"/>
        <v>225.6322549179481</v>
      </c>
      <c r="CD5" s="59">
        <f ca="1">AVERAGE(OFFSET($CC$3,0,0,'Données projet'!$E$12+1,1))-AVERAGE(OFFSET($H$3,0,0,'Données projet'!$E$12+1,1))</f>
        <v>428.33148932885132</v>
      </c>
      <c r="CE5" s="59">
        <f t="shared" ref="CE5:CE68" si="40">$CE$3</f>
        <v>262.27548054534373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59.861143129295542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1.2</v>
      </c>
      <c r="CT5" s="12">
        <f>IF('Données projet'!$A$140&gt;35,CT4+CS5-DB4,IF(A5&lt;'Données projet'!$A$140,$CQ$205^A5,IF(A5='Données projet'!$A$140,'Données projet'!$B$140,CT4+CS5-DB4)))</f>
        <v>1.312712740741764</v>
      </c>
      <c r="CU5" s="17">
        <f>CT5*VLOOKUP('Données projet'!$B$13,Paramètres!$A$1:$I$89,3,0)*VLOOKUP('Données projet'!$B$13,Paramètres!$A$1:$I$89,5,0)</f>
        <v>1.2491774440898626</v>
      </c>
      <c r="CV5" s="13">
        <f t="shared" ref="CV5:CV68" si="41">EXP(-1.0587+0.8836*LN(CU5)+0.284)</f>
        <v>0.56095645444965547</v>
      </c>
      <c r="CW5" s="20">
        <f t="shared" si="13"/>
        <v>3.1526498732896608</v>
      </c>
      <c r="CX5" s="59">
        <f t="shared" si="14"/>
        <v>225.08795245848441</v>
      </c>
      <c r="CY5" s="59">
        <f ca="1">AVERAGE(OFFSET($CX$3,0,0,'Données projet'!$E$13+1,1))-AVERAGE(OFFSET($H$3,0,0,'Données projet'!$E$13+1,1))</f>
        <v>307.62549820830162</v>
      </c>
      <c r="CZ5" s="59">
        <f t="shared" ref="CZ5:CZ68" si="42">$CZ$3</f>
        <v>160.26466014910304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59.861143129295542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2.4666666666666668</v>
      </c>
      <c r="DO5" s="12">
        <f>IF('Données projet'!$A$166&gt;35,DO4+DN5-DW4,IF(A5&lt;'Données projet'!$A$166,$DL$205^A5,IF(A5='Données projet'!$A$166,'Données projet'!$B$166,DO4+DN5-DW4)))</f>
        <v>1.6184286699097237</v>
      </c>
      <c r="DP5" s="17">
        <f>DO5*VLOOKUP('Données projet'!$B$14,Paramètres!$A$1:$I$89,3,0)*VLOOKUP('Données projet'!$B$14,Paramètres!$A$1:$I$89,5,0)</f>
        <v>1.2876218497801761</v>
      </c>
      <c r="DQ5" s="13">
        <f t="shared" ref="DQ5:DQ68" si="43">EXP(-1.0587+0.8836*LN(DP5)+0.284)</f>
        <v>0.57618379541883336</v>
      </c>
      <c r="DR5" s="20">
        <f t="shared" si="16"/>
        <v>3.2461281653882743</v>
      </c>
      <c r="DS5" s="59">
        <f t="shared" si="17"/>
        <v>225.18143075058305</v>
      </c>
      <c r="DT5" s="59">
        <f ca="1">AVERAGE(OFFSET($DS$3,0,0,'Données projet'!$E$14+1,1))-AVERAGE(OFFSET($H$3,0,0,'Données projet'!$E$14+1,1))</f>
        <v>309.14579005132464</v>
      </c>
      <c r="DU5" s="59">
        <f t="shared" ref="DU5:DU68" si="44">$DU$3</f>
        <v>300.60311050289533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59.861143129295542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1.1000000000000001</v>
      </c>
      <c r="EJ5" s="12">
        <f>IF('Données projet'!$A$192&gt;35,EJ4+EI5-ER4,IF(A5&lt;'Données projet'!$A$192,$EG$205^A5,IF(A5='Données projet'!$A$192,'Données projet'!$B$192,EJ4+EI5-ER4)))</f>
        <v>1.6153942662021783</v>
      </c>
      <c r="EK5" s="17">
        <f>EJ5*VLOOKUP('Données projet'!$B$15,Paramètres!$A$1:$I$89,3,0)*VLOOKUP('Données projet'!$B$15,Paramètres!$A$1:$I$89,5,0)</f>
        <v>1.1844070759794372</v>
      </c>
      <c r="EL5" s="13">
        <f t="shared" ref="EL5:EL68" si="45">EXP(-1.0587+0.8836*LN(EK5)+0.284)</f>
        <v>0.53517712549257934</v>
      </c>
      <c r="EM5" s="20">
        <f t="shared" si="19"/>
        <v>2.9949424842304286</v>
      </c>
      <c r="EN5" s="59">
        <f t="shared" si="20"/>
        <v>224.93024506942518</v>
      </c>
      <c r="EO5" s="59">
        <f ca="1">AVERAGE(OFFSET($EN$3,0,0,'Données projet'!$E$15+1,1))-AVERAGE(OFFSET($H$3,0,0,'Données projet'!$E$15+1,1))</f>
        <v>338.59243085476896</v>
      </c>
      <c r="EP5" s="59">
        <f t="shared" ref="EP5:EP68" si="46">$EP$3</f>
        <v>329.8393445823275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59.861143129295542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1.1000000000000001</v>
      </c>
      <c r="FE5" s="12">
        <f>IF('Données projet'!$A$218&gt;35,FE4+FD5-FM4,IF(A5&lt;'Données projet'!$A$218,$FB$205^A5,IF(A5='Données projet'!$A$218,'Données projet'!$B$218,FE4+FD5-FM4)))</f>
        <v>1.6153942662021783</v>
      </c>
      <c r="FF5" s="17">
        <f>FE5*VLOOKUP('Données projet'!$B$16,Paramètres!$A$1:$I$89,3,0)*VLOOKUP('Données projet'!$B$16,Paramètres!$A$1:$I$89,5,0)</f>
        <v>1.0584063232156671</v>
      </c>
      <c r="FG5" s="13">
        <f t="shared" ref="FG5:FG68" si="47">EXP(-1.0587+0.8836*LN(FF5)+0.284)</f>
        <v>0.48454592807852009</v>
      </c>
      <c r="FH5" s="20">
        <f t="shared" si="22"/>
        <v>2.6873085043373757</v>
      </c>
      <c r="FI5" s="59">
        <f t="shared" si="23"/>
        <v>224.62261108953214</v>
      </c>
      <c r="FJ5" s="59">
        <f ca="1">AVERAGE(OFFSET($FI$3,0,0,'Données projet'!$E$16+1,1))-AVERAGE(OFFSET($H$3,0,0,'Données projet'!$E$16+1,1))</f>
        <v>307.50573770128085</v>
      </c>
      <c r="FK5" s="59">
        <f t="shared" ref="FK5:FK68" si="48">$FK$3</f>
        <v>300.2007312562655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59.861143129295542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1.1000000000000001</v>
      </c>
      <c r="FZ5" s="12">
        <f>IF('Données projet'!$A$244&gt;35,FZ4+FY5-GH4,IF(A5&lt;'Données projet'!$A$244,$FW$205^A5,IF(A5='Données projet'!$A$244,'Données projet'!$B$244,FZ4+FY5-GH4)))</f>
        <v>1.6153942662021783</v>
      </c>
      <c r="GA5" s="17">
        <f>FZ5*VLOOKUP('Données projet'!$B$17,Paramètres!$A$1:$I$89,3,0)*VLOOKUP('Données projet'!$B$17,Paramètres!$A$1:$I$89,5,0)</f>
        <v>1.310407828743207</v>
      </c>
      <c r="GB5" s="13">
        <f t="shared" ref="GB5:GB68" si="49">EXP(-1.0587+0.8836*LN(GA5)+0.284)</f>
        <v>0.58518398183877263</v>
      </c>
      <c r="GC5" s="20">
        <f t="shared" si="25"/>
        <v>3.3014890700969475</v>
      </c>
      <c r="GD5" s="59">
        <f t="shared" si="26"/>
        <v>225.23679165529171</v>
      </c>
      <c r="GE5" s="59">
        <f ca="1">AVERAGE(OFFSET($GD$3,0,0,'Données projet'!$E$17+1,1))-AVERAGE(OFFSET($H$3,0,0,'Données projet'!$E$17+1,1))</f>
        <v>369.60865427618342</v>
      </c>
      <c r="GF5" s="59">
        <f t="shared" ref="GF5:GF68" si="50">$GF$3</f>
        <v>359.40898775279197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59.861143129295542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2.4666666666666668</v>
      </c>
      <c r="GU5" s="12">
        <f>IF('Données projet'!$A$270&gt;35,GU4+GT5-HC4,IF(A5&lt;'Données projet'!$A$270,$GR$205^A5,IF(A5='Données projet'!$A$270,'Données projet'!$B$270,GU4+GT5-HC4)))</f>
        <v>1.6184286699097237</v>
      </c>
      <c r="GV5" s="17">
        <f>GU5*VLOOKUP('Données projet'!$B$18,Paramètres!$A$1:$I$89,3,0)*VLOOKUP('Données projet'!$B$18,Paramètres!$A$1:$I$89,5,0)</f>
        <v>1.0603944645248509</v>
      </c>
      <c r="GW5" s="13">
        <f t="shared" ref="GW5:GW68" si="51">EXP(-1.0587+0.8836*LN(GV5)+0.284)</f>
        <v>0.48535007986351425</v>
      </c>
      <c r="GX5" s="20">
        <f t="shared" si="28"/>
        <v>2.6921717481430694</v>
      </c>
      <c r="GY5" s="59">
        <f t="shared" si="29"/>
        <v>224.62747433333783</v>
      </c>
      <c r="GZ5" s="59">
        <f ca="1">AVERAGE(OFFSET($GY$3,0,0,'Données projet'!$E$18+1,1))-AVERAGE(OFFSET($H$3,0,0,'Données projet'!$E$18+1,1))</f>
        <v>262.62914256200031</v>
      </c>
      <c r="HA5" s="59">
        <f t="shared" ref="HA5:HA68" si="52">$HA$3</f>
        <v>256.45129229594409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2.1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7.7</v>
      </c>
      <c r="H6" s="67">
        <f t="shared" si="1"/>
        <v>225.86666666666665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60.037029628914084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3.04</v>
      </c>
      <c r="N6" s="13">
        <f>IF('Données projet'!$A$36&gt;35,N5+M6-V5,IF(A6&lt;'Données projet'!$A$36,$K$205^A6,IF(A6='Données projet'!$A$36,'Données projet'!$B$36,N5+M6-V5)))</f>
        <v>1.6815029403342947</v>
      </c>
      <c r="O6" s="13">
        <f>N6*VLOOKUP('Données projet'!$B$9,Paramètres!$A$1:$I$89,3,0)*VLOOKUP('Données projet'!$B$9,Paramètres!$A$1:$I$89,5,0)</f>
        <v>1.4427295228068251</v>
      </c>
      <c r="P6" s="13">
        <f t="shared" si="33"/>
        <v>0.63710037282840559</v>
      </c>
      <c r="Q6" s="20">
        <f t="shared" si="2"/>
        <v>3.6223704015646927</v>
      </c>
      <c r="R6" s="59">
        <f t="shared" si="0"/>
        <v>227.42481237424965</v>
      </c>
      <c r="S6" s="59">
        <f ca="1">AVERAGE(OFFSET($R$3,0,0,'Données projet'!$E$9+1,1))-AVERAGE(OFFSET($H$3,0,0,'Données projet'!$E$9+1,1))</f>
        <v>476.79071915271794</v>
      </c>
      <c r="T6" s="59">
        <f t="shared" si="34"/>
        <v>264.79929759351762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60.037029628914084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2.1</v>
      </c>
      <c r="AI6" s="13">
        <f>IF('Données projet'!$A$62&gt;35,AI5+AH6-AQ5,IF(A6&lt;'Données projet'!$A$62,$AF$205^A6,IF(A6='Données projet'!$A$62,'Données projet'!$B$62,AI5+AH6-AQ5)))</f>
        <v>1.7518115829322798</v>
      </c>
      <c r="AJ6" s="13">
        <f>AI6*VLOOKUP('Données projet'!$B$10,Paramètres!$A$1:$I$89,3,0)*VLOOKUP('Données projet'!$B$10,Paramètres!$A$1:$I$89,5,0)</f>
        <v>1.4757260774621526</v>
      </c>
      <c r="AK6" s="13">
        <f t="shared" si="35"/>
        <v>0.64995837934402878</v>
      </c>
      <c r="AL6" s="20">
        <f t="shared" si="4"/>
        <v>3.7022337622707653</v>
      </c>
      <c r="AM6" s="59">
        <f t="shared" si="5"/>
        <v>227.50467573495573</v>
      </c>
      <c r="AN6" s="59">
        <f ca="1">AVERAGE(OFFSET($AM$3,0,0,'Données projet'!$E$10+1,1))-AVERAGE(OFFSET($H$3,0,0,'Données projet'!$E$10+1,1))</f>
        <v>365.104658862176</v>
      </c>
      <c r="AO6" s="59">
        <f t="shared" si="36"/>
        <v>226.29232910286325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60.037029628914084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2.1</v>
      </c>
      <c r="BD6" s="12">
        <f>IF('Données projet'!$A$88&gt;35,BD5+BC6-BL5,IF(A6&lt;'Données projet'!$A$88,$BA$205^A6,IF(A6='Données projet'!$A$88,'Données projet'!$B$88,BD5+BC6-BL5)))</f>
        <v>1.7518115829322798</v>
      </c>
      <c r="BE6" s="13">
        <f>BD6*VLOOKUP('Données projet'!$B$11,Paramètres!$A$1:$I$89,3,0)*VLOOKUP('Données projet'!$B$11,Paramètres!$A$1:$I$89,5,0)</f>
        <v>1.5850391202371266</v>
      </c>
      <c r="BF6" s="13">
        <f t="shared" si="37"/>
        <v>0.69232082604846479</v>
      </c>
      <c r="BG6" s="20">
        <f t="shared" si="7"/>
        <v>3.966401906447405</v>
      </c>
      <c r="BH6" s="59">
        <f t="shared" si="8"/>
        <v>227.76884387913236</v>
      </c>
      <c r="BI6" s="59">
        <f ca="1">AVERAGE(OFFSET($BH$3,0,0,'Données projet'!$E$11+1,1))-AVERAGE(OFFSET($H$3,0,0,'Données projet'!$E$11+1,1))</f>
        <v>388.12494342575195</v>
      </c>
      <c r="BJ6" s="59">
        <f t="shared" si="38"/>
        <v>239.39471445648454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60.037029628914084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2.1</v>
      </c>
      <c r="BY6" s="12">
        <f>IF('Données projet'!$A$114&gt;35,BY5+BX6-CG5,IF(A6&lt;'Données projet'!$A$114,$BV$205^A6,IF(A6='Données projet'!$A$114,'Données projet'!$B$114,BY5+BX6-CG5)))</f>
        <v>1.7518115829322798</v>
      </c>
      <c r="BZ6" s="13">
        <f>BY6*VLOOKUP('Données projet'!$B$12,Paramètres!$A$1:$I$89,3,0)*VLOOKUP('Données projet'!$B$12,Paramètres!$A$1:$I$89,5,0)</f>
        <v>1.7763369450933317</v>
      </c>
      <c r="CA6" s="13">
        <f t="shared" si="39"/>
        <v>0.76565418883323866</v>
      </c>
      <c r="CB6" s="20">
        <f t="shared" si="10"/>
        <v>4.4273012249221102</v>
      </c>
      <c r="CC6" s="59">
        <f t="shared" si="11"/>
        <v>228.22974319760706</v>
      </c>
      <c r="CD6" s="59">
        <f ca="1">AVERAGE(OFFSET($CC$3,0,0,'Données projet'!$E$12+1,1))-AVERAGE(OFFSET($H$3,0,0,'Données projet'!$E$12+1,1))</f>
        <v>428.33148932885132</v>
      </c>
      <c r="CE6" s="59">
        <f t="shared" si="40"/>
        <v>262.27548054534373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60.037029628914084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1.2</v>
      </c>
      <c r="CT6" s="12">
        <f>IF('Données projet'!$A$140&gt;35,CT5+CS6-DB5,IF(A6&lt;'Données projet'!$A$140,$CQ$205^A6,IF(A6='Données projet'!$A$140,'Données projet'!$B$140,CT5+CS6-DB5)))</f>
        <v>1.5040232524285473</v>
      </c>
      <c r="CU6" s="17">
        <f>CT6*VLOOKUP('Données projet'!$B$13,Paramètres!$A$1:$I$89,3,0)*VLOOKUP('Données projet'!$B$13,Paramètres!$A$1:$I$89,5,0)</f>
        <v>1.4312285270110057</v>
      </c>
      <c r="CV6" s="13">
        <f t="shared" si="41"/>
        <v>0.63261068508004337</v>
      </c>
      <c r="CW6" s="20">
        <f t="shared" si="13"/>
        <v>3.5945199610585767</v>
      </c>
      <c r="CX6" s="59">
        <f t="shared" si="14"/>
        <v>227.39696193374354</v>
      </c>
      <c r="CY6" s="59">
        <f ca="1">AVERAGE(OFFSET($CX$3,0,0,'Données projet'!$E$13+1,1))-AVERAGE(OFFSET($H$3,0,0,'Données projet'!$E$13+1,1))</f>
        <v>307.62549820830162</v>
      </c>
      <c r="CZ6" s="59">
        <f t="shared" si="42"/>
        <v>160.26466014910304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60.037029628914084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2.4666666666666668</v>
      </c>
      <c r="DO6" s="12">
        <f>IF('Données projet'!$A$166&gt;35,DO5+DN6-DW5,IF(A6&lt;'Données projet'!$A$166,$DL$205^A6,IF(A6='Données projet'!$A$166,'Données projet'!$B$166,DO5+DN6-DW5)))</f>
        <v>2.0589241364785171</v>
      </c>
      <c r="DP6" s="17">
        <f>DO6*VLOOKUP('Données projet'!$B$14,Paramètres!$A$1:$I$89,3,0)*VLOOKUP('Données projet'!$B$14,Paramètres!$A$1:$I$89,5,0)</f>
        <v>1.6380800429823084</v>
      </c>
      <c r="DQ6" s="13">
        <f t="shared" si="43"/>
        <v>0.71275221602487127</v>
      </c>
      <c r="DR6" s="20">
        <f t="shared" si="16"/>
        <v>4.0943661844375043</v>
      </c>
      <c r="DS6" s="59">
        <f t="shared" si="17"/>
        <v>227.89680815712245</v>
      </c>
      <c r="DT6" s="59">
        <f ca="1">AVERAGE(OFFSET($DS$3,0,0,'Données projet'!$E$14+1,1))-AVERAGE(OFFSET($H$3,0,0,'Données projet'!$E$14+1,1))</f>
        <v>309.14579005132464</v>
      </c>
      <c r="DU6" s="59">
        <f t="shared" si="44"/>
        <v>300.60311050289533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60.037029628914084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1.1000000000000001</v>
      </c>
      <c r="EJ6" s="12">
        <f>IF('Données projet'!$A$192&gt;35,EJ5+EI6-ER5,IF(A6&lt;'Données projet'!$A$192,$EG$205^A6,IF(A6='Données projet'!$A$192,'Données projet'!$B$192,EJ5+EI6-ER5)))</f>
        <v>2.0531364136588448</v>
      </c>
      <c r="EK6" s="17">
        <f>EJ6*VLOOKUP('Données projet'!$B$15,Paramètres!$A$1:$I$89,3,0)*VLOOKUP('Données projet'!$B$15,Paramètres!$A$1:$I$89,5,0)</f>
        <v>1.5053596184946649</v>
      </c>
      <c r="EL6" s="13">
        <f t="shared" si="45"/>
        <v>0.66147738405820555</v>
      </c>
      <c r="EM6" s="20">
        <f t="shared" si="19"/>
        <v>3.7739077794462492</v>
      </c>
      <c r="EN6" s="59">
        <f t="shared" si="20"/>
        <v>227.57634975213122</v>
      </c>
      <c r="EO6" s="59">
        <f ca="1">AVERAGE(OFFSET($EN$3,0,0,'Données projet'!$E$15+1,1))-AVERAGE(OFFSET($H$3,0,0,'Données projet'!$E$15+1,1))</f>
        <v>338.59243085476896</v>
      </c>
      <c r="EP6" s="59">
        <f t="shared" si="46"/>
        <v>329.8393445823275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60.037029628914084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1.1000000000000001</v>
      </c>
      <c r="FE6" s="12">
        <f>IF('Données projet'!$A$218&gt;35,FE5+FD6-FM5,IF(A6&lt;'Données projet'!$A$218,$FB$205^A6,IF(A6='Données projet'!$A$218,'Données projet'!$B$218,FE5+FD6-FM5)))</f>
        <v>2.0531364136588448</v>
      </c>
      <c r="FF6" s="17">
        <f>FE6*VLOOKUP('Données projet'!$B$16,Paramètres!$A$1:$I$89,3,0)*VLOOKUP('Données projet'!$B$16,Paramètres!$A$1:$I$89,5,0)</f>
        <v>1.3452149782292753</v>
      </c>
      <c r="FG6" s="13">
        <f t="shared" si="47"/>
        <v>0.59889737003693966</v>
      </c>
      <c r="FH6" s="20">
        <f t="shared" si="22"/>
        <v>3.3859956732303242</v>
      </c>
      <c r="FI6" s="59">
        <f t="shared" si="23"/>
        <v>227.18843764591529</v>
      </c>
      <c r="FJ6" s="59">
        <f ca="1">AVERAGE(OFFSET($FI$3,0,0,'Données projet'!$E$16+1,1))-AVERAGE(OFFSET($H$3,0,0,'Données projet'!$E$16+1,1))</f>
        <v>307.50573770128085</v>
      </c>
      <c r="FK6" s="59">
        <f t="shared" si="48"/>
        <v>300.2007312562655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60.037029628914084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1.1000000000000001</v>
      </c>
      <c r="FZ6" s="12">
        <f>IF('Données projet'!$A$244&gt;35,FZ5+FY6-GH5,IF(A6&lt;'Données projet'!$A$244,$FW$205^A6,IF(A6='Données projet'!$A$244,'Données projet'!$B$244,FZ5+FY6-GH5)))</f>
        <v>2.0531364136588448</v>
      </c>
      <c r="GA6" s="17">
        <f>FZ6*VLOOKUP('Données projet'!$B$17,Paramètres!$A$1:$I$89,3,0)*VLOOKUP('Données projet'!$B$17,Paramètres!$A$1:$I$89,5,0)</f>
        <v>1.6655042587600553</v>
      </c>
      <c r="GB6" s="13">
        <f t="shared" si="49"/>
        <v>0.72328571431972233</v>
      </c>
      <c r="GC6" s="20">
        <f t="shared" si="25"/>
        <v>4.1604758697806128</v>
      </c>
      <c r="GD6" s="59">
        <f t="shared" si="26"/>
        <v>227.96291784246557</v>
      </c>
      <c r="GE6" s="59">
        <f ca="1">AVERAGE(OFFSET($GD$3,0,0,'Données projet'!$E$17+1,1))-AVERAGE(OFFSET($H$3,0,0,'Données projet'!$E$17+1,1))</f>
        <v>369.60865427618342</v>
      </c>
      <c r="GF6" s="59">
        <f t="shared" si="50"/>
        <v>359.40898775279197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60.037029628914084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2.4666666666666668</v>
      </c>
      <c r="GU6" s="12">
        <f>IF('Données projet'!$A$270&gt;35,GU5+GT6-HC5,IF(A6&lt;'Données projet'!$A$270,$GR$205^A6,IF(A6='Données projet'!$A$270,'Données projet'!$B$270,GU5+GT6-HC5)))</f>
        <v>2.0589241364785171</v>
      </c>
      <c r="GV6" s="17">
        <f>GU6*VLOOKUP('Données projet'!$B$18,Paramètres!$A$1:$I$89,3,0)*VLOOKUP('Données projet'!$B$18,Paramètres!$A$1:$I$89,5,0)</f>
        <v>1.3490070942207244</v>
      </c>
      <c r="GW6" s="13">
        <f t="shared" si="51"/>
        <v>0.60038888236887178</v>
      </c>
      <c r="GX6" s="20">
        <f t="shared" si="28"/>
        <v>3.3951979925602132</v>
      </c>
      <c r="GY6" s="59">
        <f t="shared" si="29"/>
        <v>227.19763996524517</v>
      </c>
      <c r="GZ6" s="59">
        <f ca="1">AVERAGE(OFFSET($GY$3,0,0,'Données projet'!$E$18+1,1))-AVERAGE(OFFSET($H$3,0,0,'Données projet'!$E$18+1,1))</f>
        <v>262.62914256200031</v>
      </c>
      <c r="HA6" s="59">
        <f t="shared" si="52"/>
        <v>256.45129229594409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2.1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7.7</v>
      </c>
      <c r="H7" s="67">
        <f t="shared" si="1"/>
        <v>225.86666666666665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60.209864890987532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3.04</v>
      </c>
      <c r="N7" s="13">
        <f>IF('Données projet'!$A$36&gt;35,N6+M7-V6,IF(A7&lt;'Données projet'!$A$36,$K$205^A7,IF(A7='Données projet'!$A$36,'Données projet'!$B$36,N6+M7-V6)))</f>
        <v>1.999540360596924</v>
      </c>
      <c r="O7" s="13">
        <f>N7*VLOOKUP('Données projet'!$B$9,Paramètres!$A$1:$I$89,3,0)*VLOOKUP('Données projet'!$B$9,Paramètres!$A$1:$I$89,5,0)</f>
        <v>1.7156056293921609</v>
      </c>
      <c r="P7" s="13">
        <f t="shared" si="33"/>
        <v>0.74247756408323506</v>
      </c>
      <c r="Q7" s="20">
        <f t="shared" si="2"/>
        <v>4.2811615619696477</v>
      </c>
      <c r="R7" s="59">
        <f t="shared" si="0"/>
        <v>229.93955505114616</v>
      </c>
      <c r="S7" s="59">
        <f ca="1">AVERAGE(OFFSET($R$3,0,0,'Données projet'!$E$9+1,1))-AVERAGE(OFFSET($H$3,0,0,'Données projet'!$E$9+1,1))</f>
        <v>476.79071915271794</v>
      </c>
      <c r="T7" s="59">
        <f t="shared" si="34"/>
        <v>264.79929759351762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60.209864890987532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2.1</v>
      </c>
      <c r="AI7" s="13">
        <f>IF('Données projet'!$A$62&gt;35,AI6+AH7-AQ6,IF(A7&lt;'Données projet'!$A$62,$AF$205^A7,IF(A7='Données projet'!$A$62,'Données projet'!$B$62,AI6+AH7-AQ6)))</f>
        <v>2.1117857649667546</v>
      </c>
      <c r="AJ7" s="13">
        <f>AI7*VLOOKUP('Données projet'!$B$10,Paramètres!$A$1:$I$89,3,0)*VLOOKUP('Données projet'!$B$10,Paramètres!$A$1:$I$89,5,0)</f>
        <v>1.7789683284079942</v>
      </c>
      <c r="AK7" s="13">
        <f t="shared" si="35"/>
        <v>0.76665628572357314</v>
      </c>
      <c r="AL7" s="20">
        <f t="shared" si="4"/>
        <v>4.4336295362791462</v>
      </c>
      <c r="AM7" s="59">
        <f t="shared" si="5"/>
        <v>230.09202302545566</v>
      </c>
      <c r="AN7" s="59">
        <f ca="1">AVERAGE(OFFSET($AM$3,0,0,'Données projet'!$E$10+1,1))-AVERAGE(OFFSET($H$3,0,0,'Données projet'!$E$10+1,1))</f>
        <v>365.104658862176</v>
      </c>
      <c r="AO7" s="59">
        <f t="shared" si="36"/>
        <v>226.29232910286325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60.209864890987532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2.1</v>
      </c>
      <c r="BD7" s="12">
        <f>IF('Données projet'!$A$88&gt;35,BD6+BC7-BL6,IF(A7&lt;'Données projet'!$A$88,$BA$205^A7,IF(A7='Données projet'!$A$88,'Données projet'!$B$88,BD6+BC7-BL6)))</f>
        <v>2.1117857649667546</v>
      </c>
      <c r="BE7" s="13">
        <f>BD7*VLOOKUP('Données projet'!$B$11,Paramètres!$A$1:$I$89,3,0)*VLOOKUP('Données projet'!$B$11,Paramètres!$A$1:$I$89,5,0)</f>
        <v>1.9107437601419195</v>
      </c>
      <c r="BF7" s="13">
        <f t="shared" si="37"/>
        <v>0.81662477151702284</v>
      </c>
      <c r="BG7" s="20">
        <f t="shared" si="7"/>
        <v>4.7501668593059909</v>
      </c>
      <c r="BH7" s="59">
        <f t="shared" si="8"/>
        <v>230.4085603484825</v>
      </c>
      <c r="BI7" s="59">
        <f ca="1">AVERAGE(OFFSET($BH$3,0,0,'Données projet'!$E$11+1,1))-AVERAGE(OFFSET($H$3,0,0,'Données projet'!$E$11+1,1))</f>
        <v>388.12494342575195</v>
      </c>
      <c r="BJ7" s="59">
        <f t="shared" si="38"/>
        <v>239.39471445648454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60.209864890987532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2.1</v>
      </c>
      <c r="BY7" s="12">
        <f>IF('Données projet'!$A$114&gt;35,BY6+BX7-CG6,IF(A7&lt;'Données projet'!$A$114,$BV$205^A7,IF(A7='Données projet'!$A$114,'Données projet'!$B$114,BY6+BX7-CG6)))</f>
        <v>2.1117857649667546</v>
      </c>
      <c r="BZ7" s="13">
        <f>BY7*VLOOKUP('Données projet'!$B$12,Paramètres!$A$1:$I$89,3,0)*VLOOKUP('Données projet'!$B$12,Paramètres!$A$1:$I$89,5,0)</f>
        <v>2.1413507656762891</v>
      </c>
      <c r="CA7" s="13">
        <f t="shared" si="39"/>
        <v>0.9031249003236328</v>
      </c>
      <c r="CB7" s="20">
        <f t="shared" si="10"/>
        <v>5.3024617849498643</v>
      </c>
      <c r="CC7" s="59">
        <f t="shared" si="11"/>
        <v>230.96085527412637</v>
      </c>
      <c r="CD7" s="59">
        <f ca="1">AVERAGE(OFFSET($CC$3,0,0,'Données projet'!$E$12+1,1))-AVERAGE(OFFSET($H$3,0,0,'Données projet'!$E$12+1,1))</f>
        <v>428.33148932885132</v>
      </c>
      <c r="CE7" s="59">
        <f t="shared" si="40"/>
        <v>262.27548054534373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60.209864890987532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1.2</v>
      </c>
      <c r="CT7" s="12">
        <f>IF('Données projet'!$A$140&gt;35,CT6+CS7-DB6,IF(A7&lt;'Données projet'!$A$140,$CQ$205^A7,IF(A7='Données projet'!$A$140,'Données projet'!$B$140,CT6+CS7-DB6)))</f>
        <v>1.7232147397057538</v>
      </c>
      <c r="CU7" s="17">
        <f>CT7*VLOOKUP('Données projet'!$B$13,Paramètres!$A$1:$I$89,3,0)*VLOOKUP('Données projet'!$B$13,Paramètres!$A$1:$I$89,5,0)</f>
        <v>1.6398111463039953</v>
      </c>
      <c r="CV7" s="13">
        <f t="shared" si="41"/>
        <v>0.71341772735294995</v>
      </c>
      <c r="CW7" s="20">
        <f t="shared" si="13"/>
        <v>4.0985402882858457</v>
      </c>
      <c r="CX7" s="59">
        <f t="shared" si="14"/>
        <v>229.75693377746236</v>
      </c>
      <c r="CY7" s="59">
        <f ca="1">AVERAGE(OFFSET($CX$3,0,0,'Données projet'!$E$13+1,1))-AVERAGE(OFFSET($H$3,0,0,'Données projet'!$E$13+1,1))</f>
        <v>307.62549820830162</v>
      </c>
      <c r="CZ7" s="59">
        <f t="shared" si="42"/>
        <v>160.26466014910304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60.209864890987532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2.4666666666666668</v>
      </c>
      <c r="DO7" s="12">
        <f>IF('Données projet'!$A$166&gt;35,DO6+DN7-DW6,IF(A7&lt;'Données projet'!$A$166,$DL$205^A7,IF(A7='Données projet'!$A$166,'Données projet'!$B$166,DO6+DN7-DW6)))</f>
        <v>2.6193113595857573</v>
      </c>
      <c r="DP7" s="17">
        <f>DO7*VLOOKUP('Données projet'!$B$14,Paramètres!$A$1:$I$89,3,0)*VLOOKUP('Données projet'!$B$14,Paramètres!$A$1:$I$89,5,0)</f>
        <v>2.0839241176864287</v>
      </c>
      <c r="DQ7" s="13">
        <f t="shared" si="43"/>
        <v>0.88169040068036508</v>
      </c>
      <c r="DR7" s="20">
        <f t="shared" si="16"/>
        <v>5.1651119528221656</v>
      </c>
      <c r="DS7" s="59">
        <f t="shared" si="17"/>
        <v>230.82350544199869</v>
      </c>
      <c r="DT7" s="59">
        <f ca="1">AVERAGE(OFFSET($DS$3,0,0,'Données projet'!$E$14+1,1))-AVERAGE(OFFSET($H$3,0,0,'Données projet'!$E$14+1,1))</f>
        <v>309.14579005132464</v>
      </c>
      <c r="DU7" s="59">
        <f t="shared" si="44"/>
        <v>300.60311050289533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60.209864890987532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1.1000000000000001</v>
      </c>
      <c r="EJ7" s="12">
        <f>IF('Données projet'!$A$192&gt;35,EJ6+EI7-ER6,IF(A7&lt;'Données projet'!$A$192,$EG$205^A7,IF(A7='Données projet'!$A$192,'Données projet'!$B$192,EJ6+EI7-ER6)))</f>
        <v>2.6094986352788743</v>
      </c>
      <c r="EK7" s="17">
        <f>EJ7*VLOOKUP('Données projet'!$B$15,Paramètres!$A$1:$I$89,3,0)*VLOOKUP('Données projet'!$B$15,Paramètres!$A$1:$I$89,5,0)</f>
        <v>1.9132843993864705</v>
      </c>
      <c r="EL7" s="13">
        <f t="shared" si="45"/>
        <v>0.81758413948982178</v>
      </c>
      <c r="EM7" s="20">
        <f t="shared" si="19"/>
        <v>4.7562627052095419</v>
      </c>
      <c r="EN7" s="59">
        <f t="shared" si="20"/>
        <v>230.41465619438605</v>
      </c>
      <c r="EO7" s="59">
        <f ca="1">AVERAGE(OFFSET($EN$3,0,0,'Données projet'!$E$15+1,1))-AVERAGE(OFFSET($H$3,0,0,'Données projet'!$E$15+1,1))</f>
        <v>338.59243085476896</v>
      </c>
      <c r="EP7" s="59">
        <f t="shared" si="46"/>
        <v>329.8393445823275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60.209864890987532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1.1000000000000001</v>
      </c>
      <c r="FE7" s="12">
        <f>IF('Données projet'!$A$218&gt;35,FE6+FD7-FM6,IF(A7&lt;'Données projet'!$A$218,$FB$205^A7,IF(A7='Données projet'!$A$218,'Données projet'!$B$218,FE6+FD7-FM6)))</f>
        <v>2.6094986352788743</v>
      </c>
      <c r="FF7" s="17">
        <f>FE7*VLOOKUP('Données projet'!$B$16,Paramètres!$A$1:$I$89,3,0)*VLOOKUP('Données projet'!$B$16,Paramètres!$A$1:$I$89,5,0)</f>
        <v>1.7097435058347183</v>
      </c>
      <c r="FG7" s="13">
        <f t="shared" si="47"/>
        <v>0.74023542259349984</v>
      </c>
      <c r="FH7" s="20">
        <f t="shared" si="22"/>
        <v>4.2670466336791462</v>
      </c>
      <c r="FI7" s="59">
        <f t="shared" si="23"/>
        <v>229.92544012285566</v>
      </c>
      <c r="FJ7" s="59">
        <f ca="1">AVERAGE(OFFSET($FI$3,0,0,'Données projet'!$E$16+1,1))-AVERAGE(OFFSET($H$3,0,0,'Données projet'!$E$16+1,1))</f>
        <v>307.50573770128085</v>
      </c>
      <c r="FK7" s="59">
        <f t="shared" si="48"/>
        <v>300.2007312562655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60.209864890987532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1.1000000000000001</v>
      </c>
      <c r="FZ7" s="12">
        <f>IF('Données projet'!$A$244&gt;35,FZ6+FY7-GH6,IF(A7&lt;'Données projet'!$A$244,$FW$205^A7,IF(A7='Données projet'!$A$244,'Données projet'!$B$244,FZ6+FY7-GH6)))</f>
        <v>2.6094986352788743</v>
      </c>
      <c r="GA7" s="17">
        <f>FZ7*VLOOKUP('Données projet'!$B$17,Paramètres!$A$1:$I$89,3,0)*VLOOKUP('Données projet'!$B$17,Paramètres!$A$1:$I$89,5,0)</f>
        <v>2.116825292938223</v>
      </c>
      <c r="GB7" s="13">
        <f t="shared" si="49"/>
        <v>0.89397905748405238</v>
      </c>
      <c r="GC7" s="20">
        <f t="shared" si="25"/>
        <v>5.2438175769854629</v>
      </c>
      <c r="GD7" s="59">
        <f t="shared" si="26"/>
        <v>230.90221106616198</v>
      </c>
      <c r="GE7" s="59">
        <f ca="1">AVERAGE(OFFSET($GD$3,0,0,'Données projet'!$E$17+1,1))-AVERAGE(OFFSET($H$3,0,0,'Données projet'!$E$17+1,1))</f>
        <v>369.60865427618342</v>
      </c>
      <c r="GF7" s="59">
        <f t="shared" si="50"/>
        <v>359.40898775279197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60.209864890987532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2.4666666666666668</v>
      </c>
      <c r="GU7" s="12">
        <f>IF('Données projet'!$A$270&gt;35,GU6+GT7-HC6,IF(A7&lt;'Données projet'!$A$270,$GR$205^A7,IF(A7='Données projet'!$A$270,'Données projet'!$B$270,GU6+GT7-HC6)))</f>
        <v>2.6193113595857573</v>
      </c>
      <c r="GV7" s="17">
        <f>GU7*VLOOKUP('Données projet'!$B$18,Paramètres!$A$1:$I$89,3,0)*VLOOKUP('Données projet'!$B$18,Paramètres!$A$1:$I$89,5,0)</f>
        <v>1.7161728028005883</v>
      </c>
      <c r="GW7" s="13">
        <f t="shared" si="51"/>
        <v>0.74269444886773317</v>
      </c>
      <c r="GX7" s="20">
        <f t="shared" si="28"/>
        <v>4.2825271299889929</v>
      </c>
      <c r="GY7" s="59">
        <f t="shared" si="29"/>
        <v>229.94092061916552</v>
      </c>
      <c r="GZ7" s="59">
        <f ca="1">AVERAGE(OFFSET($GY$3,0,0,'Données projet'!$E$18+1,1))-AVERAGE(OFFSET($H$3,0,0,'Données projet'!$E$18+1,1))</f>
        <v>262.62914256200031</v>
      </c>
      <c r="HA7" s="59">
        <f t="shared" si="52"/>
        <v>256.45129229594409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2.1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7.7</v>
      </c>
      <c r="H8" s="67">
        <f t="shared" si="1"/>
        <v>225.86666666666665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60.379701847665785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3.04</v>
      </c>
      <c r="N8" s="13">
        <f>IF('Données projet'!$A$36&gt;35,N7+M8-V7,IF(A8&lt;'Données projet'!$A$36,$K$205^A8,IF(A8='Données projet'!$A$36,'Données projet'!$B$36,N7+M8-V7)))</f>
        <v>2.3777309915742486</v>
      </c>
      <c r="O8" s="13">
        <f>N8*VLOOKUP('Données projet'!$B$9,Paramètres!$A$1:$I$89,3,0)*VLOOKUP('Données projet'!$B$9,Paramètres!$A$1:$I$89,5,0)</f>
        <v>2.0400931907707056</v>
      </c>
      <c r="P8" s="13">
        <f t="shared" si="33"/>
        <v>0.86528427337061464</v>
      </c>
      <c r="Q8" s="20">
        <f t="shared" si="2"/>
        <v>5.0601990833794659</v>
      </c>
      <c r="R8" s="59">
        <f t="shared" si="0"/>
        <v>232.56355030259846</v>
      </c>
      <c r="S8" s="59">
        <f ca="1">AVERAGE(OFFSET($R$3,0,0,'Données projet'!$E$9+1,1))-AVERAGE(OFFSET($H$3,0,0,'Données projet'!$E$9+1,1))</f>
        <v>476.79071915271794</v>
      </c>
      <c r="T8" s="59">
        <f t="shared" si="34"/>
        <v>264.79929759351762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60.379701847665785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2.1</v>
      </c>
      <c r="AI8" s="13">
        <f>IF('Données projet'!$A$62&gt;35,AI7+AH8-AQ7,IF(A8&lt;'Données projet'!$A$62,$AF$205^A8,IF(A8='Données projet'!$A$62,'Données projet'!$B$62,AI7+AH8-AQ7)))</f>
        <v>2.5457298950218314</v>
      </c>
      <c r="AJ8" s="13">
        <f>AI8*VLOOKUP('Données projet'!$B$10,Paramètres!$A$1:$I$89,3,0)*VLOOKUP('Données projet'!$B$10,Paramètres!$A$1:$I$89,5,0)</f>
        <v>2.1445228635663907</v>
      </c>
      <c r="AK8" s="13">
        <f t="shared" si="35"/>
        <v>0.90430692044106609</v>
      </c>
      <c r="AL8" s="20">
        <f t="shared" si="4"/>
        <v>5.3100452071463202</v>
      </c>
      <c r="AM8" s="59">
        <f t="shared" si="5"/>
        <v>232.8133964263653</v>
      </c>
      <c r="AN8" s="59">
        <f ca="1">AVERAGE(OFFSET($AM$3,0,0,'Données projet'!$E$10+1,1))-AVERAGE(OFFSET($H$3,0,0,'Données projet'!$E$10+1,1))</f>
        <v>365.104658862176</v>
      </c>
      <c r="AO8" s="59">
        <f t="shared" si="36"/>
        <v>226.29232910286325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60.379701847665785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2.1</v>
      </c>
      <c r="BD8" s="12">
        <f>IF('Données projet'!$A$88&gt;35,BD7+BC8-BL7,IF(A8&lt;'Données projet'!$A$88,$BA$205^A8,IF(A8='Données projet'!$A$88,'Données projet'!$B$88,BD7+BC8-BL7)))</f>
        <v>2.5457298950218314</v>
      </c>
      <c r="BE8" s="13">
        <f>BD8*VLOOKUP('Données projet'!$B$11,Paramètres!$A$1:$I$89,3,0)*VLOOKUP('Données projet'!$B$11,Paramètres!$A$1:$I$89,5,0)</f>
        <v>2.3033764090157529</v>
      </c>
      <c r="BF8" s="13">
        <f t="shared" si="37"/>
        <v>0.96324708482559218</v>
      </c>
      <c r="BG8" s="20">
        <f t="shared" si="7"/>
        <v>5.6893692517736758</v>
      </c>
      <c r="BH8" s="59">
        <f t="shared" si="8"/>
        <v>233.19272047099267</v>
      </c>
      <c r="BI8" s="59">
        <f ca="1">AVERAGE(OFFSET($BH$3,0,0,'Données projet'!$E$11+1,1))-AVERAGE(OFFSET($H$3,0,0,'Données projet'!$E$11+1,1))</f>
        <v>388.12494342575195</v>
      </c>
      <c r="BJ8" s="59">
        <f t="shared" si="38"/>
        <v>239.39471445648454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60.379701847665785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2.1</v>
      </c>
      <c r="BY8" s="12">
        <f>IF('Données projet'!$A$114&gt;35,BY7+BX8-CG7,IF(A8&lt;'Données projet'!$A$114,$BV$205^A8,IF(A8='Données projet'!$A$114,'Données projet'!$B$114,BY7+BX8-CG7)))</f>
        <v>2.5457298950218314</v>
      </c>
      <c r="BZ8" s="13">
        <f>BY8*VLOOKUP('Données projet'!$B$12,Paramètres!$A$1:$I$89,3,0)*VLOOKUP('Données projet'!$B$12,Paramètres!$A$1:$I$89,5,0)</f>
        <v>2.5813701135521372</v>
      </c>
      <c r="CA8" s="13">
        <f t="shared" si="39"/>
        <v>1.0652780295337991</v>
      </c>
      <c r="CB8" s="20">
        <f t="shared" si="10"/>
        <v>6.3512455158746723</v>
      </c>
      <c r="CC8" s="59">
        <f t="shared" si="11"/>
        <v>233.85459673509365</v>
      </c>
      <c r="CD8" s="59">
        <f ca="1">AVERAGE(OFFSET($CC$3,0,0,'Données projet'!$E$12+1,1))-AVERAGE(OFFSET($H$3,0,0,'Données projet'!$E$12+1,1))</f>
        <v>428.33148932885132</v>
      </c>
      <c r="CE8" s="59">
        <f t="shared" si="40"/>
        <v>262.27548054534373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60.379701847665785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1.2</v>
      </c>
      <c r="CT8" s="12">
        <f>IF('Données projet'!$A$140&gt;35,CT7+CS8-DB7,IF(A8&lt;'Données projet'!$A$140,$CQ$205^A8,IF(A8='Données projet'!$A$140,'Données projet'!$B$140,CT7+CS8-DB7)))</f>
        <v>1.9743504858348202</v>
      </c>
      <c r="CU8" s="17">
        <f>CT8*VLOOKUP('Données projet'!$B$13,Paramètres!$A$1:$I$89,3,0)*VLOOKUP('Données projet'!$B$13,Paramètres!$A$1:$I$89,5,0)</f>
        <v>1.878791922320415</v>
      </c>
      <c r="CV8" s="13">
        <f t="shared" si="41"/>
        <v>0.8045467231351765</v>
      </c>
      <c r="CW8" s="20">
        <f t="shared" si="13"/>
        <v>4.6734814741684882</v>
      </c>
      <c r="CX8" s="59">
        <f t="shared" si="14"/>
        <v>232.17683269338747</v>
      </c>
      <c r="CY8" s="59">
        <f ca="1">AVERAGE(OFFSET($CX$3,0,0,'Données projet'!$E$13+1,1))-AVERAGE(OFFSET($H$3,0,0,'Données projet'!$E$13+1,1))</f>
        <v>307.62549820830162</v>
      </c>
      <c r="CZ8" s="59">
        <f t="shared" si="42"/>
        <v>160.26466014910304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60.379701847665785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2.4666666666666668</v>
      </c>
      <c r="DO8" s="12">
        <f>IF('Données projet'!$A$166&gt;35,DO7+DN8-DW7,IF(A8&lt;'Données projet'!$A$166,$DL$205^A8,IF(A8='Données projet'!$A$166,'Données projet'!$B$166,DO7+DN8-DW7)))</f>
        <v>3.332221851645953</v>
      </c>
      <c r="DP8" s="17">
        <f>DO8*VLOOKUP('Données projet'!$B$14,Paramètres!$A$1:$I$89,3,0)*VLOOKUP('Données projet'!$B$14,Paramètres!$A$1:$I$89,5,0)</f>
        <v>2.6511157051695204</v>
      </c>
      <c r="DQ8" s="13">
        <f t="shared" si="43"/>
        <v>1.0906707059957799</v>
      </c>
      <c r="DR8" s="20">
        <f t="shared" si="16"/>
        <v>6.5169446661128978</v>
      </c>
      <c r="DS8" s="59">
        <f t="shared" si="17"/>
        <v>234.02029588533188</v>
      </c>
      <c r="DT8" s="59">
        <f ca="1">AVERAGE(OFFSET($DS$3,0,0,'Données projet'!$E$14+1,1))-AVERAGE(OFFSET($H$3,0,0,'Données projet'!$E$14+1,1))</f>
        <v>309.14579005132464</v>
      </c>
      <c r="DU8" s="59">
        <f t="shared" si="44"/>
        <v>300.60311050289533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60.379701847665785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1.1000000000000001</v>
      </c>
      <c r="EJ8" s="12">
        <f>IF('Données projet'!$A$192&gt;35,EJ7+EI8-ER7,IF(A8&lt;'Données projet'!$A$192,$EG$205^A8,IF(A8='Données projet'!$A$192,'Données projet'!$B$192,EJ7+EI8-ER7)))</f>
        <v>3.3166247903554016</v>
      </c>
      <c r="EK8" s="17">
        <f>EJ8*VLOOKUP('Données projet'!$B$15,Paramètres!$A$1:$I$89,3,0)*VLOOKUP('Données projet'!$B$15,Paramètres!$A$1:$I$89,5,0)</f>
        <v>2.4317492962885807</v>
      </c>
      <c r="EL8" s="13">
        <f t="shared" si="45"/>
        <v>1.010531639108154</v>
      </c>
      <c r="EM8" s="20">
        <f t="shared" si="19"/>
        <v>5.9953059624826457</v>
      </c>
      <c r="EN8" s="59">
        <f t="shared" si="20"/>
        <v>233.49865718170162</v>
      </c>
      <c r="EO8" s="59">
        <f ca="1">AVERAGE(OFFSET($EN$3,0,0,'Données projet'!$E$15+1,1))-AVERAGE(OFFSET($H$3,0,0,'Données projet'!$E$15+1,1))</f>
        <v>338.59243085476896</v>
      </c>
      <c r="EP8" s="59">
        <f t="shared" si="46"/>
        <v>329.8393445823275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60.379701847665785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1.1000000000000001</v>
      </c>
      <c r="FE8" s="12">
        <f>IF('Données projet'!$A$218&gt;35,FE7+FD8-FM7,IF(A8&lt;'Données projet'!$A$218,$FB$205^A8,IF(A8='Données projet'!$A$218,'Données projet'!$B$218,FE7+FD8-FM7)))</f>
        <v>3.3166247903554016</v>
      </c>
      <c r="FF8" s="17">
        <f>FE8*VLOOKUP('Données projet'!$B$16,Paramètres!$A$1:$I$89,3,0)*VLOOKUP('Données projet'!$B$16,Paramètres!$A$1:$I$89,5,0)</f>
        <v>2.173052562640859</v>
      </c>
      <c r="FG8" s="13">
        <f t="shared" si="47"/>
        <v>0.91492884804015795</v>
      </c>
      <c r="FH8" s="20">
        <f t="shared" si="22"/>
        <v>5.3782342902694369</v>
      </c>
      <c r="FI8" s="59">
        <f t="shared" si="23"/>
        <v>232.88158550948842</v>
      </c>
      <c r="FJ8" s="59">
        <f ca="1">AVERAGE(OFFSET($FI$3,0,0,'Données projet'!$E$16+1,1))-AVERAGE(OFFSET($H$3,0,0,'Données projet'!$E$16+1,1))</f>
        <v>307.50573770128085</v>
      </c>
      <c r="FK8" s="59">
        <f t="shared" si="48"/>
        <v>300.2007312562655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60.379701847665785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1.1000000000000001</v>
      </c>
      <c r="FZ8" s="12">
        <f>IF('Données projet'!$A$244&gt;35,FZ7+FY8-GH7,IF(A8&lt;'Données projet'!$A$244,$FW$205^A8,IF(A8='Données projet'!$A$244,'Données projet'!$B$244,FZ7+FY8-GH7)))</f>
        <v>3.3166247903554016</v>
      </c>
      <c r="GA8" s="17">
        <f>FZ8*VLOOKUP('Données projet'!$B$17,Paramètres!$A$1:$I$89,3,0)*VLOOKUP('Données projet'!$B$17,Paramètres!$A$1:$I$89,5,0)</f>
        <v>2.690446029936302</v>
      </c>
      <c r="GB8" s="13">
        <f t="shared" si="49"/>
        <v>1.1049555374832079</v>
      </c>
      <c r="GC8" s="20">
        <f t="shared" si="25"/>
        <v>6.6103243965889789</v>
      </c>
      <c r="GD8" s="59">
        <f t="shared" si="26"/>
        <v>234.11367561580795</v>
      </c>
      <c r="GE8" s="59">
        <f ca="1">AVERAGE(OFFSET($GD$3,0,0,'Données projet'!$E$17+1,1))-AVERAGE(OFFSET($H$3,0,0,'Données projet'!$E$17+1,1))</f>
        <v>369.60865427618342</v>
      </c>
      <c r="GF8" s="59">
        <f t="shared" si="50"/>
        <v>359.40898775279197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60.379701847665785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2.4666666666666668</v>
      </c>
      <c r="GU8" s="12">
        <f>IF('Données projet'!$A$270&gt;35,GU7+GT8-HC7,IF(A8&lt;'Données projet'!$A$270,$GR$205^A8,IF(A8='Données projet'!$A$270,'Données projet'!$B$270,GU7+GT8-HC7)))</f>
        <v>3.332221851645953</v>
      </c>
      <c r="GV8" s="17">
        <f>GU8*VLOOKUP('Données projet'!$B$18,Paramètres!$A$1:$I$89,3,0)*VLOOKUP('Données projet'!$B$18,Paramètres!$A$1:$I$89,5,0)</f>
        <v>2.1832717571984284</v>
      </c>
      <c r="GW8" s="13">
        <f t="shared" si="51"/>
        <v>0.91872961105241191</v>
      </c>
      <c r="GX8" s="20">
        <f t="shared" si="28"/>
        <v>5.4026523830368793</v>
      </c>
      <c r="GY8" s="59">
        <f t="shared" si="29"/>
        <v>232.90600360225585</v>
      </c>
      <c r="GZ8" s="59">
        <f ca="1">AVERAGE(OFFSET($GY$3,0,0,'Données projet'!$E$18+1,1))-AVERAGE(OFFSET($H$3,0,0,'Données projet'!$E$18+1,1))</f>
        <v>262.62914256200031</v>
      </c>
      <c r="HA8" s="59">
        <f t="shared" si="52"/>
        <v>256.45129229594409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2.1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7.7</v>
      </c>
      <c r="H9" s="67">
        <f t="shared" si="1"/>
        <v>225.86666666666665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60.5465925128442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3.04</v>
      </c>
      <c r="N9" s="13">
        <f>IF('Données projet'!$A$36&gt;35,N8+M9-V8,IF(A9&lt;'Données projet'!$A$36,$K$205^A9,IF(A9='Données projet'!$A$36,'Données projet'!$B$36,N8+M9-V8)))</f>
        <v>2.8274521383528786</v>
      </c>
      <c r="O9" s="13">
        <f>N9*VLOOKUP('Données projet'!$B$9,Paramètres!$A$1:$I$89,3,0)*VLOOKUP('Données projet'!$B$9,Paramètres!$A$1:$I$89,5,0)</f>
        <v>2.42595393470677</v>
      </c>
      <c r="P9" s="13">
        <f t="shared" si="33"/>
        <v>1.008403364574364</v>
      </c>
      <c r="Q9" s="20">
        <f t="shared" si="2"/>
        <v>5.9815056295813074</v>
      </c>
      <c r="R9" s="59">
        <f t="shared" si="0"/>
        <v>235.31901151001003</v>
      </c>
      <c r="S9" s="59">
        <f ca="1">AVERAGE(OFFSET($R$3,0,0,'Données projet'!$E$9+1,1))-AVERAGE(OFFSET($H$3,0,0,'Données projet'!$E$9+1,1))</f>
        <v>476.79071915271794</v>
      </c>
      <c r="T9" s="59">
        <f t="shared" si="34"/>
        <v>264.79929759351762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60.5465925128442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2.1</v>
      </c>
      <c r="AI9" s="13">
        <f>IF('Données projet'!$A$62&gt;35,AI8+AH9-AQ8,IF(A9&lt;'Données projet'!$A$62,$AF$205^A9,IF(A9='Données projet'!$A$62,'Données projet'!$B$62,AI8+AH9-AQ8)))</f>
        <v>3.0688438220956993</v>
      </c>
      <c r="AJ9" s="13">
        <f>AI9*VLOOKUP('Données projet'!$B$10,Paramètres!$A$1:$I$89,3,0)*VLOOKUP('Données projet'!$B$10,Paramètres!$A$1:$I$89,5,0)</f>
        <v>2.5851940357334171</v>
      </c>
      <c r="AK9" s="13">
        <f t="shared" si="35"/>
        <v>1.0666722775067177</v>
      </c>
      <c r="AL9" s="20">
        <f t="shared" si="4"/>
        <v>6.3603338288932347</v>
      </c>
      <c r="AM9" s="59">
        <f t="shared" si="5"/>
        <v>235.69783970932195</v>
      </c>
      <c r="AN9" s="59">
        <f ca="1">AVERAGE(OFFSET($AM$3,0,0,'Données projet'!$E$10+1,1))-AVERAGE(OFFSET($H$3,0,0,'Données projet'!$E$10+1,1))</f>
        <v>365.104658862176</v>
      </c>
      <c r="AO9" s="59">
        <f t="shared" si="36"/>
        <v>226.29232910286325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60.5465925128442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2.1</v>
      </c>
      <c r="BD9" s="12">
        <f>IF('Données projet'!$A$88&gt;35,BD8+BC9-BL8,IF(A9&lt;'Données projet'!$A$88,$BA$205^A9,IF(A9='Données projet'!$A$88,'Données projet'!$B$88,BD8+BC9-BL8)))</f>
        <v>3.0688438220956993</v>
      </c>
      <c r="BE9" s="13">
        <f>BD9*VLOOKUP('Données projet'!$B$11,Paramètres!$A$1:$I$89,3,0)*VLOOKUP('Données projet'!$B$11,Paramètres!$A$1:$I$89,5,0)</f>
        <v>2.7766898902321886</v>
      </c>
      <c r="BF9" s="13">
        <f t="shared" si="37"/>
        <v>1.1361949561012803</v>
      </c>
      <c r="BG9" s="20">
        <f t="shared" si="7"/>
        <v>6.8149411073641248</v>
      </c>
      <c r="BH9" s="59">
        <f t="shared" si="8"/>
        <v>236.15244698779284</v>
      </c>
      <c r="BI9" s="59">
        <f ca="1">AVERAGE(OFFSET($BH$3,0,0,'Données projet'!$E$11+1,1))-AVERAGE(OFFSET($H$3,0,0,'Données projet'!$E$11+1,1))</f>
        <v>388.12494342575195</v>
      </c>
      <c r="BJ9" s="59">
        <f t="shared" si="38"/>
        <v>239.39471445648454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60.5465925128442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2.1</v>
      </c>
      <c r="BY9" s="12">
        <f>IF('Données projet'!$A$114&gt;35,BY8+BX9-CG8,IF(A9&lt;'Données projet'!$A$114,$BV$205^A9,IF(A9='Données projet'!$A$114,'Données projet'!$B$114,BY8+BX9-CG8)))</f>
        <v>3.0688438220956993</v>
      </c>
      <c r="BZ9" s="13">
        <f>BY9*VLOOKUP('Données projet'!$B$12,Paramètres!$A$1:$I$89,3,0)*VLOOKUP('Données projet'!$B$12,Paramètres!$A$1:$I$89,5,0)</f>
        <v>3.111807635605039</v>
      </c>
      <c r="CA9" s="13">
        <f t="shared" si="39"/>
        <v>1.2565452240335246</v>
      </c>
      <c r="CB9" s="20">
        <f t="shared" si="10"/>
        <v>7.6082145638704972</v>
      </c>
      <c r="CC9" s="59">
        <f t="shared" si="11"/>
        <v>236.94572044429921</v>
      </c>
      <c r="CD9" s="59">
        <f ca="1">AVERAGE(OFFSET($CC$3,0,0,'Données projet'!$E$12+1,1))-AVERAGE(OFFSET($H$3,0,0,'Données projet'!$E$12+1,1))</f>
        <v>428.33148932885132</v>
      </c>
      <c r="CE9" s="59">
        <f t="shared" si="40"/>
        <v>262.27548054534373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60.5465925128442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1.2</v>
      </c>
      <c r="CT9" s="12">
        <f>IF('Données projet'!$A$140&gt;35,CT8+CS9-DB8,IF(A9&lt;'Données projet'!$A$140,$CQ$205^A9,IF(A9='Données projet'!$A$140,'Données projet'!$B$140,CT8+CS9-DB8)))</f>
        <v>2.2620859438457455</v>
      </c>
      <c r="CU9" s="17">
        <f>CT9*VLOOKUP('Données projet'!$B$13,Paramètres!$A$1:$I$89,3,0)*VLOOKUP('Données projet'!$B$13,Paramètres!$A$1:$I$89,5,0)</f>
        <v>2.1526009841636116</v>
      </c>
      <c r="CV9" s="13">
        <f t="shared" si="41"/>
        <v>0.90731615558427703</v>
      </c>
      <c r="CW9" s="20">
        <f t="shared" si="13"/>
        <v>5.3293556850609054</v>
      </c>
      <c r="CX9" s="59">
        <f t="shared" si="14"/>
        <v>234.66686156548963</v>
      </c>
      <c r="CY9" s="59">
        <f ca="1">AVERAGE(OFFSET($CX$3,0,0,'Données projet'!$E$13+1,1))-AVERAGE(OFFSET($H$3,0,0,'Données projet'!$E$13+1,1))</f>
        <v>307.62549820830162</v>
      </c>
      <c r="CZ9" s="59">
        <f t="shared" si="42"/>
        <v>160.26466014910304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60.5465925128442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2.4666666666666668</v>
      </c>
      <c r="DO9" s="12">
        <f>IF('Données projet'!$A$166&gt;35,DO8+DN9-DW8,IF(A9&lt;'Données projet'!$A$166,$DL$205^A9,IF(A9='Données projet'!$A$166,'Données projet'!$B$166,DO8+DN9-DW8)))</f>
        <v>4.2391685997738069</v>
      </c>
      <c r="DP9" s="17">
        <f>DO9*VLOOKUP('Données projet'!$B$14,Paramètres!$A$1:$I$89,3,0)*VLOOKUP('Données projet'!$B$14,Paramètres!$A$1:$I$89,5,0)</f>
        <v>3.3726825379800407</v>
      </c>
      <c r="DQ9" s="13">
        <f t="shared" si="43"/>
        <v>1.3491840083541735</v>
      </c>
      <c r="DR9" s="20">
        <f t="shared" si="16"/>
        <v>8.2239175681987557</v>
      </c>
      <c r="DS9" s="59">
        <f t="shared" si="17"/>
        <v>237.56142344862747</v>
      </c>
      <c r="DT9" s="59">
        <f ca="1">AVERAGE(OFFSET($DS$3,0,0,'Données projet'!$E$14+1,1))-AVERAGE(OFFSET($H$3,0,0,'Données projet'!$E$14+1,1))</f>
        <v>309.14579005132464</v>
      </c>
      <c r="DU9" s="59">
        <f t="shared" si="44"/>
        <v>300.60311050289533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60.5465925128442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1.1000000000000001</v>
      </c>
      <c r="EJ9" s="12">
        <f>IF('Données projet'!$A$192&gt;35,EJ8+EI9-ER8,IF(A9&lt;'Données projet'!$A$192,$EG$205^A9,IF(A9='Données projet'!$A$192,'Données projet'!$B$192,EJ8+EI9-ER8)))</f>
        <v>4.2153691330919028</v>
      </c>
      <c r="EK9" s="17">
        <f>EJ9*VLOOKUP('Données projet'!$B$15,Paramètres!$A$1:$I$89,3,0)*VLOOKUP('Données projet'!$B$15,Paramètres!$A$1:$I$89,5,0)</f>
        <v>3.0907086483829831</v>
      </c>
      <c r="EL9" s="13">
        <f t="shared" si="45"/>
        <v>1.2490141923201104</v>
      </c>
      <c r="EM9" s="20">
        <f t="shared" si="19"/>
        <v>7.5583506142245538</v>
      </c>
      <c r="EN9" s="59">
        <f t="shared" si="20"/>
        <v>236.89585649465329</v>
      </c>
      <c r="EO9" s="59">
        <f ca="1">AVERAGE(OFFSET($EN$3,0,0,'Données projet'!$E$15+1,1))-AVERAGE(OFFSET($H$3,0,0,'Données projet'!$E$15+1,1))</f>
        <v>338.59243085476896</v>
      </c>
      <c r="EP9" s="59">
        <f t="shared" si="46"/>
        <v>329.8393445823275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60.5465925128442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1.1000000000000001</v>
      </c>
      <c r="FE9" s="12">
        <f>IF('Données projet'!$A$218&gt;35,FE8+FD9-FM8,IF(A9&lt;'Données projet'!$A$218,$FB$205^A9,IF(A9='Données projet'!$A$218,'Données projet'!$B$218,FE8+FD9-FM8)))</f>
        <v>4.2153691330919028</v>
      </c>
      <c r="FF9" s="17">
        <f>FE9*VLOOKUP('Données projet'!$B$16,Paramètres!$A$1:$I$89,3,0)*VLOOKUP('Données projet'!$B$16,Paramètres!$A$1:$I$89,5,0)</f>
        <v>2.7619098560018145</v>
      </c>
      <c r="FG9" s="13">
        <f t="shared" si="47"/>
        <v>1.1308494182070246</v>
      </c>
      <c r="FH9" s="20">
        <f t="shared" si="22"/>
        <v>6.7798890692470613</v>
      </c>
      <c r="FI9" s="59">
        <f t="shared" si="23"/>
        <v>236.11739494967577</v>
      </c>
      <c r="FJ9" s="59">
        <f ca="1">AVERAGE(OFFSET($FI$3,0,0,'Données projet'!$E$16+1,1))-AVERAGE(OFFSET($H$3,0,0,'Données projet'!$E$16+1,1))</f>
        <v>307.50573770128085</v>
      </c>
      <c r="FK9" s="59">
        <f t="shared" si="48"/>
        <v>300.2007312562655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60.5465925128442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1.1000000000000001</v>
      </c>
      <c r="FZ9" s="12">
        <f>IF('Données projet'!$A$244&gt;35,FZ8+FY9-GH8,IF(A9&lt;'Données projet'!$A$244,$FW$205^A9,IF(A9='Données projet'!$A$244,'Données projet'!$B$244,FZ8+FY9-GH8)))</f>
        <v>4.2153691330919028</v>
      </c>
      <c r="GA9" s="17">
        <f>FZ9*VLOOKUP('Données projet'!$B$17,Paramètres!$A$1:$I$89,3,0)*VLOOKUP('Données projet'!$B$17,Paramètres!$A$1:$I$89,5,0)</f>
        <v>3.4195074407641517</v>
      </c>
      <c r="GB9" s="13">
        <f t="shared" si="49"/>
        <v>1.3657218584637647</v>
      </c>
      <c r="GC9" s="20">
        <f t="shared" si="25"/>
        <v>8.3342743628219527</v>
      </c>
      <c r="GD9" s="59">
        <f t="shared" si="26"/>
        <v>237.67178024325068</v>
      </c>
      <c r="GE9" s="59">
        <f ca="1">AVERAGE(OFFSET($GD$3,0,0,'Données projet'!$E$17+1,1))-AVERAGE(OFFSET($H$3,0,0,'Données projet'!$E$17+1,1))</f>
        <v>369.60865427618342</v>
      </c>
      <c r="GF9" s="59">
        <f t="shared" si="50"/>
        <v>359.40898775279197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60.5465925128442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2.4666666666666668</v>
      </c>
      <c r="GU9" s="12">
        <f>IF('Données projet'!$A$270&gt;35,GU8+GT9-HC8,IF(A9&lt;'Données projet'!$A$270,$GR$205^A9,IF(A9='Données projet'!$A$270,'Données projet'!$B$270,GU8+GT9-HC8)))</f>
        <v>4.2391685997738069</v>
      </c>
      <c r="GV9" s="17">
        <f>GU9*VLOOKUP('Données projet'!$B$18,Paramètres!$A$1:$I$89,3,0)*VLOOKUP('Données projet'!$B$18,Paramètres!$A$1:$I$89,5,0)</f>
        <v>2.7775032665717982</v>
      </c>
      <c r="GW9" s="13">
        <f t="shared" si="51"/>
        <v>1.1364890359842124</v>
      </c>
      <c r="GX9" s="20">
        <f t="shared" si="28"/>
        <v>6.8168699269517186</v>
      </c>
      <c r="GY9" s="59">
        <f t="shared" si="29"/>
        <v>236.15437580738043</v>
      </c>
      <c r="GZ9" s="59">
        <f ca="1">AVERAGE(OFFSET($GY$3,0,0,'Données projet'!$E$18+1,1))-AVERAGE(OFFSET($H$3,0,0,'Données projet'!$E$18+1,1))</f>
        <v>262.62914256200031</v>
      </c>
      <c r="HA9" s="59">
        <f t="shared" si="52"/>
        <v>256.45129229594409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2.1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7.7</v>
      </c>
      <c r="H10" s="67">
        <f t="shared" si="1"/>
        <v>225.86666666666665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60.710587998093416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3.04</v>
      </c>
      <c r="N10" s="13">
        <f>IF('Données projet'!$A$36&gt;35,N9+M10-V9,IF(A10&lt;'Données projet'!$A$36,$K$205^A10,IF(A10='Données projet'!$A$36,'Données projet'!$B$36,N9+M10-V9)))</f>
        <v>3.3622329956608237</v>
      </c>
      <c r="O10" s="13">
        <f>N10*VLOOKUP('Données projet'!$B$9,Paramètres!$A$1:$I$89,3,0)*VLOOKUP('Données projet'!$B$9,Paramètres!$A$1:$I$89,5,0)</f>
        <v>2.8847959102769871</v>
      </c>
      <c r="P10" s="13">
        <f t="shared" si="33"/>
        <v>1.1751945308375598</v>
      </c>
      <c r="Q10" s="20">
        <f t="shared" si="2"/>
        <v>7.0711500182745013</v>
      </c>
      <c r="R10" s="59">
        <f t="shared" si="0"/>
        <v>238.23219490017257</v>
      </c>
      <c r="S10" s="59">
        <f ca="1">AVERAGE(OFFSET($R$3,0,0,'Données projet'!$E$9+1,1))-AVERAGE(OFFSET($H$3,0,0,'Données projet'!$E$9+1,1))</f>
        <v>476.79071915271794</v>
      </c>
      <c r="T10" s="59">
        <f t="shared" si="34"/>
        <v>264.79929759351762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60.710587998093416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2.1</v>
      </c>
      <c r="AI10" s="13">
        <f>IF('Données projet'!$A$62&gt;35,AI9+AH10-AQ9,IF(A10&lt;'Données projet'!$A$62,$AF$205^A10,IF(A10='Données projet'!$A$62,'Données projet'!$B$62,AI9+AH10-AQ9)))</f>
        <v>3.6994507637402658</v>
      </c>
      <c r="AJ10" s="13">
        <f>AI10*VLOOKUP('Données projet'!$B$10,Paramètres!$A$1:$I$89,3,0)*VLOOKUP('Données projet'!$B$10,Paramètres!$A$1:$I$89,5,0)</f>
        <v>3.1164173233748005</v>
      </c>
      <c r="AK10" s="13">
        <f t="shared" si="35"/>
        <v>1.2581898046809412</v>
      </c>
      <c r="AL10" s="20">
        <f t="shared" si="4"/>
        <v>7.6191074146970825</v>
      </c>
      <c r="AM10" s="59">
        <f t="shared" si="5"/>
        <v>238.78015229659516</v>
      </c>
      <c r="AN10" s="59">
        <f ca="1">AVERAGE(OFFSET($AM$3,0,0,'Données projet'!$E$10+1,1))-AVERAGE(OFFSET($H$3,0,0,'Données projet'!$E$10+1,1))</f>
        <v>365.104658862176</v>
      </c>
      <c r="AO10" s="59">
        <f t="shared" si="36"/>
        <v>226.29232910286325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60.710587998093416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2.1</v>
      </c>
      <c r="BD10" s="12">
        <f>IF('Données projet'!$A$88&gt;35,BD9+BC10-BL9,IF(A10&lt;'Données projet'!$A$88,$BA$205^A10,IF(A10='Données projet'!$A$88,'Données projet'!$B$88,BD9+BC10-BL9)))</f>
        <v>3.6994507637402658</v>
      </c>
      <c r="BE10" s="13">
        <f>BD10*VLOOKUP('Données projet'!$B$11,Paramètres!$A$1:$I$89,3,0)*VLOOKUP('Données projet'!$B$11,Paramètres!$A$1:$I$89,5,0)</f>
        <v>3.3472630510321921</v>
      </c>
      <c r="BF10" s="13">
        <f t="shared" si="37"/>
        <v>1.34019505338418</v>
      </c>
      <c r="BG10" s="20">
        <f t="shared" si="7"/>
        <v>8.1639895318585136</v>
      </c>
      <c r="BH10" s="59">
        <f t="shared" si="8"/>
        <v>239.32503441375658</v>
      </c>
      <c r="BI10" s="59">
        <f ca="1">AVERAGE(OFFSET($BH$3,0,0,'Données projet'!$E$11+1,1))-AVERAGE(OFFSET($H$3,0,0,'Données projet'!$E$11+1,1))</f>
        <v>388.12494342575195</v>
      </c>
      <c r="BJ10" s="59">
        <f t="shared" si="38"/>
        <v>239.39471445648454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60.710587998093416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2.1</v>
      </c>
      <c r="BY10" s="12">
        <f>IF('Données projet'!$A$114&gt;35,BY9+BX10-CG9,IF(A10&lt;'Données projet'!$A$114,$BV$205^A10,IF(A10='Données projet'!$A$114,'Données projet'!$B$114,BY9+BX10-CG9)))</f>
        <v>3.6994507637402658</v>
      </c>
      <c r="BZ10" s="13">
        <f>BY10*VLOOKUP('Données projet'!$B$12,Paramètres!$A$1:$I$89,3,0)*VLOOKUP('Données projet'!$B$12,Paramètres!$A$1:$I$89,5,0)</f>
        <v>3.7512430744326299</v>
      </c>
      <c r="CA10" s="13">
        <f t="shared" si="39"/>
        <v>1.4821538192545303</v>
      </c>
      <c r="CB10" s="20">
        <f t="shared" si="10"/>
        <v>9.1148329231718037</v>
      </c>
      <c r="CC10" s="59">
        <f t="shared" si="11"/>
        <v>240.27587780506988</v>
      </c>
      <c r="CD10" s="59">
        <f ca="1">AVERAGE(OFFSET($CC$3,0,0,'Données projet'!$E$12+1,1))-AVERAGE(OFFSET($H$3,0,0,'Données projet'!$E$12+1,1))</f>
        <v>428.33148932885132</v>
      </c>
      <c r="CE10" s="59">
        <f t="shared" si="40"/>
        <v>262.27548054534373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60.710587998093416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1.2</v>
      </c>
      <c r="CT10" s="12">
        <f>IF('Données projet'!$A$140&gt;35,CT9+CS10-DB9,IF(A10&lt;'Données projet'!$A$140,$CQ$205^A10,IF(A10='Données projet'!$A$140,'Données projet'!$B$140,CT9+CS10-DB9)))</f>
        <v>2.5917550374450604</v>
      </c>
      <c r="CU10" s="17">
        <f>CT10*VLOOKUP('Données projet'!$B$13,Paramètres!$A$1:$I$89,3,0)*VLOOKUP('Données projet'!$B$13,Paramètres!$A$1:$I$89,5,0)</f>
        <v>2.4663140936327195</v>
      </c>
      <c r="CV10" s="13">
        <f t="shared" si="41"/>
        <v>1.0232129253802424</v>
      </c>
      <c r="CW10" s="20">
        <f t="shared" si="13"/>
        <v>6.0775928914475736</v>
      </c>
      <c r="CX10" s="59">
        <f t="shared" si="14"/>
        <v>237.23863777334566</v>
      </c>
      <c r="CY10" s="59">
        <f ca="1">AVERAGE(OFFSET($CX$3,0,0,'Données projet'!$E$13+1,1))-AVERAGE(OFFSET($H$3,0,0,'Données projet'!$E$13+1,1))</f>
        <v>307.62549820830162</v>
      </c>
      <c r="CZ10" s="59">
        <f t="shared" si="42"/>
        <v>160.26466014910304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60.710587998093416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2.4666666666666668</v>
      </c>
      <c r="DO10" s="12">
        <f>IF('Données projet'!$A$166&gt;35,DO9+DN10-DW9,IF(A10&lt;'Données projet'!$A$166,$DL$205^A10,IF(A10='Données projet'!$A$166,'Données projet'!$B$166,DO9+DN10-DW9)))</f>
        <v>5.3929633792034757</v>
      </c>
      <c r="DP10" s="17">
        <f>DO10*VLOOKUP('Données projet'!$B$14,Paramètres!$A$1:$I$89,3,0)*VLOOKUP('Données projet'!$B$14,Paramètres!$A$1:$I$89,5,0)</f>
        <v>4.2906416644942853</v>
      </c>
      <c r="DQ10" s="13">
        <f t="shared" si="43"/>
        <v>1.6689707336887791</v>
      </c>
      <c r="DR10" s="20">
        <f t="shared" si="16"/>
        <v>10.379658260168837</v>
      </c>
      <c r="DS10" s="59">
        <f t="shared" si="17"/>
        <v>241.54070314206692</v>
      </c>
      <c r="DT10" s="59">
        <f ca="1">AVERAGE(OFFSET($DS$3,0,0,'Données projet'!$E$14+1,1))-AVERAGE(OFFSET($H$3,0,0,'Données projet'!$E$14+1,1))</f>
        <v>309.14579005132464</v>
      </c>
      <c r="DU10" s="59">
        <f t="shared" si="44"/>
        <v>300.60311050289533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60.710587998093416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1.1000000000000001</v>
      </c>
      <c r="EJ10" s="12">
        <f>IF('Données projet'!$A$192&gt;35,EJ9+EI10-ER9,IF(A10&lt;'Données projet'!$A$192,$EG$205^A10,IF(A10='Données projet'!$A$192,'Données projet'!$B$192,EJ9+EI10-ER9)))</f>
        <v>5.3576566694841175</v>
      </c>
      <c r="EK10" s="17">
        <f>EJ10*VLOOKUP('Données projet'!$B$15,Paramètres!$A$1:$I$89,3,0)*VLOOKUP('Données projet'!$B$15,Paramètres!$A$1:$I$89,5,0)</f>
        <v>3.9282338700657551</v>
      </c>
      <c r="EL10" s="13">
        <f t="shared" si="45"/>
        <v>1.5437779404847436</v>
      </c>
      <c r="EM10" s="20">
        <f t="shared" si="19"/>
        <v>9.5304205700421178</v>
      </c>
      <c r="EN10" s="59">
        <f t="shared" si="20"/>
        <v>240.69146545194019</v>
      </c>
      <c r="EO10" s="59">
        <f ca="1">AVERAGE(OFFSET($EN$3,0,0,'Données projet'!$E$15+1,1))-AVERAGE(OFFSET($H$3,0,0,'Données projet'!$E$15+1,1))</f>
        <v>338.59243085476896</v>
      </c>
      <c r="EP10" s="59">
        <f t="shared" si="46"/>
        <v>329.8393445823275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60.710587998093416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1.1000000000000001</v>
      </c>
      <c r="FE10" s="12">
        <f>IF('Données projet'!$A$218&gt;35,FE9+FD10-FM9,IF(A10&lt;'Données projet'!$A$218,$FB$205^A10,IF(A10='Données projet'!$A$218,'Données projet'!$B$218,FE9+FD10-FM9)))</f>
        <v>5.3576566694841175</v>
      </c>
      <c r="FF10" s="17">
        <f>FE10*VLOOKUP('Données projet'!$B$16,Paramètres!$A$1:$I$89,3,0)*VLOOKUP('Données projet'!$B$16,Paramètres!$A$1:$I$89,5,0)</f>
        <v>3.510336649845994</v>
      </c>
      <c r="FG10" s="13">
        <f t="shared" si="47"/>
        <v>1.397726620379814</v>
      </c>
      <c r="FH10" s="20">
        <f t="shared" si="22"/>
        <v>8.5482101956432839</v>
      </c>
      <c r="FI10" s="59">
        <f t="shared" si="23"/>
        <v>239.70925507754137</v>
      </c>
      <c r="FJ10" s="59">
        <f ca="1">AVERAGE(OFFSET($FI$3,0,0,'Données projet'!$E$16+1,1))-AVERAGE(OFFSET($H$3,0,0,'Données projet'!$E$16+1,1))</f>
        <v>307.50573770128085</v>
      </c>
      <c r="FK10" s="59">
        <f t="shared" si="48"/>
        <v>300.2007312562655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60.710587998093416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1.1000000000000001</v>
      </c>
      <c r="FZ10" s="12">
        <f>IF('Données projet'!$A$244&gt;35,FZ9+FY10-GH9,IF(A10&lt;'Données projet'!$A$244,$FW$205^A10,IF(A10='Données projet'!$A$244,'Données projet'!$B$244,FZ9+FY10-GH9)))</f>
        <v>5.3576566694841175</v>
      </c>
      <c r="GA10" s="17">
        <f>FZ10*VLOOKUP('Données projet'!$B$17,Paramètres!$A$1:$I$89,3,0)*VLOOKUP('Données projet'!$B$17,Paramètres!$A$1:$I$89,5,0)</f>
        <v>4.3461310902855157</v>
      </c>
      <c r="GB10" s="13">
        <f t="shared" si="49"/>
        <v>1.6880282793406653</v>
      </c>
      <c r="GC10" s="20">
        <f t="shared" si="25"/>
        <v>10.509494235432264</v>
      </c>
      <c r="GD10" s="59">
        <f t="shared" si="26"/>
        <v>241.67053911733035</v>
      </c>
      <c r="GE10" s="59">
        <f ca="1">AVERAGE(OFFSET($GD$3,0,0,'Données projet'!$E$17+1,1))-AVERAGE(OFFSET($H$3,0,0,'Données projet'!$E$17+1,1))</f>
        <v>369.60865427618342</v>
      </c>
      <c r="GF10" s="59">
        <f t="shared" si="50"/>
        <v>359.40898775279197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60.710587998093416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2.4666666666666668</v>
      </c>
      <c r="GU10" s="12">
        <f>IF('Données projet'!$A$270&gt;35,GU9+GT10-HC9,IF(A10&lt;'Données projet'!$A$270,$GR$205^A10,IF(A10='Données projet'!$A$270,'Données projet'!$B$270,GU9+GT10-HC9)))</f>
        <v>5.3929633792034757</v>
      </c>
      <c r="GV10" s="17">
        <f>GU10*VLOOKUP('Données projet'!$B$18,Paramètres!$A$1:$I$89,3,0)*VLOOKUP('Données projet'!$B$18,Paramètres!$A$1:$I$89,5,0)</f>
        <v>3.5334696060541173</v>
      </c>
      <c r="GW10" s="13">
        <f t="shared" si="51"/>
        <v>1.4058623052682262</v>
      </c>
      <c r="GX10" s="20">
        <f t="shared" si="28"/>
        <v>8.6026697455530794</v>
      </c>
      <c r="GY10" s="59">
        <f t="shared" si="29"/>
        <v>239.76371462745115</v>
      </c>
      <c r="GZ10" s="59">
        <f ca="1">AVERAGE(OFFSET($GY$3,0,0,'Données projet'!$E$18+1,1))-AVERAGE(OFFSET($H$3,0,0,'Données projet'!$E$18+1,1))</f>
        <v>262.62914256200031</v>
      </c>
      <c r="HA10" s="59">
        <f t="shared" si="52"/>
        <v>256.45129229594409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2.1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7.7</v>
      </c>
      <c r="H11" s="67">
        <f t="shared" si="1"/>
        <v>225.86666666666665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60.871738528312534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3.04</v>
      </c>
      <c r="N11" s="13">
        <f>IF('Données projet'!$A$36&gt;35,N10+M11-V10,IF(A11&lt;'Données projet'!$A$36,$K$205^A11,IF(A11='Données projet'!$A$36,'Données projet'!$B$36,N10+M11-V10)))</f>
        <v>3.9981616536560769</v>
      </c>
      <c r="O11" s="13">
        <f>N11*VLOOKUP('Données projet'!$B$9,Paramètres!$A$1:$I$89,3,0)*VLOOKUP('Données projet'!$B$9,Paramètres!$A$1:$I$89,5,0)</f>
        <v>3.4304226988369146</v>
      </c>
      <c r="P11" s="13">
        <f t="shared" si="33"/>
        <v>1.3695731627129697</v>
      </c>
      <c r="Q11" s="20">
        <f t="shared" si="2"/>
        <v>8.3599927921993835</v>
      </c>
      <c r="R11" s="59">
        <f t="shared" si="0"/>
        <v>241.33414517378981</v>
      </c>
      <c r="S11" s="59">
        <f ca="1">AVERAGE(OFFSET($R$3,0,0,'Données projet'!$E$9+1,1))-AVERAGE(OFFSET($H$3,0,0,'Données projet'!$E$9+1,1))</f>
        <v>476.79071915271794</v>
      </c>
      <c r="T11" s="59">
        <f t="shared" si="34"/>
        <v>264.79929759351762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60.871738528312534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2.1</v>
      </c>
      <c r="AI11" s="13">
        <f>IF('Données projet'!$A$62&gt;35,AI10+AH11-AQ10,IF(A11&lt;'Données projet'!$A$62,$AF$205^A11,IF(A11='Données projet'!$A$62,'Données projet'!$B$62,AI10+AH11-AQ10)))</f>
        <v>4.4596391171162209</v>
      </c>
      <c r="AJ11" s="13">
        <f>AI11*VLOOKUP('Données projet'!$B$10,Paramètres!$A$1:$I$89,3,0)*VLOOKUP('Données projet'!$B$10,Paramètres!$A$1:$I$89,5,0)</f>
        <v>3.7567999922587045</v>
      </c>
      <c r="AK11" s="13">
        <f t="shared" si="35"/>
        <v>1.4840936789913857</v>
      </c>
      <c r="AL11" s="20">
        <f t="shared" si="4"/>
        <v>9.127889810760573</v>
      </c>
      <c r="AM11" s="59">
        <f t="shared" si="5"/>
        <v>242.10204219235098</v>
      </c>
      <c r="AN11" s="59">
        <f ca="1">AVERAGE(OFFSET($AM$3,0,0,'Données projet'!$E$10+1,1))-AVERAGE(OFFSET($H$3,0,0,'Données projet'!$E$10+1,1))</f>
        <v>365.104658862176</v>
      </c>
      <c r="AO11" s="59">
        <f t="shared" si="36"/>
        <v>226.29232910286325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60.871738528312534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2.1</v>
      </c>
      <c r="BD11" s="12">
        <f>IF('Données projet'!$A$88&gt;35,BD10+BC11-BL10,IF(A11&lt;'Données projet'!$A$88,$BA$205^A11,IF(A11='Données projet'!$A$88,'Données projet'!$B$88,BD10+BC11-BL10)))</f>
        <v>4.4596391171162209</v>
      </c>
      <c r="BE11" s="13">
        <f>BD11*VLOOKUP('Données projet'!$B$11,Paramètres!$A$1:$I$89,3,0)*VLOOKUP('Données projet'!$B$11,Paramètres!$A$1:$I$89,5,0)</f>
        <v>4.0350814731667564</v>
      </c>
      <c r="BF11" s="13">
        <f t="shared" si="37"/>
        <v>1.5808227025391921</v>
      </c>
      <c r="BG11" s="20">
        <f t="shared" si="7"/>
        <v>9.7810331060211926</v>
      </c>
      <c r="BH11" s="59">
        <f t="shared" si="8"/>
        <v>242.75518548761161</v>
      </c>
      <c r="BI11" s="59">
        <f ca="1">AVERAGE(OFFSET($BH$3,0,0,'Données projet'!$E$11+1,1))-AVERAGE(OFFSET($H$3,0,0,'Données projet'!$E$11+1,1))</f>
        <v>388.12494342575195</v>
      </c>
      <c r="BJ11" s="59">
        <f t="shared" si="38"/>
        <v>239.39471445648454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60.871738528312534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2.1</v>
      </c>
      <c r="BY11" s="12">
        <f>IF('Données projet'!$A$114&gt;35,BY10+BX11-CG10,IF(A11&lt;'Données projet'!$A$114,$BV$205^A11,IF(A11='Données projet'!$A$114,'Données projet'!$B$114,BY10+BX11-CG10)))</f>
        <v>4.4596391171162209</v>
      </c>
      <c r="BZ11" s="13">
        <f>BY11*VLOOKUP('Données projet'!$B$12,Paramètres!$A$1:$I$89,3,0)*VLOOKUP('Données projet'!$B$12,Paramètres!$A$1:$I$89,5,0)</f>
        <v>4.5220740647558486</v>
      </c>
      <c r="CA11" s="13">
        <f t="shared" si="39"/>
        <v>1.7482697016499746</v>
      </c>
      <c r="CB11" s="20">
        <f t="shared" si="10"/>
        <v>10.92084872649014</v>
      </c>
      <c r="CC11" s="59">
        <f t="shared" si="11"/>
        <v>243.89500110808055</v>
      </c>
      <c r="CD11" s="59">
        <f ca="1">AVERAGE(OFFSET($CC$3,0,0,'Données projet'!$E$12+1,1))-AVERAGE(OFFSET($H$3,0,0,'Données projet'!$E$12+1,1))</f>
        <v>428.33148932885132</v>
      </c>
      <c r="CE11" s="59">
        <f t="shared" si="40"/>
        <v>262.27548054534373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60.871738528312534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1.2</v>
      </c>
      <c r="CT11" s="12">
        <f>IF('Données projet'!$A$140&gt;35,CT10+CS11-DB10,IF(A11&lt;'Données projet'!$A$140,$CQ$205^A11,IF(A11='Données projet'!$A$140,'Données projet'!$B$140,CT10+CS11-DB10)))</f>
        <v>2.9694690391391689</v>
      </c>
      <c r="CU11" s="17">
        <f>CT11*VLOOKUP('Données projet'!$B$13,Paramètres!$A$1:$I$89,3,0)*VLOOKUP('Données projet'!$B$13,Paramètres!$A$1:$I$89,5,0)</f>
        <v>2.8257467376448333</v>
      </c>
      <c r="CV11" s="13">
        <f t="shared" si="41"/>
        <v>1.1539138636752129</v>
      </c>
      <c r="CW11" s="20">
        <f t="shared" si="13"/>
        <v>6.9312422139657466</v>
      </c>
      <c r="CX11" s="59">
        <f t="shared" si="14"/>
        <v>239.90539459555617</v>
      </c>
      <c r="CY11" s="59">
        <f ca="1">AVERAGE(OFFSET($CX$3,0,0,'Données projet'!$E$13+1,1))-AVERAGE(OFFSET($H$3,0,0,'Données projet'!$E$13+1,1))</f>
        <v>307.62549820830162</v>
      </c>
      <c r="CZ11" s="59">
        <f t="shared" si="42"/>
        <v>160.26466014910304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60.871738528312534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2.4666666666666668</v>
      </c>
      <c r="DO11" s="12">
        <f>IF('Données projet'!$A$166&gt;35,DO10+DN11-DW10,IF(A11&lt;'Données projet'!$A$166,$DL$205^A11,IF(A11='Données projet'!$A$166,'Données projet'!$B$166,DO10+DN11-DW10)))</f>
        <v>6.8607919984549888</v>
      </c>
      <c r="DP11" s="17">
        <f>DO11*VLOOKUP('Données projet'!$B$14,Paramètres!$A$1:$I$89,3,0)*VLOOKUP('Données projet'!$B$14,Paramètres!$A$1:$I$89,5,0)</f>
        <v>5.4584461139707896</v>
      </c>
      <c r="DQ11" s="13">
        <f t="shared" si="43"/>
        <v>2.0645540509389519</v>
      </c>
      <c r="DR11" s="20">
        <f t="shared" si="16"/>
        <v>13.102558620551131</v>
      </c>
      <c r="DS11" s="59">
        <f t="shared" si="17"/>
        <v>246.07671100214154</v>
      </c>
      <c r="DT11" s="59">
        <f ca="1">AVERAGE(OFFSET($DS$3,0,0,'Données projet'!$E$14+1,1))-AVERAGE(OFFSET($H$3,0,0,'Données projet'!$E$14+1,1))</f>
        <v>309.14579005132464</v>
      </c>
      <c r="DU11" s="59">
        <f t="shared" si="44"/>
        <v>300.60311050289533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60.871738528312534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1.1000000000000001</v>
      </c>
      <c r="EJ11" s="12">
        <f>IF('Données projet'!$A$192&gt;35,EJ10+EI11-ER10,IF(A11&lt;'Données projet'!$A$192,$EG$205^A11,IF(A11='Données projet'!$A$192,'Données projet'!$B$192,EJ10+EI11-ER10)))</f>
        <v>6.8094831275223076</v>
      </c>
      <c r="EK11" s="17">
        <f>EJ11*VLOOKUP('Données projet'!$B$15,Paramètres!$A$1:$I$89,3,0)*VLOOKUP('Données projet'!$B$15,Paramètres!$A$1:$I$89,5,0)</f>
        <v>4.9927130290993551</v>
      </c>
      <c r="EL11" s="13">
        <f t="shared" si="45"/>
        <v>1.9081050833380053</v>
      </c>
      <c r="EM11" s="20">
        <f t="shared" si="19"/>
        <v>12.018924879161736</v>
      </c>
      <c r="EN11" s="59">
        <f t="shared" si="20"/>
        <v>244.99307726075216</v>
      </c>
      <c r="EO11" s="59">
        <f ca="1">AVERAGE(OFFSET($EN$3,0,0,'Données projet'!$E$15+1,1))-AVERAGE(OFFSET($H$3,0,0,'Données projet'!$E$15+1,1))</f>
        <v>338.59243085476896</v>
      </c>
      <c r="EP11" s="59">
        <f t="shared" si="46"/>
        <v>329.8393445823275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60.871738528312534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1.1000000000000001</v>
      </c>
      <c r="FE11" s="12">
        <f>IF('Données projet'!$A$218&gt;35,FE10+FD11-FM10,IF(A11&lt;'Données projet'!$A$218,$FB$205^A11,IF(A11='Données projet'!$A$218,'Données projet'!$B$218,FE10+FD11-FM10)))</f>
        <v>6.8094831275223076</v>
      </c>
      <c r="FF11" s="17">
        <f>FE11*VLOOKUP('Données projet'!$B$16,Paramètres!$A$1:$I$89,3,0)*VLOOKUP('Données projet'!$B$16,Paramètres!$A$1:$I$89,5,0)</f>
        <v>4.4615733451526163</v>
      </c>
      <c r="FG11" s="13">
        <f t="shared" si="47"/>
        <v>1.7275860727911023</v>
      </c>
      <c r="FH11" s="20">
        <f t="shared" si="22"/>
        <v>10.779452652918643</v>
      </c>
      <c r="FI11" s="59">
        <f t="shared" si="23"/>
        <v>243.75360503450906</v>
      </c>
      <c r="FJ11" s="59">
        <f ca="1">AVERAGE(OFFSET($FI$3,0,0,'Données projet'!$E$16+1,1))-AVERAGE(OFFSET($H$3,0,0,'Données projet'!$E$16+1,1))</f>
        <v>307.50573770128085</v>
      </c>
      <c r="FK11" s="59">
        <f t="shared" si="48"/>
        <v>300.2007312562655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60.871738528312534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1.1000000000000001</v>
      </c>
      <c r="FZ11" s="12">
        <f>IF('Données projet'!$A$244&gt;35,FZ10+FY11-GH10,IF(A11&lt;'Données projet'!$A$244,$FW$205^A11,IF(A11='Données projet'!$A$244,'Données projet'!$B$244,FZ10+FY11-GH10)))</f>
        <v>6.8094831275223076</v>
      </c>
      <c r="GA11" s="17">
        <f>FZ11*VLOOKUP('Données projet'!$B$17,Paramètres!$A$1:$I$89,3,0)*VLOOKUP('Données projet'!$B$17,Paramètres!$A$1:$I$89,5,0)</f>
        <v>5.5238527130460966</v>
      </c>
      <c r="GB11" s="13">
        <f t="shared" si="49"/>
        <v>2.0863980862538192</v>
      </c>
      <c r="GC11" s="20">
        <f t="shared" si="25"/>
        <v>13.25452014211402</v>
      </c>
      <c r="GD11" s="59">
        <f t="shared" si="26"/>
        <v>246.22867252370443</v>
      </c>
      <c r="GE11" s="59">
        <f ca="1">AVERAGE(OFFSET($GD$3,0,0,'Données projet'!$E$17+1,1))-AVERAGE(OFFSET($H$3,0,0,'Données projet'!$E$17+1,1))</f>
        <v>369.60865427618342</v>
      </c>
      <c r="GF11" s="59">
        <f t="shared" si="50"/>
        <v>359.40898775279197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60.871738528312534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2.4666666666666668</v>
      </c>
      <c r="GU11" s="12">
        <f>IF('Données projet'!$A$270&gt;35,GU10+GT11-HC10,IF(A11&lt;'Données projet'!$A$270,$GR$205^A11,IF(A11='Données projet'!$A$270,'Données projet'!$B$270,GU10+GT11-HC10)))</f>
        <v>6.8607919984549888</v>
      </c>
      <c r="GV11" s="17">
        <f>GU11*VLOOKUP('Données projet'!$B$18,Paramètres!$A$1:$I$89,3,0)*VLOOKUP('Données projet'!$B$18,Paramètres!$A$1:$I$89,5,0)</f>
        <v>4.4951909173877089</v>
      </c>
      <c r="GW11" s="13">
        <f t="shared" si="51"/>
        <v>1.7390830520969034</v>
      </c>
      <c r="GX11" s="20">
        <f t="shared" si="28"/>
        <v>10.858027163519033</v>
      </c>
      <c r="GY11" s="59">
        <f t="shared" si="29"/>
        <v>243.83217954510945</v>
      </c>
      <c r="GZ11" s="59">
        <f ca="1">AVERAGE(OFFSET($GY$3,0,0,'Données projet'!$E$18+1,1))-AVERAGE(OFFSET($H$3,0,0,'Données projet'!$E$18+1,1))</f>
        <v>262.62914256200031</v>
      </c>
      <c r="HA11" s="59">
        <f t="shared" si="52"/>
        <v>256.45129229594409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2.1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7.7</v>
      </c>
      <c r="H12" s="67">
        <f t="shared" si="1"/>
        <v>225.86666666666665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61.030093457110965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3.04</v>
      </c>
      <c r="N12" s="13">
        <f>IF('Données projet'!$A$36&gt;35,N11+M12-V11,IF(A12&lt;'Données projet'!$A$36,$K$205^A12,IF(A12='Données projet'!$A$36,'Données projet'!$B$36,N11+M12-V11)))</f>
        <v>4.7543690842948543</v>
      </c>
      <c r="O12" s="13">
        <f>N12*VLOOKUP('Données projet'!$B$9,Paramètres!$A$1:$I$89,3,0)*VLOOKUP('Données projet'!$B$9,Paramètres!$A$1:$I$89,5,0)</f>
        <v>4.0792486743249849</v>
      </c>
      <c r="P12" s="13">
        <f t="shared" si="33"/>
        <v>1.5961022612033224</v>
      </c>
      <c r="Q12" s="20">
        <f t="shared" si="2"/>
        <v>9.8845695460451353</v>
      </c>
      <c r="R12" s="59">
        <f t="shared" si="0"/>
        <v>244.66157888878536</v>
      </c>
      <c r="S12" s="59">
        <f ca="1">AVERAGE(OFFSET($R$3,0,0,'Données projet'!$E$9+1,1))-AVERAGE(OFFSET($H$3,0,0,'Données projet'!$E$9+1,1))</f>
        <v>476.79071915271794</v>
      </c>
      <c r="T12" s="59">
        <f t="shared" si="34"/>
        <v>264.79929759351762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61.030093457110965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2.1</v>
      </c>
      <c r="AI12" s="13">
        <f>IF('Données projet'!$A$62&gt;35,AI11+AH12-AQ11,IF(A12&lt;'Données projet'!$A$62,$AF$205^A12,IF(A12='Données projet'!$A$62,'Données projet'!$B$62,AI11+AH12-AQ11)))</f>
        <v>5.3760361537574148</v>
      </c>
      <c r="AJ12" s="13">
        <f>AI12*VLOOKUP('Données projet'!$B$10,Paramètres!$A$1:$I$89,3,0)*VLOOKUP('Données projet'!$B$10,Paramètres!$A$1:$I$89,5,0)</f>
        <v>4.5287728559252471</v>
      </c>
      <c r="AK12" s="13">
        <f t="shared" si="35"/>
        <v>1.7505578568733651</v>
      </c>
      <c r="AL12" s="20">
        <f t="shared" si="4"/>
        <v>10.93650099145758</v>
      </c>
      <c r="AM12" s="59">
        <f t="shared" si="5"/>
        <v>245.71351033419782</v>
      </c>
      <c r="AN12" s="59">
        <f ca="1">AVERAGE(OFFSET($AM$3,0,0,'Données projet'!$E$10+1,1))-AVERAGE(OFFSET($H$3,0,0,'Données projet'!$E$10+1,1))</f>
        <v>365.104658862176</v>
      </c>
      <c r="AO12" s="59">
        <f t="shared" si="36"/>
        <v>226.29232910286325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61.030093457110965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2.1</v>
      </c>
      <c r="BD12" s="12">
        <f>IF('Données projet'!$A$88&gt;35,BD11+BC12-BL11,IF(A12&lt;'Données projet'!$A$88,$BA$205^A12,IF(A12='Données projet'!$A$88,'Données projet'!$B$88,BD11+BC12-BL11)))</f>
        <v>5.3760361537574148</v>
      </c>
      <c r="BE12" s="13">
        <f>BD12*VLOOKUP('Données projet'!$B$11,Paramètres!$A$1:$I$89,3,0)*VLOOKUP('Données projet'!$B$11,Paramètres!$A$1:$I$89,5,0)</f>
        <v>4.8642375119197085</v>
      </c>
      <c r="BF12" s="13">
        <f t="shared" si="37"/>
        <v>1.8646542609995393</v>
      </c>
      <c r="BG12" s="20">
        <f t="shared" si="7"/>
        <v>11.719486504501022</v>
      </c>
      <c r="BH12" s="59">
        <f t="shared" si="8"/>
        <v>246.49649584724125</v>
      </c>
      <c r="BI12" s="59">
        <f ca="1">AVERAGE(OFFSET($BH$3,0,0,'Données projet'!$E$11+1,1))-AVERAGE(OFFSET($H$3,0,0,'Données projet'!$E$11+1,1))</f>
        <v>388.12494342575195</v>
      </c>
      <c r="BJ12" s="59">
        <f t="shared" si="38"/>
        <v>239.39471445648454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61.030093457110965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2.1</v>
      </c>
      <c r="BY12" s="12">
        <f>IF('Données projet'!$A$114&gt;35,BY11+BX12-CG11,IF(A12&lt;'Données projet'!$A$114,$BV$205^A12,IF(A12='Données projet'!$A$114,'Données projet'!$B$114,BY11+BX12-CG11)))</f>
        <v>5.3760361537574148</v>
      </c>
      <c r="BZ12" s="13">
        <f>BY12*VLOOKUP('Données projet'!$B$12,Paramètres!$A$1:$I$89,3,0)*VLOOKUP('Données projet'!$B$12,Paramètres!$A$1:$I$89,5,0)</f>
        <v>5.4513006599100189</v>
      </c>
      <c r="CA12" s="13">
        <f t="shared" si="39"/>
        <v>2.062165822468125</v>
      </c>
      <c r="CB12" s="20">
        <f t="shared" si="10"/>
        <v>13.085954123475267</v>
      </c>
      <c r="CC12" s="59">
        <f t="shared" si="11"/>
        <v>247.86296346621549</v>
      </c>
      <c r="CD12" s="59">
        <f ca="1">AVERAGE(OFFSET($CC$3,0,0,'Données projet'!$E$12+1,1))-AVERAGE(OFFSET($H$3,0,0,'Données projet'!$E$12+1,1))</f>
        <v>428.33148932885132</v>
      </c>
      <c r="CE12" s="59">
        <f t="shared" si="40"/>
        <v>262.27548054534373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61.030093457110965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1.2</v>
      </c>
      <c r="CT12" s="12">
        <f>IF('Données projet'!$A$140&gt;35,CT11+CS12-DB11,IF(A12&lt;'Données projet'!$A$140,$CQ$205^A12,IF(A12='Données projet'!$A$140,'Données projet'!$B$140,CT11+CS12-DB11)))</f>
        <v>3.4022298585357786</v>
      </c>
      <c r="CU12" s="17">
        <f>CT12*VLOOKUP('Données projet'!$B$13,Paramètres!$A$1:$I$89,3,0)*VLOOKUP('Données projet'!$B$13,Paramètres!$A$1:$I$89,5,0)</f>
        <v>3.2375619333826471</v>
      </c>
      <c r="CV12" s="13">
        <f t="shared" si="41"/>
        <v>1.3013099930173813</v>
      </c>
      <c r="CW12" s="20">
        <f t="shared" si="13"/>
        <v>7.9052019384800483</v>
      </c>
      <c r="CX12" s="59">
        <f t="shared" si="14"/>
        <v>242.68221128122028</v>
      </c>
      <c r="CY12" s="59">
        <f ca="1">AVERAGE(OFFSET($CX$3,0,0,'Données projet'!$E$13+1,1))-AVERAGE(OFFSET($H$3,0,0,'Données projet'!$E$13+1,1))</f>
        <v>307.62549820830162</v>
      </c>
      <c r="CZ12" s="59">
        <f t="shared" si="42"/>
        <v>160.26466014910304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61.030093457110965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2.4666666666666668</v>
      </c>
      <c r="DO12" s="12">
        <f>IF('Données projet'!$A$166&gt;35,DO11+DN12-DW11,IF(A12&lt;'Données projet'!$A$166,$DL$205^A12,IF(A12='Données projet'!$A$166,'Données projet'!$B$166,DO11+DN12-DW11)))</f>
        <v>8.7281265486761299</v>
      </c>
      <c r="DP12" s="17">
        <f>DO12*VLOOKUP('Données projet'!$B$14,Paramètres!$A$1:$I$89,3,0)*VLOOKUP('Données projet'!$B$14,Paramètres!$A$1:$I$89,5,0)</f>
        <v>6.9440974821267289</v>
      </c>
      <c r="DQ12" s="13">
        <f t="shared" si="43"/>
        <v>2.5538994442566798</v>
      </c>
      <c r="DR12" s="20">
        <f t="shared" si="16"/>
        <v>16.542344646784436</v>
      </c>
      <c r="DS12" s="59">
        <f t="shared" si="17"/>
        <v>251.31935398952467</v>
      </c>
      <c r="DT12" s="59">
        <f ca="1">AVERAGE(OFFSET($DS$3,0,0,'Données projet'!$E$14+1,1))-AVERAGE(OFFSET($H$3,0,0,'Données projet'!$E$14+1,1))</f>
        <v>309.14579005132464</v>
      </c>
      <c r="DU12" s="59">
        <f t="shared" si="44"/>
        <v>300.60311050289533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61.030093457110965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1.1000000000000001</v>
      </c>
      <c r="EJ12" s="12">
        <f>IF('Données projet'!$A$192&gt;35,EJ11+EI12-ER11,IF(A12&lt;'Données projet'!$A$192,$EG$205^A12,IF(A12='Données projet'!$A$192,'Données projet'!$B$192,EJ11+EI12-ER11)))</f>
        <v>8.6547278641645029</v>
      </c>
      <c r="EK12" s="17">
        <f>EJ12*VLOOKUP('Données projet'!$B$15,Paramètres!$A$1:$I$89,3,0)*VLOOKUP('Données projet'!$B$15,Paramètres!$A$1:$I$89,5,0)</f>
        <v>6.3456464700054127</v>
      </c>
      <c r="EL12" s="13">
        <f t="shared" si="45"/>
        <v>2.3584123814576028</v>
      </c>
      <c r="EM12" s="20">
        <f t="shared" si="19"/>
        <v>15.159569166298086</v>
      </c>
      <c r="EN12" s="59">
        <f t="shared" si="20"/>
        <v>249.93657850903833</v>
      </c>
      <c r="EO12" s="59">
        <f ca="1">AVERAGE(OFFSET($EN$3,0,0,'Données projet'!$E$15+1,1))-AVERAGE(OFFSET($H$3,0,0,'Données projet'!$E$15+1,1))</f>
        <v>338.59243085476896</v>
      </c>
      <c r="EP12" s="59">
        <f t="shared" si="46"/>
        <v>329.8393445823275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61.030093457110965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1.1000000000000001</v>
      </c>
      <c r="FE12" s="12">
        <f>IF('Données projet'!$A$218&gt;35,FE11+FD12-FM11,IF(A12&lt;'Données projet'!$A$218,$FB$205^A12,IF(A12='Données projet'!$A$218,'Données projet'!$B$218,FE11+FD12-FM11)))</f>
        <v>8.6547278641645029</v>
      </c>
      <c r="FF12" s="17">
        <f>FE12*VLOOKUP('Données projet'!$B$16,Paramètres!$A$1:$I$89,3,0)*VLOOKUP('Données projet'!$B$16,Paramètres!$A$1:$I$89,5,0)</f>
        <v>5.6705776966005823</v>
      </c>
      <c r="FG12" s="13">
        <f t="shared" si="47"/>
        <v>2.1352914049034637</v>
      </c>
      <c r="FH12" s="20">
        <f t="shared" si="22"/>
        <v>13.59522201845288</v>
      </c>
      <c r="FI12" s="59">
        <f t="shared" si="23"/>
        <v>248.37223136119312</v>
      </c>
      <c r="FJ12" s="59">
        <f ca="1">AVERAGE(OFFSET($FI$3,0,0,'Données projet'!$E$16+1,1))-AVERAGE(OFFSET($H$3,0,0,'Données projet'!$E$16+1,1))</f>
        <v>307.50573770128085</v>
      </c>
      <c r="FK12" s="59">
        <f t="shared" si="48"/>
        <v>300.2007312562655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61.030093457110965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1.1000000000000001</v>
      </c>
      <c r="FZ12" s="12">
        <f>IF('Données projet'!$A$244&gt;35,FZ11+FY12-GH11,IF(A12&lt;'Données projet'!$A$244,$FW$205^A12,IF(A12='Données projet'!$A$244,'Données projet'!$B$244,FZ11+FY12-GH11)))</f>
        <v>8.6547278641645029</v>
      </c>
      <c r="GA12" s="17">
        <f>FZ12*VLOOKUP('Données projet'!$B$17,Paramètres!$A$1:$I$89,3,0)*VLOOKUP('Données projet'!$B$17,Paramètres!$A$1:$I$89,5,0)</f>
        <v>7.0207152434102458</v>
      </c>
      <c r="GB12" s="13">
        <f t="shared" si="49"/>
        <v>2.5787820189978565</v>
      </c>
      <c r="GC12" s="20">
        <f t="shared" si="25"/>
        <v>16.71912439869411</v>
      </c>
      <c r="GD12" s="59">
        <f t="shared" si="26"/>
        <v>251.49613374143433</v>
      </c>
      <c r="GE12" s="59">
        <f ca="1">AVERAGE(OFFSET($GD$3,0,0,'Données projet'!$E$17+1,1))-AVERAGE(OFFSET($H$3,0,0,'Données projet'!$E$17+1,1))</f>
        <v>369.60865427618342</v>
      </c>
      <c r="GF12" s="59">
        <f t="shared" si="50"/>
        <v>359.40898775279197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61.030093457110965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2.4666666666666668</v>
      </c>
      <c r="GU12" s="12">
        <f>IF('Données projet'!$A$270&gt;35,GU11+GT12-HC11,IF(A12&lt;'Données projet'!$A$270,$GR$205^A12,IF(A12='Données projet'!$A$270,'Données projet'!$B$270,GU11+GT12-HC11)))</f>
        <v>8.7281265486761299</v>
      </c>
      <c r="GV12" s="17">
        <f>GU12*VLOOKUP('Données projet'!$B$18,Paramètres!$A$1:$I$89,3,0)*VLOOKUP('Données projet'!$B$18,Paramètres!$A$1:$I$89,5,0)</f>
        <v>5.7186685146926006</v>
      </c>
      <c r="GW12" s="13">
        <f t="shared" si="51"/>
        <v>2.1512845537982104</v>
      </c>
      <c r="GX12" s="20">
        <f t="shared" si="28"/>
        <v>13.706834927621495</v>
      </c>
      <c r="GY12" s="59">
        <f t="shared" si="29"/>
        <v>248.48384427036171</v>
      </c>
      <c r="GZ12" s="59">
        <f ca="1">AVERAGE(OFFSET($GY$3,0,0,'Données projet'!$E$18+1,1))-AVERAGE(OFFSET($H$3,0,0,'Données projet'!$E$18+1,1))</f>
        <v>262.62914256200031</v>
      </c>
      <c r="HA12" s="59">
        <f t="shared" si="52"/>
        <v>256.45129229594409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2.1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7.7</v>
      </c>
      <c r="H13" s="67">
        <f t="shared" si="1"/>
        <v>225.86666666666665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61.185701281923315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3.04</v>
      </c>
      <c r="N13" s="13">
        <f>IF('Données projet'!$A$36&gt;35,N12+M13-V12,IF(A13&lt;'Données projet'!$A$36,$K$205^A13,IF(A13='Données projet'!$A$36,'Données projet'!$B$36,N12+M13-V12)))</f>
        <v>5.6536046682926591</v>
      </c>
      <c r="O13" s="13">
        <f>N13*VLOOKUP('Données projet'!$B$9,Paramètres!$A$1:$I$89,3,0)*VLOOKUP('Données projet'!$B$9,Paramètres!$A$1:$I$89,5,0)</f>
        <v>4.8507928053951019</v>
      </c>
      <c r="P13" s="13">
        <f t="shared" si="33"/>
        <v>1.8600995533323434</v>
      </c>
      <c r="Q13" s="20">
        <f t="shared" si="2"/>
        <v>11.688137524783633</v>
      </c>
      <c r="R13" s="59">
        <f t="shared" si="0"/>
        <v>248.25793111405798</v>
      </c>
      <c r="S13" s="59">
        <f ca="1">AVERAGE(OFFSET($R$3,0,0,'Données projet'!$E$9+1,1))-AVERAGE(OFFSET($H$3,0,0,'Données projet'!$E$9+1,1))</f>
        <v>476.79071915271794</v>
      </c>
      <c r="T13" s="59">
        <f t="shared" si="34"/>
        <v>264.79929759351762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61.185701281923315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2.1</v>
      </c>
      <c r="AI13" s="13">
        <f>IF('Données projet'!$A$62&gt;35,AI12+AH13-AQ12,IF(A13&lt;'Données projet'!$A$62,$AF$205^A13,IF(A13='Données projet'!$A$62,'Données projet'!$B$62,AI12+AH13-AQ12)))</f>
        <v>6.4807406984078657</v>
      </c>
      <c r="AJ13" s="13">
        <f>AI13*VLOOKUP('Données projet'!$B$10,Paramètres!$A$1:$I$89,3,0)*VLOOKUP('Données projet'!$B$10,Paramètres!$A$1:$I$89,5,0)</f>
        <v>5.4593759643387862</v>
      </c>
      <c r="AK13" s="13">
        <f t="shared" si="35"/>
        <v>2.0648648084962673</v>
      </c>
      <c r="AL13" s="20">
        <f t="shared" si="4"/>
        <v>13.104719346021051</v>
      </c>
      <c r="AM13" s="59">
        <f t="shared" si="5"/>
        <v>249.67451293529541</v>
      </c>
      <c r="AN13" s="59">
        <f ca="1">AVERAGE(OFFSET($AM$3,0,0,'Données projet'!$E$10+1,1))-AVERAGE(OFFSET($H$3,0,0,'Données projet'!$E$10+1,1))</f>
        <v>365.104658862176</v>
      </c>
      <c r="AO13" s="59">
        <f t="shared" si="36"/>
        <v>226.29232910286325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61.185701281923315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2.1</v>
      </c>
      <c r="BD13" s="12">
        <f>IF('Données projet'!$A$88&gt;35,BD12+BC13-BL12,IF(A13&lt;'Données projet'!$A$88,$BA$205^A13,IF(A13='Données projet'!$A$88,'Données projet'!$B$88,BD12+BC13-BL12)))</f>
        <v>6.4807406984078657</v>
      </c>
      <c r="BE13" s="13">
        <f>BD13*VLOOKUP('Données projet'!$B$11,Paramètres!$A$1:$I$89,3,0)*VLOOKUP('Données projet'!$B$11,Paramètres!$A$1:$I$89,5,0)</f>
        <v>5.8637741839194364</v>
      </c>
      <c r="BF13" s="13">
        <f t="shared" si="37"/>
        <v>2.1994468497187687</v>
      </c>
      <c r="BG13" s="20">
        <f t="shared" si="7"/>
        <v>14.043443300253207</v>
      </c>
      <c r="BH13" s="59">
        <f t="shared" si="8"/>
        <v>250.61323688952757</v>
      </c>
      <c r="BI13" s="59">
        <f ca="1">AVERAGE(OFFSET($BH$3,0,0,'Données projet'!$E$11+1,1))-AVERAGE(OFFSET($H$3,0,0,'Données projet'!$E$11+1,1))</f>
        <v>388.12494342575195</v>
      </c>
      <c r="BJ13" s="59">
        <f t="shared" si="38"/>
        <v>239.39471445648454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61.185701281923315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2.1</v>
      </c>
      <c r="BY13" s="12">
        <f>IF('Données projet'!$A$114&gt;35,BY12+BX13-CG12,IF(A13&lt;'Données projet'!$A$114,$BV$205^A13,IF(A13='Données projet'!$A$114,'Données projet'!$B$114,BY12+BX13-CG12)))</f>
        <v>6.4807406984078657</v>
      </c>
      <c r="BZ13" s="13">
        <f>BY13*VLOOKUP('Données projet'!$B$12,Paramètres!$A$1:$I$89,3,0)*VLOOKUP('Données projet'!$B$12,Paramètres!$A$1:$I$89,5,0)</f>
        <v>6.5714710681855761</v>
      </c>
      <c r="CA13" s="13">
        <f t="shared" si="39"/>
        <v>2.4324209676242781</v>
      </c>
      <c r="CB13" s="20">
        <f t="shared" si="10"/>
        <v>15.681778629035497</v>
      </c>
      <c r="CC13" s="59">
        <f t="shared" si="11"/>
        <v>252.25157221830986</v>
      </c>
      <c r="CD13" s="59">
        <f ca="1">AVERAGE(OFFSET($CC$3,0,0,'Données projet'!$E$12+1,1))-AVERAGE(OFFSET($H$3,0,0,'Données projet'!$E$12+1,1))</f>
        <v>428.33148932885132</v>
      </c>
      <c r="CE13" s="59">
        <f t="shared" si="40"/>
        <v>262.27548054534373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61.185701281923315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1.2</v>
      </c>
      <c r="CT13" s="12">
        <f>IF('Données projet'!$A$140&gt;35,CT12+CS13-DB12,IF(A13&lt;'Données projet'!$A$140,$CQ$205^A13,IF(A13='Données projet'!$A$140,'Données projet'!$B$140,CT12+CS13-DB12)))</f>
        <v>3.8980598409161908</v>
      </c>
      <c r="CU13" s="17">
        <f>CT13*VLOOKUP('Données projet'!$B$13,Paramètres!$A$1:$I$89,3,0)*VLOOKUP('Données projet'!$B$13,Paramètres!$A$1:$I$89,5,0)</f>
        <v>3.7093937446158476</v>
      </c>
      <c r="CV13" s="13">
        <f t="shared" si="41"/>
        <v>1.4675338872638184</v>
      </c>
      <c r="CW13" s="20">
        <f t="shared" si="13"/>
        <v>9.0164822921904193</v>
      </c>
      <c r="CX13" s="59">
        <f t="shared" si="14"/>
        <v>245.58627588146479</v>
      </c>
      <c r="CY13" s="59">
        <f ca="1">AVERAGE(OFFSET($CX$3,0,0,'Données projet'!$E$13+1,1))-AVERAGE(OFFSET($H$3,0,0,'Données projet'!$E$13+1,1))</f>
        <v>307.62549820830162</v>
      </c>
      <c r="CZ13" s="59">
        <f t="shared" si="42"/>
        <v>160.26466014910304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61.185701281923315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2.4666666666666668</v>
      </c>
      <c r="DO13" s="12">
        <f>IF('Données projet'!$A$166&gt;35,DO12+DN13-DW12,IF(A13&lt;'Données projet'!$A$166,$DL$205^A13,IF(A13='Données projet'!$A$166,'Données projet'!$B$166,DO12+DN13-DW12)))</f>
        <v>11.103702468586782</v>
      </c>
      <c r="DP13" s="17">
        <f>DO13*VLOOKUP('Données projet'!$B$14,Paramètres!$A$1:$I$89,3,0)*VLOOKUP('Données projet'!$B$14,Paramètres!$A$1:$I$89,5,0)</f>
        <v>8.8341056840076444</v>
      </c>
      <c r="DQ13" s="13">
        <f t="shared" si="43"/>
        <v>3.1592306185484516</v>
      </c>
      <c r="DR13" s="20">
        <f t="shared" si="16"/>
        <v>20.888394060285197</v>
      </c>
      <c r="DS13" s="59">
        <f t="shared" si="17"/>
        <v>257.45818764955953</v>
      </c>
      <c r="DT13" s="59">
        <f ca="1">AVERAGE(OFFSET($DS$3,0,0,'Données projet'!$E$14+1,1))-AVERAGE(OFFSET($H$3,0,0,'Données projet'!$E$14+1,1))</f>
        <v>309.14579005132464</v>
      </c>
      <c r="DU13" s="59">
        <f t="shared" si="44"/>
        <v>300.60311050289533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61.185701281923315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>
        <f>VLOOKUP(A13,'Données projet'!$A$191:$I$211,2,0)</f>
        <v>11</v>
      </c>
      <c r="EH13" s="12">
        <f>VLOOKUP(A13,'Données projet'!$A$191:$I$211,9,0)</f>
        <v>1.1000000000000001</v>
      </c>
      <c r="EI13" s="12">
        <f t="array" ref="EI13">INDEX(EH:EH,MIN(IF(ISNUMBER(EH13:EH209),ROW(EH13:EH209),"")))</f>
        <v>1.1000000000000001</v>
      </c>
      <c r="EJ13" s="12">
        <f>IF('Données projet'!$A$192&gt;35,EJ12+EI13-ER12,IF(A13&lt;'Données projet'!$A$192,$EG$205^A13,IF(A13='Données projet'!$A$192,'Données projet'!$B$192,EJ12+EI13-ER12)))</f>
        <v>11</v>
      </c>
      <c r="EK13" s="17">
        <f>EJ13*VLOOKUP('Données projet'!$B$15,Paramètres!$A$1:$I$89,3,0)*VLOOKUP('Données projet'!$B$15,Paramètres!$A$1:$I$89,5,0)</f>
        <v>8.0652000000000008</v>
      </c>
      <c r="EL13" s="13">
        <f t="shared" si="45"/>
        <v>2.9149909035839161</v>
      </c>
      <c r="EM13" s="20">
        <f t="shared" si="19"/>
        <v>19.123832490408656</v>
      </c>
      <c r="EN13" s="59">
        <f t="shared" si="20"/>
        <v>255.69362607968301</v>
      </c>
      <c r="EO13" s="59">
        <f ca="1">AVERAGE(OFFSET($EN$3,0,0,'Données projet'!$E$15+1,1))-AVERAGE(OFFSET($H$3,0,0,'Données projet'!$E$15+1,1))</f>
        <v>338.59243085476896</v>
      </c>
      <c r="EP13" s="59">
        <f t="shared" si="46"/>
        <v>329.8393445823275</v>
      </c>
      <c r="EQ13" s="15">
        <f>IF(ISNA(VLOOKUP(A13,'Données projet'!$A$191:$I$211,3,0)),0,VLOOKUP(A13,'Données projet'!$A$191:$I$211,3,0))</f>
        <v>1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61.185701281923315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>
        <f>VLOOKUP(A13,'Données projet'!$A$217:$I$237,2,0)</f>
        <v>11</v>
      </c>
      <c r="FC13" s="12">
        <f>VLOOKUP(A13,'Données projet'!$A$217:$I$237,9,0)</f>
        <v>1.1000000000000001</v>
      </c>
      <c r="FD13" s="12">
        <f t="array" ref="FD13">INDEX(FC:FC,MIN(IF(ISNUMBER(FC13:FC209),ROW(FC13:FC209),"")))</f>
        <v>1.1000000000000001</v>
      </c>
      <c r="FE13" s="12">
        <f>IF('Données projet'!$A$218&gt;35,FE12+FD13-FM12,IF(A13&lt;'Données projet'!$A$218,$FB$205^A13,IF(A13='Données projet'!$A$218,'Données projet'!$B$218,FE12+FD13-FM12)))</f>
        <v>11</v>
      </c>
      <c r="FF13" s="17">
        <f>FE13*VLOOKUP('Données projet'!$B$16,Paramètres!$A$1:$I$89,3,0)*VLOOKUP('Données projet'!$B$16,Paramètres!$A$1:$I$89,5,0)</f>
        <v>7.2072000000000003</v>
      </c>
      <c r="FG13" s="13">
        <f t="shared" si="47"/>
        <v>2.6392140198770462</v>
      </c>
      <c r="FH13" s="20">
        <f t="shared" si="22"/>
        <v>17.149171084619187</v>
      </c>
      <c r="FI13" s="59">
        <f t="shared" si="23"/>
        <v>253.71896467389354</v>
      </c>
      <c r="FJ13" s="59">
        <f ca="1">AVERAGE(OFFSET($FI$3,0,0,'Données projet'!$E$16+1,1))-AVERAGE(OFFSET($H$3,0,0,'Données projet'!$E$16+1,1))</f>
        <v>307.50573770128085</v>
      </c>
      <c r="FK13" s="59">
        <f t="shared" si="48"/>
        <v>300.2007312562655</v>
      </c>
      <c r="FL13" s="15">
        <f>IF(ISNA(VLOOKUP(A13,'Données projet'!$A$217:$I$237,3,0)),0,VLOOKUP(A13,'Données projet'!$A$217:$I$237,3,0))</f>
        <v>1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61.185701281923315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>
        <f>VLOOKUP(A13,'Données projet'!$A$243:$I$263,2,0)</f>
        <v>11</v>
      </c>
      <c r="FX13" s="12">
        <f>VLOOKUP(A13,'Données projet'!$A$243:$I$263,9,0)</f>
        <v>1.1000000000000001</v>
      </c>
      <c r="FY13" s="12">
        <f t="array" ref="FY13">INDEX(FX:FX,MIN(IF(ISNUMBER(FX13:FX209),ROW(FX13:FX209),"")))</f>
        <v>1.1000000000000001</v>
      </c>
      <c r="FZ13" s="12">
        <f>IF('Données projet'!$A$244&gt;35,FZ12+FY13-GH12,IF(A13&lt;'Données projet'!$A$244,$FW$205^A13,IF(A13='Données projet'!$A$244,'Données projet'!$B$244,FZ12+FY13-GH12)))</f>
        <v>11</v>
      </c>
      <c r="GA13" s="17">
        <f>FZ13*VLOOKUP('Données projet'!$B$17,Paramètres!$A$1:$I$89,3,0)*VLOOKUP('Données projet'!$B$17,Paramètres!$A$1:$I$89,5,0)</f>
        <v>8.9232000000000014</v>
      </c>
      <c r="GB13" s="13">
        <f t="shared" si="49"/>
        <v>3.187367140202428</v>
      </c>
      <c r="GC13" s="20">
        <f t="shared" si="25"/>
        <v>21.092571102519226</v>
      </c>
      <c r="GD13" s="59">
        <f t="shared" si="26"/>
        <v>257.66236469179358</v>
      </c>
      <c r="GE13" s="59">
        <f ca="1">AVERAGE(OFFSET($GD$3,0,0,'Données projet'!$E$17+1,1))-AVERAGE(OFFSET($H$3,0,0,'Données projet'!$E$17+1,1))</f>
        <v>369.60865427618342</v>
      </c>
      <c r="GF13" s="59">
        <f t="shared" si="50"/>
        <v>359.40898775279197</v>
      </c>
      <c r="GG13" s="15">
        <f>IF(ISNA(VLOOKUP(A13,'Données projet'!$A$243:$I$263,3,0)),0,VLOOKUP(A13,'Données projet'!$A$243:$I$263,3,0))</f>
        <v>1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61.185701281923315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2.4666666666666668</v>
      </c>
      <c r="GU13" s="12">
        <f>IF('Données projet'!$A$270&gt;35,GU12+GT13-HC12,IF(A13&lt;'Données projet'!$A$270,$GR$205^A13,IF(A13='Données projet'!$A$270,'Données projet'!$B$270,GU12+GT13-HC12)))</f>
        <v>11.103702468586782</v>
      </c>
      <c r="GV13" s="17">
        <f>GU13*VLOOKUP('Données projet'!$B$18,Paramètres!$A$1:$I$89,3,0)*VLOOKUP('Données projet'!$B$18,Paramètres!$A$1:$I$89,5,0)</f>
        <v>7.2751458574180594</v>
      </c>
      <c r="GW13" s="13">
        <f t="shared" si="51"/>
        <v>2.6611870122191768</v>
      </c>
      <c r="GX13" s="20">
        <f t="shared" si="28"/>
        <v>17.305779747951522</v>
      </c>
      <c r="GY13" s="59">
        <f t="shared" si="29"/>
        <v>253.87557333722589</v>
      </c>
      <c r="GZ13" s="59">
        <f ca="1">AVERAGE(OFFSET($GY$3,0,0,'Données projet'!$E$18+1,1))-AVERAGE(OFFSET($H$3,0,0,'Données projet'!$E$18+1,1))</f>
        <v>262.62914256200031</v>
      </c>
      <c r="HA13" s="59">
        <f t="shared" si="52"/>
        <v>256.45129229594409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2.1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7.7</v>
      </c>
      <c r="H14" s="67">
        <f t="shared" si="1"/>
        <v>225.86666666666665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61.338609658862161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3.04</v>
      </c>
      <c r="N14" s="13">
        <f>IF('Données projet'!$A$36&gt;35,N13+M14-V13,IF(A14&lt;'Données projet'!$A$36,$K$205^A14,IF(A14='Données projet'!$A$36,'Données projet'!$B$36,N13+M14-V13)))</f>
        <v>6.722920576554519</v>
      </c>
      <c r="O14" s="13">
        <f>N14*VLOOKUP('Données projet'!$B$9,Paramètres!$A$1:$I$89,3,0)*VLOOKUP('Données projet'!$B$9,Paramètres!$A$1:$I$89,5,0)</f>
        <v>5.7682658546837784</v>
      </c>
      <c r="P14" s="13">
        <f t="shared" si="33"/>
        <v>2.1677623247639941</v>
      </c>
      <c r="Q14" s="20">
        <f t="shared" si="2"/>
        <v>13.821915745871536</v>
      </c>
      <c r="R14" s="59">
        <f t="shared" si="0"/>
        <v>252.1745956061439</v>
      </c>
      <c r="S14" s="59">
        <f ca="1">AVERAGE(OFFSET($R$3,0,0,'Données projet'!$E$9+1,1))-AVERAGE(OFFSET($H$3,0,0,'Données projet'!$E$9+1,1))</f>
        <v>476.79071915271794</v>
      </c>
      <c r="T14" s="59">
        <f t="shared" si="34"/>
        <v>264.79929759351762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61.338609658862161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2.1</v>
      </c>
      <c r="AI14" s="13">
        <f>IF('Données projet'!$A$62&gt;35,AI13+AH14-AQ13,IF(A14&lt;'Données projet'!$A$62,$AF$205^A14,IF(A14='Données projet'!$A$62,'Données projet'!$B$62,AI13+AH14-AQ13)))</f>
        <v>7.8124474610620815</v>
      </c>
      <c r="AJ14" s="13">
        <f>AI14*VLOOKUP('Données projet'!$B$10,Paramètres!$A$1:$I$89,3,0)*VLOOKUP('Données projet'!$B$10,Paramètres!$A$1:$I$89,5,0)</f>
        <v>6.5812057411986977</v>
      </c>
      <c r="AK14" s="13">
        <f t="shared" si="35"/>
        <v>2.4356045477877388</v>
      </c>
      <c r="AL14" s="20">
        <f t="shared" si="4"/>
        <v>15.70427791998471</v>
      </c>
      <c r="AM14" s="59">
        <f t="shared" si="5"/>
        <v>254.05695778025708</v>
      </c>
      <c r="AN14" s="59">
        <f ca="1">AVERAGE(OFFSET($AM$3,0,0,'Données projet'!$E$10+1,1))-AVERAGE(OFFSET($H$3,0,0,'Données projet'!$E$10+1,1))</f>
        <v>365.104658862176</v>
      </c>
      <c r="AO14" s="59">
        <f t="shared" si="36"/>
        <v>226.29232910286325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61.338609658862161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2.1</v>
      </c>
      <c r="BD14" s="12">
        <f>IF('Données projet'!$A$88&gt;35,BD13+BC14-BL13,IF(A14&lt;'Données projet'!$A$88,$BA$205^A14,IF(A14='Données projet'!$A$88,'Données projet'!$B$88,BD13+BC14-BL13)))</f>
        <v>7.8124474610620815</v>
      </c>
      <c r="BE14" s="13">
        <f>BD14*VLOOKUP('Données projet'!$B$11,Paramètres!$A$1:$I$89,3,0)*VLOOKUP('Données projet'!$B$11,Paramètres!$A$1:$I$89,5,0)</f>
        <v>7.0687024627689707</v>
      </c>
      <c r="BF14" s="13">
        <f t="shared" si="37"/>
        <v>2.5943503554083325</v>
      </c>
      <c r="BG14" s="20">
        <f t="shared" si="7"/>
        <v>16.829816991658799</v>
      </c>
      <c r="BH14" s="59">
        <f t="shared" si="8"/>
        <v>255.18249685193115</v>
      </c>
      <c r="BI14" s="59">
        <f ca="1">AVERAGE(OFFSET($BH$3,0,0,'Données projet'!$E$11+1,1))-AVERAGE(OFFSET($H$3,0,0,'Données projet'!$E$11+1,1))</f>
        <v>388.12494342575195</v>
      </c>
      <c r="BJ14" s="59">
        <f t="shared" si="38"/>
        <v>239.39471445648454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61.338609658862161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2.1</v>
      </c>
      <c r="BY14" s="12">
        <f>IF('Données projet'!$A$114&gt;35,BY13+BX14-CG13,IF(A14&lt;'Données projet'!$A$114,$BV$205^A14,IF(A14='Données projet'!$A$114,'Données projet'!$B$114,BY13+BX14-CG13)))</f>
        <v>7.8124474610620815</v>
      </c>
      <c r="BZ14" s="13">
        <f>BY14*VLOOKUP('Données projet'!$B$12,Paramètres!$A$1:$I$89,3,0)*VLOOKUP('Données projet'!$B$12,Paramètres!$A$1:$I$89,5,0)</f>
        <v>7.921821725516951</v>
      </c>
      <c r="CA14" s="13">
        <f t="shared" si="39"/>
        <v>2.869154216054651</v>
      </c>
      <c r="CB14" s="20">
        <f t="shared" si="10"/>
        <v>18.794283098237205</v>
      </c>
      <c r="CC14" s="59">
        <f t="shared" si="11"/>
        <v>257.14696295850956</v>
      </c>
      <c r="CD14" s="59">
        <f ca="1">AVERAGE(OFFSET($CC$3,0,0,'Données projet'!$E$12+1,1))-AVERAGE(OFFSET($H$3,0,0,'Données projet'!$E$12+1,1))</f>
        <v>428.33148932885132</v>
      </c>
      <c r="CE14" s="59">
        <f t="shared" si="40"/>
        <v>262.27548054534373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61.338609658862161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1.2</v>
      </c>
      <c r="CT14" s="12">
        <f>IF('Données projet'!$A$140&gt;35,CT13+CS14-DB13,IF(A14&lt;'Données projet'!$A$140,$CQ$205^A14,IF(A14='Données projet'!$A$140,'Données projet'!$B$140,CT13+CS14-DB13)))</f>
        <v>4.4661504822319662</v>
      </c>
      <c r="CU14" s="17">
        <f>CT14*VLOOKUP('Données projet'!$B$13,Paramètres!$A$1:$I$89,3,0)*VLOOKUP('Données projet'!$B$13,Paramètres!$A$1:$I$89,5,0)</f>
        <v>4.2499887988919385</v>
      </c>
      <c r="CV14" s="13">
        <f t="shared" si="41"/>
        <v>1.6549905263340952</v>
      </c>
      <c r="CW14" s="20">
        <f t="shared" si="13"/>
        <v>10.284505658102008</v>
      </c>
      <c r="CX14" s="59">
        <f t="shared" si="14"/>
        <v>248.63718551837437</v>
      </c>
      <c r="CY14" s="59">
        <f ca="1">AVERAGE(OFFSET($CX$3,0,0,'Données projet'!$E$13+1,1))-AVERAGE(OFFSET($H$3,0,0,'Données projet'!$E$13+1,1))</f>
        <v>307.62549820830162</v>
      </c>
      <c r="CZ14" s="59">
        <f t="shared" si="42"/>
        <v>160.26466014910304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61.338609658862161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2.4666666666666668</v>
      </c>
      <c r="DO14" s="12">
        <f>IF('Données projet'!$A$166&gt;35,DO13+DN14-DW13,IF(A14&lt;'Données projet'!$A$166,$DL$205^A14,IF(A14='Données projet'!$A$166,'Données projet'!$B$166,DO13+DN14-DW13)))</f>
        <v>14.125850240977657</v>
      </c>
      <c r="DP14" s="17">
        <f>DO14*VLOOKUP('Données projet'!$B$14,Paramètres!$A$1:$I$89,3,0)*VLOOKUP('Données projet'!$B$14,Paramètres!$A$1:$I$89,5,0)</f>
        <v>11.238526451721825</v>
      </c>
      <c r="DQ14" s="13">
        <f t="shared" si="43"/>
        <v>3.9080387928425129</v>
      </c>
      <c r="DR14" s="20">
        <f t="shared" si="16"/>
        <v>26.380267800949554</v>
      </c>
      <c r="DS14" s="59">
        <f t="shared" si="17"/>
        <v>264.73294766122194</v>
      </c>
      <c r="DT14" s="59">
        <f ca="1">AVERAGE(OFFSET($DS$3,0,0,'Données projet'!$E$14+1,1))-AVERAGE(OFFSET($H$3,0,0,'Données projet'!$E$14+1,1))</f>
        <v>309.14579005132464</v>
      </c>
      <c r="DU14" s="59">
        <f t="shared" si="44"/>
        <v>300.60311050289533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61.338609658862161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10.8</v>
      </c>
      <c r="EJ14" s="12">
        <f>IF('Données projet'!$A$192&gt;35,EJ13+EI14-ER13,IF(A14&lt;'Données projet'!$A$192,$EG$205^A14,IF(A14='Données projet'!$A$192,'Données projet'!$B$192,EJ13+EI14-ER13)))</f>
        <v>21.8</v>
      </c>
      <c r="EK14" s="17">
        <f>EJ14*VLOOKUP('Données projet'!$B$15,Paramètres!$A$1:$I$89,3,0)*VLOOKUP('Données projet'!$B$15,Paramètres!$A$1:$I$89,5,0)</f>
        <v>15.983760000000002</v>
      </c>
      <c r="EL14" s="13">
        <f t="shared" si="45"/>
        <v>5.3348570279475842</v>
      </c>
      <c r="EM14" s="20">
        <f t="shared" si="19"/>
        <v>37.129924657008708</v>
      </c>
      <c r="EN14" s="59">
        <f t="shared" si="20"/>
        <v>275.48260451728106</v>
      </c>
      <c r="EO14" s="59">
        <f ca="1">AVERAGE(OFFSET($EN$3,0,0,'Données projet'!$E$15+1,1))-AVERAGE(OFFSET($H$3,0,0,'Données projet'!$E$15+1,1))</f>
        <v>338.59243085476896</v>
      </c>
      <c r="EP14" s="59">
        <f t="shared" si="46"/>
        <v>329.8393445823275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61.338609658862161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10.8</v>
      </c>
      <c r="FE14" s="12">
        <f>IF('Données projet'!$A$218&gt;35,FE13+FD14-FM13,IF(A14&lt;'Données projet'!$A$218,$FB$205^A14,IF(A14='Données projet'!$A$218,'Données projet'!$B$218,FE13+FD14-FM13)))</f>
        <v>21.8</v>
      </c>
      <c r="FF14" s="17">
        <f>FE14*VLOOKUP('Données projet'!$B$16,Paramètres!$A$1:$I$89,3,0)*VLOOKUP('Données projet'!$B$16,Paramètres!$A$1:$I$89,5,0)</f>
        <v>14.283360000000002</v>
      </c>
      <c r="FG14" s="13">
        <f t="shared" si="47"/>
        <v>4.8301452484424656</v>
      </c>
      <c r="FH14" s="20">
        <f t="shared" si="22"/>
        <v>33.289354974370632</v>
      </c>
      <c r="FI14" s="59">
        <f t="shared" si="23"/>
        <v>271.64203483464297</v>
      </c>
      <c r="FJ14" s="59">
        <f ca="1">AVERAGE(OFFSET($FI$3,0,0,'Données projet'!$E$16+1,1))-AVERAGE(OFFSET($H$3,0,0,'Données projet'!$E$16+1,1))</f>
        <v>307.50573770128085</v>
      </c>
      <c r="FK14" s="59">
        <f t="shared" si="48"/>
        <v>300.2007312562655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61.338609658862161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10.8</v>
      </c>
      <c r="FZ14" s="12">
        <f>IF('Données projet'!$A$244&gt;35,FZ13+FY14-GH13,IF(A14&lt;'Données projet'!$A$244,$FW$205^A14,IF(A14='Données projet'!$A$244,'Données projet'!$B$244,FZ13+FY14-GH13)))</f>
        <v>21.8</v>
      </c>
      <c r="GA14" s="17">
        <f>FZ14*VLOOKUP('Données projet'!$B$17,Paramètres!$A$1:$I$89,3,0)*VLOOKUP('Données projet'!$B$17,Paramètres!$A$1:$I$89,5,0)</f>
        <v>17.684160000000002</v>
      </c>
      <c r="GB14" s="13">
        <f t="shared" si="49"/>
        <v>5.8333451290197509</v>
      </c>
      <c r="GC14" s="20">
        <f t="shared" si="25"/>
        <v>40.959654766376069</v>
      </c>
      <c r="GD14" s="59">
        <f t="shared" si="26"/>
        <v>279.31233462664841</v>
      </c>
      <c r="GE14" s="59">
        <f ca="1">AVERAGE(OFFSET($GD$3,0,0,'Données projet'!$E$17+1,1))-AVERAGE(OFFSET($H$3,0,0,'Données projet'!$E$17+1,1))</f>
        <v>369.60865427618342</v>
      </c>
      <c r="GF14" s="59">
        <f t="shared" si="50"/>
        <v>359.40898775279197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61.338609658862161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2.4666666666666668</v>
      </c>
      <c r="GU14" s="12">
        <f>IF('Données projet'!$A$270&gt;35,GU13+GT14-HC13,IF(A14&lt;'Données projet'!$A$270,$GR$205^A14,IF(A14='Données projet'!$A$270,'Données projet'!$B$270,GU13+GT14-HC13)))</f>
        <v>14.125850240977657</v>
      </c>
      <c r="GV14" s="17">
        <f>GU14*VLOOKUP('Données projet'!$B$18,Paramètres!$A$1:$I$89,3,0)*VLOOKUP('Données projet'!$B$18,Paramètres!$A$1:$I$89,5,0)</f>
        <v>9.2552570778885617</v>
      </c>
      <c r="GW14" s="13">
        <f t="shared" si="51"/>
        <v>3.2919477349012349</v>
      </c>
      <c r="GX14" s="20">
        <f t="shared" si="28"/>
        <v>21.853048382275563</v>
      </c>
      <c r="GY14" s="59">
        <f t="shared" si="29"/>
        <v>260.20572824254793</v>
      </c>
      <c r="GZ14" s="59">
        <f ca="1">AVERAGE(OFFSET($GY$3,0,0,'Données projet'!$E$18+1,1))-AVERAGE(OFFSET($H$3,0,0,'Données projet'!$E$18+1,1))</f>
        <v>262.62914256200031</v>
      </c>
      <c r="HA14" s="59">
        <f t="shared" si="52"/>
        <v>256.45129229594409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2.1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7.7</v>
      </c>
      <c r="H15" s="67">
        <f t="shared" si="1"/>
        <v>225.86666666666665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61.488865417313029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3.04</v>
      </c>
      <c r="N15" s="13">
        <f>IF('Données projet'!$A$36&gt;35,N14+M15-V14,IF(A15&lt;'Données projet'!$A$36,$K$205^A15,IF(A15='Données projet'!$A$36,'Données projet'!$B$36,N14+M15-V14)))</f>
        <v>7.9944855946762656</v>
      </c>
      <c r="O15" s="13">
        <f>N15*VLOOKUP('Données projet'!$B$9,Paramètres!$A$1:$I$89,3,0)*VLOOKUP('Données projet'!$B$9,Paramètres!$A$1:$I$89,5,0)</f>
        <v>6.8592686402322363</v>
      </c>
      <c r="P15" s="13">
        <f t="shared" si="33"/>
        <v>2.5263128998916509</v>
      </c>
      <c r="Q15" s="20">
        <f t="shared" si="2"/>
        <v>16.34655451571577</v>
      </c>
      <c r="R15" s="59">
        <f t="shared" si="0"/>
        <v>256.47239437919688</v>
      </c>
      <c r="S15" s="59">
        <f ca="1">AVERAGE(OFFSET($R$3,0,0,'Données projet'!$E$9+1,1))-AVERAGE(OFFSET($H$3,0,0,'Données projet'!$E$9+1,1))</f>
        <v>476.79071915271794</v>
      </c>
      <c r="T15" s="59">
        <f t="shared" si="34"/>
        <v>264.79929759351762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61.488865417313029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2.1</v>
      </c>
      <c r="AI15" s="13">
        <f>IF('Données projet'!$A$62&gt;35,AI14+AH15-AQ14,IF(A15&lt;'Données projet'!$A$62,$AF$205^A15,IF(A15='Données projet'!$A$62,'Données projet'!$B$62,AI14+AH15-AQ14)))</f>
        <v>9.4178024044149407</v>
      </c>
      <c r="AJ15" s="13">
        <f>AI15*VLOOKUP('Données projet'!$B$10,Paramètres!$A$1:$I$89,3,0)*VLOOKUP('Données projet'!$B$10,Paramètres!$A$1:$I$89,5,0)</f>
        <v>7.9335567454791462</v>
      </c>
      <c r="AK15" s="13">
        <f t="shared" si="35"/>
        <v>2.8729093976493338</v>
      </c>
      <c r="AL15" s="20">
        <f t="shared" si="4"/>
        <v>18.82126186594877</v>
      </c>
      <c r="AM15" s="59">
        <f t="shared" si="5"/>
        <v>258.9471017294299</v>
      </c>
      <c r="AN15" s="59">
        <f ca="1">AVERAGE(OFFSET($AM$3,0,0,'Données projet'!$E$10+1,1))-AVERAGE(OFFSET($H$3,0,0,'Données projet'!$E$10+1,1))</f>
        <v>365.104658862176</v>
      </c>
      <c r="AO15" s="59">
        <f t="shared" si="36"/>
        <v>226.29232910286325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61.488865417313029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2.1</v>
      </c>
      <c r="BD15" s="12">
        <f>IF('Données projet'!$A$88&gt;35,BD14+BC15-BL14,IF(A15&lt;'Données projet'!$A$88,$BA$205^A15,IF(A15='Données projet'!$A$88,'Données projet'!$B$88,BD14+BC15-BL14)))</f>
        <v>9.4178024044149407</v>
      </c>
      <c r="BE15" s="13">
        <f>BD15*VLOOKUP('Données projet'!$B$11,Paramètres!$A$1:$I$89,3,0)*VLOOKUP('Données projet'!$B$11,Paramètres!$A$1:$I$89,5,0)</f>
        <v>8.521227615514638</v>
      </c>
      <c r="BF15" s="13">
        <f t="shared" si="37"/>
        <v>3.0601574970852128</v>
      </c>
      <c r="BG15" s="20">
        <f t="shared" si="7"/>
        <v>20.170912404444739</v>
      </c>
      <c r="BH15" s="59">
        <f t="shared" si="8"/>
        <v>260.29675226792585</v>
      </c>
      <c r="BI15" s="59">
        <f ca="1">AVERAGE(OFFSET($BH$3,0,0,'Données projet'!$E$11+1,1))-AVERAGE(OFFSET($H$3,0,0,'Données projet'!$E$11+1,1))</f>
        <v>388.12494342575195</v>
      </c>
      <c r="BJ15" s="59">
        <f t="shared" si="38"/>
        <v>239.39471445648454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61.488865417313029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2.1</v>
      </c>
      <c r="BY15" s="12">
        <f>IF('Données projet'!$A$114&gt;35,BY14+BX15-CG14,IF(A15&lt;'Données projet'!$A$114,$BV$205^A15,IF(A15='Données projet'!$A$114,'Données projet'!$B$114,BY14+BX15-CG14)))</f>
        <v>9.4178024044149407</v>
      </c>
      <c r="BZ15" s="13">
        <f>BY15*VLOOKUP('Données projet'!$B$12,Paramètres!$A$1:$I$89,3,0)*VLOOKUP('Données projet'!$B$12,Paramètres!$A$1:$I$89,5,0)</f>
        <v>9.5496516380767513</v>
      </c>
      <c r="CA15" s="13">
        <f t="shared" si="39"/>
        <v>3.3843014943027487</v>
      </c>
      <c r="CB15" s="20">
        <f t="shared" si="10"/>
        <v>22.526635038894295</v>
      </c>
      <c r="CC15" s="59">
        <f t="shared" si="11"/>
        <v>262.65247490237545</v>
      </c>
      <c r="CD15" s="59">
        <f ca="1">AVERAGE(OFFSET($CC$3,0,0,'Données projet'!$E$12+1,1))-AVERAGE(OFFSET($H$3,0,0,'Données projet'!$E$12+1,1))</f>
        <v>428.33148932885132</v>
      </c>
      <c r="CE15" s="59">
        <f t="shared" si="40"/>
        <v>262.27548054534373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61.488865417313029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1.2</v>
      </c>
      <c r="CT15" s="12">
        <f>IF('Données projet'!$A$140&gt;35,CT14+CS15-DB14,IF(A15&lt;'Données projet'!$A$140,$CQ$205^A15,IF(A15='Données projet'!$A$140,'Données projet'!$B$140,CT14+CS15-DB14)))</f>
        <v>5.1170328173444979</v>
      </c>
      <c r="CU15" s="17">
        <f>CT15*VLOOKUP('Données projet'!$B$13,Paramètres!$A$1:$I$89,3,0)*VLOOKUP('Données projet'!$B$13,Paramètres!$A$1:$I$89,5,0)</f>
        <v>4.8693684289850241</v>
      </c>
      <c r="CV15" s="13">
        <f t="shared" si="41"/>
        <v>1.8663920922210482</v>
      </c>
      <c r="CW15" s="20">
        <f t="shared" si="13"/>
        <v>11.73144957443391</v>
      </c>
      <c r="CX15" s="59">
        <f t="shared" si="14"/>
        <v>251.85728943791503</v>
      </c>
      <c r="CY15" s="59">
        <f ca="1">AVERAGE(OFFSET($CX$3,0,0,'Données projet'!$E$13+1,1))-AVERAGE(OFFSET($H$3,0,0,'Données projet'!$E$13+1,1))</f>
        <v>307.62549820830162</v>
      </c>
      <c r="CZ15" s="59">
        <f t="shared" si="42"/>
        <v>160.26466014910304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61.488865417313029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2.4666666666666668</v>
      </c>
      <c r="DO15" s="12">
        <f>IF('Données projet'!$A$166&gt;35,DO14+DN15-DW14,IF(A15&lt;'Données projet'!$A$166,$DL$205^A15,IF(A15='Données projet'!$A$166,'Données projet'!$B$166,DO14+DN15-DW14)))</f>
        <v>17.970550417308221</v>
      </c>
      <c r="DP15" s="17">
        <f>DO15*VLOOKUP('Données projet'!$B$14,Paramètres!$A$1:$I$89,3,0)*VLOOKUP('Données projet'!$B$14,Paramètres!$A$1:$I$89,5,0)</f>
        <v>14.297369912010421</v>
      </c>
      <c r="DQ15" s="13">
        <f t="shared" si="43"/>
        <v>4.8343312187127445</v>
      </c>
      <c r="DR15" s="20">
        <f t="shared" si="16"/>
        <v>33.321046136009507</v>
      </c>
      <c r="DS15" s="59">
        <f t="shared" si="17"/>
        <v>273.44688599949063</v>
      </c>
      <c r="DT15" s="59">
        <f ca="1">AVERAGE(OFFSET($DS$3,0,0,'Données projet'!$E$14+1,1))-AVERAGE(OFFSET($H$3,0,0,'Données projet'!$E$14+1,1))</f>
        <v>309.14579005132464</v>
      </c>
      <c r="DU15" s="59">
        <f t="shared" si="44"/>
        <v>300.60311050289533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61.488865417313029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10.8</v>
      </c>
      <c r="EJ15" s="12">
        <f>IF('Données projet'!$A$192&gt;35,EJ14+EI15-ER14,IF(A15&lt;'Données projet'!$A$192,$EG$205^A15,IF(A15='Données projet'!$A$192,'Données projet'!$B$192,EJ14+EI15-ER14)))</f>
        <v>32.6</v>
      </c>
      <c r="EK15" s="17">
        <f>EJ15*VLOOKUP('Données projet'!$B$15,Paramètres!$A$1:$I$89,3,0)*VLOOKUP('Données projet'!$B$15,Paramètres!$A$1:$I$89,5,0)</f>
        <v>23.90232</v>
      </c>
      <c r="EL15" s="13">
        <f t="shared" si="45"/>
        <v>7.6127522913266521</v>
      </c>
      <c r="EM15" s="20">
        <f t="shared" si="19"/>
        <v>54.88875090739392</v>
      </c>
      <c r="EN15" s="59">
        <f t="shared" si="20"/>
        <v>295.01459077087503</v>
      </c>
      <c r="EO15" s="59">
        <f ca="1">AVERAGE(OFFSET($EN$3,0,0,'Données projet'!$E$15+1,1))-AVERAGE(OFFSET($H$3,0,0,'Données projet'!$E$15+1,1))</f>
        <v>338.59243085476896</v>
      </c>
      <c r="EP15" s="59">
        <f t="shared" si="46"/>
        <v>329.8393445823275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61.488865417313029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10.8</v>
      </c>
      <c r="FE15" s="12">
        <f>IF('Données projet'!$A$218&gt;35,FE14+FD15-FM14,IF(A15&lt;'Données projet'!$A$218,$FB$205^A15,IF(A15='Données projet'!$A$218,'Données projet'!$B$218,FE14+FD15-FM14)))</f>
        <v>32.6</v>
      </c>
      <c r="FF15" s="17">
        <f>FE15*VLOOKUP('Données projet'!$B$16,Paramètres!$A$1:$I$89,3,0)*VLOOKUP('Données projet'!$B$16,Paramètres!$A$1:$I$89,5,0)</f>
        <v>21.35952</v>
      </c>
      <c r="FG15" s="13">
        <f t="shared" si="47"/>
        <v>6.892536972385793</v>
      </c>
      <c r="FH15" s="20">
        <f t="shared" si="22"/>
        <v>49.205665893571926</v>
      </c>
      <c r="FI15" s="59">
        <f t="shared" si="23"/>
        <v>289.33150575705304</v>
      </c>
      <c r="FJ15" s="59">
        <f ca="1">AVERAGE(OFFSET($FI$3,0,0,'Données projet'!$E$16+1,1))-AVERAGE(OFFSET($H$3,0,0,'Données projet'!$E$16+1,1))</f>
        <v>307.50573770128085</v>
      </c>
      <c r="FK15" s="59">
        <f t="shared" si="48"/>
        <v>300.2007312562655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61.488865417313029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10.8</v>
      </c>
      <c r="FZ15" s="12">
        <f>IF('Données projet'!$A$244&gt;35,FZ14+FY15-GH14,IF(A15&lt;'Données projet'!$A$244,$FW$205^A15,IF(A15='Données projet'!$A$244,'Données projet'!$B$244,FZ14+FY15-GH14)))</f>
        <v>32.6</v>
      </c>
      <c r="GA15" s="17">
        <f>FZ15*VLOOKUP('Données projet'!$B$17,Paramètres!$A$1:$I$89,3,0)*VLOOKUP('Données projet'!$B$17,Paramètres!$A$1:$I$89,5,0)</f>
        <v>26.445120000000003</v>
      </c>
      <c r="GB15" s="13">
        <f t="shared" si="49"/>
        <v>8.3240865246071554</v>
      </c>
      <c r="GC15" s="20">
        <f t="shared" si="25"/>
        <v>60.556368030357454</v>
      </c>
      <c r="GD15" s="59">
        <f t="shared" si="26"/>
        <v>300.68220789383861</v>
      </c>
      <c r="GE15" s="59">
        <f ca="1">AVERAGE(OFFSET($GD$3,0,0,'Données projet'!$E$17+1,1))-AVERAGE(OFFSET($H$3,0,0,'Données projet'!$E$17+1,1))</f>
        <v>369.60865427618342</v>
      </c>
      <c r="GF15" s="59">
        <f t="shared" si="50"/>
        <v>359.40898775279197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61.488865417313029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2.4666666666666668</v>
      </c>
      <c r="GU15" s="12">
        <f>IF('Données projet'!$A$270&gt;35,GU14+GT15-HC14,IF(A15&lt;'Données projet'!$A$270,$GR$205^A15,IF(A15='Données projet'!$A$270,'Données projet'!$B$270,GU14+GT15-HC14)))</f>
        <v>17.970550417308221</v>
      </c>
      <c r="GV15" s="17">
        <f>GU15*VLOOKUP('Données projet'!$B$18,Paramètres!$A$1:$I$89,3,0)*VLOOKUP('Données projet'!$B$18,Paramètres!$A$1:$I$89,5,0)</f>
        <v>11.774304633420346</v>
      </c>
      <c r="GW15" s="13">
        <f t="shared" si="51"/>
        <v>4.0722128281711418</v>
      </c>
      <c r="GX15" s="20">
        <f t="shared" si="28"/>
        <v>27.599351245605177</v>
      </c>
      <c r="GY15" s="59">
        <f t="shared" si="29"/>
        <v>267.72519110908632</v>
      </c>
      <c r="GZ15" s="59">
        <f ca="1">AVERAGE(OFFSET($GY$3,0,0,'Données projet'!$E$18+1,1))-AVERAGE(OFFSET($H$3,0,0,'Données projet'!$E$18+1,1))</f>
        <v>262.62914256200031</v>
      </c>
      <c r="HA15" s="59">
        <f t="shared" si="52"/>
        <v>256.45129229594409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2.1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7.7</v>
      </c>
      <c r="H16" s="67">
        <f t="shared" si="1"/>
        <v>225.86666666666665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61.636514574276333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3.04</v>
      </c>
      <c r="N16" s="13">
        <f>IF('Données projet'!$A$36&gt;35,N15+M16-V15,IF(A16&lt;'Données projet'!$A$36,$K$205^A16,IF(A16='Données projet'!$A$36,'Données projet'!$B$36,N15+M16-V15)))</f>
        <v>9.5065528732218016</v>
      </c>
      <c r="O16" s="13">
        <f>N16*VLOOKUP('Données projet'!$B$9,Paramètres!$A$1:$I$89,3,0)*VLOOKUP('Données projet'!$B$9,Paramètres!$A$1:$I$89,5,0)</f>
        <v>8.1566223652243064</v>
      </c>
      <c r="P16" s="13">
        <f t="shared" si="33"/>
        <v>2.9441681845143259</v>
      </c>
      <c r="Q16" s="20">
        <f t="shared" si="2"/>
        <v>19.333876874128119</v>
      </c>
      <c r="R16" s="59">
        <f t="shared" si="0"/>
        <v>261.22331920203021</v>
      </c>
      <c r="S16" s="59">
        <f ca="1">AVERAGE(OFFSET($R$3,0,0,'Données projet'!$E$9+1,1))-AVERAGE(OFFSET($H$3,0,0,'Données projet'!$E$9+1,1))</f>
        <v>476.79071915271794</v>
      </c>
      <c r="T16" s="59">
        <f t="shared" si="34"/>
        <v>264.79929759351762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61.636514574276333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2.1</v>
      </c>
      <c r="AI16" s="13">
        <f>IF('Données projet'!$A$62&gt;35,AI15+AH16-AQ15,IF(A16&lt;'Données projet'!$A$62,$AF$205^A16,IF(A16='Données projet'!$A$62,'Données projet'!$B$62,AI15+AH16-AQ15)))</f>
        <v>11.35303662145153</v>
      </c>
      <c r="AJ16" s="13">
        <f>AI16*VLOOKUP('Données projet'!$B$10,Paramètres!$A$1:$I$89,3,0)*VLOOKUP('Données projet'!$B$10,Paramètres!$A$1:$I$89,5,0)</f>
        <v>9.5637980499107691</v>
      </c>
      <c r="AK16" s="13">
        <f t="shared" si="35"/>
        <v>3.3887309065006521</v>
      </c>
      <c r="AL16" s="20">
        <f t="shared" si="4"/>
        <v>22.558987932416557</v>
      </c>
      <c r="AM16" s="59">
        <f t="shared" si="5"/>
        <v>264.44843026031867</v>
      </c>
      <c r="AN16" s="59">
        <f ca="1">AVERAGE(OFFSET($AM$3,0,0,'Données projet'!$E$10+1,1))-AVERAGE(OFFSET($H$3,0,0,'Données projet'!$E$10+1,1))</f>
        <v>365.104658862176</v>
      </c>
      <c r="AO16" s="59">
        <f t="shared" si="36"/>
        <v>226.29232910286325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61.636514574276333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2.1</v>
      </c>
      <c r="BD16" s="12">
        <f>IF('Données projet'!$A$88&gt;35,BD15+BC16-BL15,IF(A16&lt;'Données projet'!$A$88,$BA$205^A16,IF(A16='Données projet'!$A$88,'Données projet'!$B$88,BD15+BC16-BL15)))</f>
        <v>11.35303662145153</v>
      </c>
      <c r="BE16" s="13">
        <f>BD16*VLOOKUP('Données projet'!$B$11,Paramètres!$A$1:$I$89,3,0)*VLOOKUP('Données projet'!$B$11,Paramètres!$A$1:$I$89,5,0)</f>
        <v>10.272227535089344</v>
      </c>
      <c r="BF16" s="13">
        <f t="shared" si="37"/>
        <v>3.6095987912522753</v>
      </c>
      <c r="BG16" s="20">
        <f t="shared" si="7"/>
        <v>24.177514185044988</v>
      </c>
      <c r="BH16" s="59">
        <f t="shared" si="8"/>
        <v>266.06695651294706</v>
      </c>
      <c r="BI16" s="59">
        <f ca="1">AVERAGE(OFFSET($BH$3,0,0,'Données projet'!$E$11+1,1))-AVERAGE(OFFSET($H$3,0,0,'Données projet'!$E$11+1,1))</f>
        <v>388.12494342575195</v>
      </c>
      <c r="BJ16" s="59">
        <f t="shared" si="38"/>
        <v>239.39471445648454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61.636514574276333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2.1</v>
      </c>
      <c r="BY16" s="12">
        <f>IF('Données projet'!$A$114&gt;35,BY15+BX16-CG15,IF(A16&lt;'Données projet'!$A$114,$BV$205^A16,IF(A16='Données projet'!$A$114,'Données projet'!$B$114,BY15+BX16-CG15)))</f>
        <v>11.35303662145153</v>
      </c>
      <c r="BZ16" s="13">
        <f>BY16*VLOOKUP('Données projet'!$B$12,Paramètres!$A$1:$I$89,3,0)*VLOOKUP('Données projet'!$B$12,Paramètres!$A$1:$I$89,5,0)</f>
        <v>11.511979134151852</v>
      </c>
      <c r="CA16" s="13">
        <f t="shared" si="39"/>
        <v>3.9919417855793822</v>
      </c>
      <c r="CB16" s="20">
        <f t="shared" si="10"/>
        <v>27.002662268531896</v>
      </c>
      <c r="CC16" s="59">
        <f t="shared" si="11"/>
        <v>268.89210459643397</v>
      </c>
      <c r="CD16" s="59">
        <f ca="1">AVERAGE(OFFSET($CC$3,0,0,'Données projet'!$E$12+1,1))-AVERAGE(OFFSET($H$3,0,0,'Données projet'!$E$12+1,1))</f>
        <v>428.33148932885132</v>
      </c>
      <c r="CE16" s="59">
        <f t="shared" si="40"/>
        <v>262.27548054534373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61.636514574276333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1.2</v>
      </c>
      <c r="CT16" s="12">
        <f>IF('Données projet'!$A$140&gt;35,CT15+CS16-DB15,IF(A16&lt;'Données projet'!$A$140,$CQ$205^A16,IF(A16='Données projet'!$A$140,'Données projet'!$B$140,CT15+CS16-DB15)))</f>
        <v>5.8627726400958746</v>
      </c>
      <c r="CU16" s="17">
        <f>CT16*VLOOKUP('Données projet'!$B$13,Paramètres!$A$1:$I$89,3,0)*VLOOKUP('Données projet'!$B$13,Paramètres!$A$1:$I$89,5,0)</f>
        <v>5.5790144443152343</v>
      </c>
      <c r="CV16" s="13">
        <f t="shared" si="41"/>
        <v>2.1047972096983822</v>
      </c>
      <c r="CW16" s="20">
        <f t="shared" si="13"/>
        <v>13.382638630740383</v>
      </c>
      <c r="CX16" s="59">
        <f t="shared" si="14"/>
        <v>255.27208095864248</v>
      </c>
      <c r="CY16" s="59">
        <f ca="1">AVERAGE(OFFSET($CX$3,0,0,'Données projet'!$E$13+1,1))-AVERAGE(OFFSET($H$3,0,0,'Données projet'!$E$13+1,1))</f>
        <v>307.62549820830162</v>
      </c>
      <c r="CZ16" s="59">
        <f t="shared" si="42"/>
        <v>160.26466014910304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61.636514574276333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2.4666666666666668</v>
      </c>
      <c r="DO16" s="12">
        <f>IF('Données projet'!$A$166&gt;35,DO15+DN16-DW15,IF(A16&lt;'Données projet'!$A$166,$DL$205^A16,IF(A16='Données projet'!$A$166,'Données projet'!$B$166,DO15+DN16-DW15)))</f>
        <v>22.86168101684942</v>
      </c>
      <c r="DP16" s="17">
        <f>DO16*VLOOKUP('Données projet'!$B$14,Paramètres!$A$1:$I$89,3,0)*VLOOKUP('Données projet'!$B$14,Paramètres!$A$1:$I$89,5,0)</f>
        <v>18.188753417005401</v>
      </c>
      <c r="DQ16" s="13">
        <f t="shared" si="43"/>
        <v>5.9801756254374139</v>
      </c>
      <c r="DR16" s="20">
        <f t="shared" si="16"/>
        <v>42.094218082254564</v>
      </c>
      <c r="DS16" s="59">
        <f t="shared" si="17"/>
        <v>283.98366041015663</v>
      </c>
      <c r="DT16" s="59">
        <f ca="1">AVERAGE(OFFSET($DS$3,0,0,'Données projet'!$E$14+1,1))-AVERAGE(OFFSET($H$3,0,0,'Données projet'!$E$14+1,1))</f>
        <v>309.14579005132464</v>
      </c>
      <c r="DU16" s="59">
        <f t="shared" si="44"/>
        <v>300.60311050289533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61.636514574276333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10.8</v>
      </c>
      <c r="EJ16" s="12">
        <f>IF('Données projet'!$A$192&gt;35,EJ15+EI16-ER15,IF(A16&lt;'Données projet'!$A$192,$EG$205^A16,IF(A16='Données projet'!$A$192,'Données projet'!$B$192,EJ15+EI16-ER15)))</f>
        <v>43.400000000000006</v>
      </c>
      <c r="EK16" s="17">
        <f>EJ16*VLOOKUP('Données projet'!$B$15,Paramètres!$A$1:$I$89,3,0)*VLOOKUP('Données projet'!$B$15,Paramètres!$A$1:$I$89,5,0)</f>
        <v>31.820880000000006</v>
      </c>
      <c r="EL16" s="13">
        <f t="shared" si="45"/>
        <v>9.8027641140385384</v>
      </c>
      <c r="EM16" s="20">
        <f t="shared" si="19"/>
        <v>72.494513498617124</v>
      </c>
      <c r="EN16" s="59">
        <f t="shared" si="20"/>
        <v>314.38395582651924</v>
      </c>
      <c r="EO16" s="59">
        <f ca="1">AVERAGE(OFFSET($EN$3,0,0,'Données projet'!$E$15+1,1))-AVERAGE(OFFSET($H$3,0,0,'Données projet'!$E$15+1,1))</f>
        <v>338.59243085476896</v>
      </c>
      <c r="EP16" s="59">
        <f t="shared" si="46"/>
        <v>329.8393445823275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61.636514574276333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10.8</v>
      </c>
      <c r="FE16" s="12">
        <f>IF('Données projet'!$A$218&gt;35,FE15+FD16-FM15,IF(A16&lt;'Données projet'!$A$218,$FB$205^A16,IF(A16='Données projet'!$A$218,'Données projet'!$B$218,FE15+FD16-FM15)))</f>
        <v>43.400000000000006</v>
      </c>
      <c r="FF16" s="17">
        <f>FE16*VLOOKUP('Données projet'!$B$16,Paramètres!$A$1:$I$89,3,0)*VLOOKUP('Données projet'!$B$16,Paramètres!$A$1:$I$89,5,0)</f>
        <v>28.435680000000005</v>
      </c>
      <c r="FG16" s="13">
        <f t="shared" si="47"/>
        <v>8.875359594264788</v>
      </c>
      <c r="FH16" s="20">
        <f t="shared" si="22"/>
        <v>64.983393960011185</v>
      </c>
      <c r="FI16" s="59">
        <f t="shared" si="23"/>
        <v>306.87283628791329</v>
      </c>
      <c r="FJ16" s="59">
        <f ca="1">AVERAGE(OFFSET($FI$3,0,0,'Données projet'!$E$16+1,1))-AVERAGE(OFFSET($H$3,0,0,'Données projet'!$E$16+1,1))</f>
        <v>307.50573770128085</v>
      </c>
      <c r="FK16" s="59">
        <f t="shared" si="48"/>
        <v>300.2007312562655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61.636514574276333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10.8</v>
      </c>
      <c r="FZ16" s="12">
        <f>IF('Données projet'!$A$244&gt;35,FZ15+FY16-GH15,IF(A16&lt;'Données projet'!$A$244,$FW$205^A16,IF(A16='Données projet'!$A$244,'Données projet'!$B$244,FZ15+FY16-GH15)))</f>
        <v>43.400000000000006</v>
      </c>
      <c r="GA16" s="17">
        <f>FZ16*VLOOKUP('Données projet'!$B$17,Paramètres!$A$1:$I$89,3,0)*VLOOKUP('Données projet'!$B$17,Paramètres!$A$1:$I$89,5,0)</f>
        <v>35.206080000000007</v>
      </c>
      <c r="GB16" s="13">
        <f t="shared" si="49"/>
        <v>10.718732666310196</v>
      </c>
      <c r="GC16" s="20">
        <f t="shared" si="25"/>
        <v>79.985715393823597</v>
      </c>
      <c r="GD16" s="59">
        <f t="shared" si="26"/>
        <v>321.87515772172571</v>
      </c>
      <c r="GE16" s="59">
        <f ca="1">AVERAGE(OFFSET($GD$3,0,0,'Données projet'!$E$17+1,1))-AVERAGE(OFFSET($H$3,0,0,'Données projet'!$E$17+1,1))</f>
        <v>369.60865427618342</v>
      </c>
      <c r="GF16" s="59">
        <f t="shared" si="50"/>
        <v>359.40898775279197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61.636514574276333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2.4666666666666668</v>
      </c>
      <c r="GU16" s="12">
        <f>IF('Données projet'!$A$270&gt;35,GU15+GT16-HC15,IF(A16&lt;'Données projet'!$A$270,$GR$205^A16,IF(A16='Données projet'!$A$270,'Données projet'!$B$270,GU15+GT16-HC15)))</f>
        <v>22.86168101684942</v>
      </c>
      <c r="GV16" s="17">
        <f>GU16*VLOOKUP('Données projet'!$B$18,Paramètres!$A$1:$I$89,3,0)*VLOOKUP('Données projet'!$B$18,Paramètres!$A$1:$I$89,5,0)</f>
        <v>14.97897340223974</v>
      </c>
      <c r="GW16" s="13">
        <f t="shared" si="51"/>
        <v>5.0374181649694805</v>
      </c>
      <c r="GX16" s="20">
        <f t="shared" si="28"/>
        <v>34.861881979556053</v>
      </c>
      <c r="GY16" s="59">
        <f t="shared" si="29"/>
        <v>276.75132430745816</v>
      </c>
      <c r="GZ16" s="59">
        <f ca="1">AVERAGE(OFFSET($GY$3,0,0,'Données projet'!$E$18+1,1))-AVERAGE(OFFSET($H$3,0,0,'Données projet'!$E$18+1,1))</f>
        <v>262.62914256200031</v>
      </c>
      <c r="HA16" s="59">
        <f t="shared" si="52"/>
        <v>256.45129229594409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2.1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7.7</v>
      </c>
      <c r="H17" s="67">
        <f t="shared" si="1"/>
        <v>225.86666666666665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61.781602348460382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3.04</v>
      </c>
      <c r="N17" s="13">
        <f>IF('Données projet'!$A$36&gt;35,N16+M17-V16,IF(A17&lt;'Données projet'!$A$36,$K$205^A17,IF(A17='Données projet'!$A$36,'Données projet'!$B$36,N16+M17-V16)))</f>
        <v>11.304610717110355</v>
      </c>
      <c r="O17" s="13">
        <f>N17*VLOOKUP('Données projet'!$B$9,Paramètres!$A$1:$I$89,3,0)*VLOOKUP('Données projet'!$B$9,Paramètres!$A$1:$I$89,5,0)</f>
        <v>9.6993559952806851</v>
      </c>
      <c r="P17" s="13">
        <f t="shared" si="33"/>
        <v>3.4311372510816627</v>
      </c>
      <c r="Q17" s="20">
        <f t="shared" si="2"/>
        <v>22.868942404081093</v>
      </c>
      <c r="R17" s="59">
        <f t="shared" si="0"/>
        <v>266.51259545954696</v>
      </c>
      <c r="S17" s="59">
        <f ca="1">AVERAGE(OFFSET($R$3,0,0,'Données projet'!$E$9+1,1))-AVERAGE(OFFSET($H$3,0,0,'Données projet'!$E$9+1,1))</f>
        <v>476.79071915271794</v>
      </c>
      <c r="T17" s="59">
        <f t="shared" si="34"/>
        <v>264.79929759351762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61.781602348460382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2.1</v>
      </c>
      <c r="AI17" s="13">
        <f>IF('Données projet'!$A$62&gt;35,AI16+AH17-AQ16,IF(A17&lt;'Données projet'!$A$62,$AF$205^A17,IF(A17='Données projet'!$A$62,'Données projet'!$B$62,AI16+AH17-AQ16)))</f>
        <v>13.685935953338433</v>
      </c>
      <c r="AJ17" s="13">
        <f>AI17*VLOOKUP('Données projet'!$B$10,Paramètres!$A$1:$I$89,3,0)*VLOOKUP('Données projet'!$B$10,Paramètres!$A$1:$I$89,5,0)</f>
        <v>11.529032447092296</v>
      </c>
      <c r="AK17" s="13">
        <f t="shared" si="35"/>
        <v>3.9971664842854926</v>
      </c>
      <c r="AL17" s="20">
        <f t="shared" si="4"/>
        <v>27.041463138816312</v>
      </c>
      <c r="AM17" s="59">
        <f t="shared" si="5"/>
        <v>270.68511619428216</v>
      </c>
      <c r="AN17" s="59">
        <f ca="1">AVERAGE(OFFSET($AM$3,0,0,'Données projet'!$E$10+1,1))-AVERAGE(OFFSET($H$3,0,0,'Données projet'!$E$10+1,1))</f>
        <v>365.104658862176</v>
      </c>
      <c r="AO17" s="59">
        <f t="shared" si="36"/>
        <v>226.29232910286325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61.781602348460382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2.1</v>
      </c>
      <c r="BD17" s="12">
        <f>IF('Données projet'!$A$88&gt;35,BD16+BC17-BL16,IF(A17&lt;'Données projet'!$A$88,$BA$205^A17,IF(A17='Données projet'!$A$88,'Données projet'!$B$88,BD16+BC17-BL16)))</f>
        <v>13.685935953338433</v>
      </c>
      <c r="BE17" s="13">
        <f>BD17*VLOOKUP('Données projet'!$B$11,Paramètres!$A$1:$I$89,3,0)*VLOOKUP('Données projet'!$B$11,Paramètres!$A$1:$I$89,5,0)</f>
        <v>12.383034850580612</v>
      </c>
      <c r="BF17" s="13">
        <f t="shared" si="37"/>
        <v>4.2576904771143838</v>
      </c>
      <c r="BG17" s="20">
        <f t="shared" si="7"/>
        <v>28.982596612402116</v>
      </c>
      <c r="BH17" s="59">
        <f t="shared" si="8"/>
        <v>272.62624966786797</v>
      </c>
      <c r="BI17" s="59">
        <f ca="1">AVERAGE(OFFSET($BH$3,0,0,'Données projet'!$E$11+1,1))-AVERAGE(OFFSET($H$3,0,0,'Données projet'!$E$11+1,1))</f>
        <v>388.12494342575195</v>
      </c>
      <c r="BJ17" s="59">
        <f t="shared" si="38"/>
        <v>239.39471445648454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61.781602348460382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2.1</v>
      </c>
      <c r="BY17" s="12">
        <f>IF('Données projet'!$A$114&gt;35,BY16+BX17-CG16,IF(A17&lt;'Données projet'!$A$114,$BV$205^A17,IF(A17='Données projet'!$A$114,'Données projet'!$B$114,BY16+BX17-CG16)))</f>
        <v>13.685935953338433</v>
      </c>
      <c r="BZ17" s="13">
        <f>BY17*VLOOKUP('Données projet'!$B$12,Paramètres!$A$1:$I$89,3,0)*VLOOKUP('Données projet'!$B$12,Paramètres!$A$1:$I$89,5,0)</f>
        <v>13.877539056685173</v>
      </c>
      <c r="CA17" s="13">
        <f t="shared" si="39"/>
        <v>4.7086819085950955</v>
      </c>
      <c r="CB17" s="20">
        <f t="shared" si="10"/>
        <v>32.371001514529802</v>
      </c>
      <c r="CC17" s="59">
        <f t="shared" si="11"/>
        <v>276.01465456999563</v>
      </c>
      <c r="CD17" s="59">
        <f ca="1">AVERAGE(OFFSET($CC$3,0,0,'Données projet'!$E$12+1,1))-AVERAGE(OFFSET($H$3,0,0,'Données projet'!$E$12+1,1))</f>
        <v>428.33148932885132</v>
      </c>
      <c r="CE17" s="59">
        <f t="shared" si="40"/>
        <v>262.27548054534373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61.781602348460382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1.2</v>
      </c>
      <c r="CT17" s="12">
        <f>IF('Données projet'!$A$140&gt;35,CT16+CS17-DB16,IF(A17&lt;'Données projet'!$A$140,$CQ$205^A17,IF(A17='Données projet'!$A$140,'Données projet'!$B$140,CT16+CS17-DB16)))</f>
        <v>6.7171941741218459</v>
      </c>
      <c r="CU17" s="17">
        <f>CT17*VLOOKUP('Données projet'!$B$13,Paramètres!$A$1:$I$89,3,0)*VLOOKUP('Données projet'!$B$13,Paramètres!$A$1:$I$89,5,0)</f>
        <v>6.3920819760943495</v>
      </c>
      <c r="CV17" s="13">
        <f t="shared" si="41"/>
        <v>2.3736551994720978</v>
      </c>
      <c r="CW17" s="20">
        <f t="shared" si="13"/>
        <v>15.266992247444895</v>
      </c>
      <c r="CX17" s="59">
        <f t="shared" si="14"/>
        <v>258.91064530291072</v>
      </c>
      <c r="CY17" s="59">
        <f ca="1">AVERAGE(OFFSET($CX$3,0,0,'Données projet'!$E$13+1,1))-AVERAGE(OFFSET($H$3,0,0,'Données projet'!$E$13+1,1))</f>
        <v>307.62549820830162</v>
      </c>
      <c r="CZ17" s="59">
        <f t="shared" si="42"/>
        <v>160.26466014910304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61.781602348460382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2.4666666666666668</v>
      </c>
      <c r="DO17" s="12">
        <f>IF('Données projet'!$A$166&gt;35,DO16+DN17-DW16,IF(A17&lt;'Données projet'!$A$166,$DL$205^A17,IF(A17='Données projet'!$A$166,'Données projet'!$B$166,DO16+DN17-DW16)))</f>
        <v>29.084054009429774</v>
      </c>
      <c r="DP17" s="17">
        <f>DO17*VLOOKUP('Données projet'!$B$14,Paramètres!$A$1:$I$89,3,0)*VLOOKUP('Données projet'!$B$14,Paramètres!$A$1:$I$89,5,0)</f>
        <v>23.13927336990233</v>
      </c>
      <c r="DQ17" s="13">
        <f t="shared" si="43"/>
        <v>7.3976107331343286</v>
      </c>
      <c r="DR17" s="20">
        <f t="shared" si="16"/>
        <v>53.185073146122171</v>
      </c>
      <c r="DS17" s="59">
        <f t="shared" si="17"/>
        <v>296.82872620158804</v>
      </c>
      <c r="DT17" s="59">
        <f ca="1">AVERAGE(OFFSET($DS$3,0,0,'Données projet'!$E$14+1,1))-AVERAGE(OFFSET($H$3,0,0,'Données projet'!$E$14+1,1))</f>
        <v>309.14579005132464</v>
      </c>
      <c r="DU17" s="59">
        <f t="shared" si="44"/>
        <v>300.60311050289533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61.781602348460382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10.8</v>
      </c>
      <c r="EJ17" s="12">
        <f>IF('Données projet'!$A$192&gt;35,EJ16+EI17-ER16,IF(A17&lt;'Données projet'!$A$192,$EG$205^A17,IF(A17='Données projet'!$A$192,'Données projet'!$B$192,EJ16+EI17-ER16)))</f>
        <v>54.2</v>
      </c>
      <c r="EK17" s="17">
        <f>EJ17*VLOOKUP('Données projet'!$B$15,Paramètres!$A$1:$I$89,3,0)*VLOOKUP('Données projet'!$B$15,Paramètres!$A$1:$I$89,5,0)</f>
        <v>39.739440000000002</v>
      </c>
      <c r="EL17" s="13">
        <f t="shared" si="45"/>
        <v>11.929559204083212</v>
      </c>
      <c r="EM17" s="20">
        <f t="shared" si="19"/>
        <v>89.990173613778268</v>
      </c>
      <c r="EN17" s="59">
        <f t="shared" si="20"/>
        <v>333.63382666924412</v>
      </c>
      <c r="EO17" s="59">
        <f ca="1">AVERAGE(OFFSET($EN$3,0,0,'Données projet'!$E$15+1,1))-AVERAGE(OFFSET($H$3,0,0,'Données projet'!$E$15+1,1))</f>
        <v>338.59243085476896</v>
      </c>
      <c r="EP17" s="59">
        <f t="shared" si="46"/>
        <v>329.8393445823275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61.781602348460382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10.8</v>
      </c>
      <c r="FE17" s="12">
        <f>IF('Données projet'!$A$218&gt;35,FE16+FD17-FM16,IF(A17&lt;'Données projet'!$A$218,$FB$205^A17,IF(A17='Données projet'!$A$218,'Données projet'!$B$218,FE16+FD17-FM16)))</f>
        <v>54.2</v>
      </c>
      <c r="FF17" s="17">
        <f>FE17*VLOOKUP('Données projet'!$B$16,Paramètres!$A$1:$I$89,3,0)*VLOOKUP('Données projet'!$B$16,Paramètres!$A$1:$I$89,5,0)</f>
        <v>35.511839999999999</v>
      </c>
      <c r="FG17" s="13">
        <f t="shared" si="47"/>
        <v>10.800946192888624</v>
      </c>
      <c r="FH17" s="20">
        <f t="shared" si="22"/>
        <v>80.661435952614355</v>
      </c>
      <c r="FI17" s="59">
        <f t="shared" si="23"/>
        <v>324.30508900808019</v>
      </c>
      <c r="FJ17" s="59">
        <f ca="1">AVERAGE(OFFSET($FI$3,0,0,'Données projet'!$E$16+1,1))-AVERAGE(OFFSET($H$3,0,0,'Données projet'!$E$16+1,1))</f>
        <v>307.50573770128085</v>
      </c>
      <c r="FK17" s="59">
        <f t="shared" si="48"/>
        <v>300.2007312562655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61.781602348460382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10.8</v>
      </c>
      <c r="FZ17" s="12">
        <f>IF('Données projet'!$A$244&gt;35,FZ16+FY17-GH16,IF(A17&lt;'Données projet'!$A$244,$FW$205^A17,IF(A17='Données projet'!$A$244,'Données projet'!$B$244,FZ16+FY17-GH16)))</f>
        <v>54.2</v>
      </c>
      <c r="GA17" s="17">
        <f>FZ17*VLOOKUP('Données projet'!$B$17,Paramètres!$A$1:$I$89,3,0)*VLOOKUP('Données projet'!$B$17,Paramètres!$A$1:$I$89,5,0)</f>
        <v>43.967040000000004</v>
      </c>
      <c r="GB17" s="13">
        <f t="shared" si="49"/>
        <v>13.04425511497986</v>
      </c>
      <c r="GC17" s="20">
        <f t="shared" si="25"/>
        <v>99.294672325256599</v>
      </c>
      <c r="GD17" s="59">
        <f t="shared" si="26"/>
        <v>342.93832538072246</v>
      </c>
      <c r="GE17" s="59">
        <f ca="1">AVERAGE(OFFSET($GD$3,0,0,'Données projet'!$E$17+1,1))-AVERAGE(OFFSET($H$3,0,0,'Données projet'!$E$17+1,1))</f>
        <v>369.60865427618342</v>
      </c>
      <c r="GF17" s="59">
        <f t="shared" si="50"/>
        <v>359.40898775279197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61.781602348460382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2.4666666666666668</v>
      </c>
      <c r="GU17" s="12">
        <f>IF('Données projet'!$A$270&gt;35,GU16+GT17-HC16,IF(A17&lt;'Données projet'!$A$270,$GR$205^A17,IF(A17='Données projet'!$A$270,'Données projet'!$B$270,GU16+GT17-HC16)))</f>
        <v>29.084054009429774</v>
      </c>
      <c r="GV17" s="17">
        <f>GU17*VLOOKUP('Données projet'!$B$18,Paramètres!$A$1:$I$89,3,0)*VLOOKUP('Données projet'!$B$18,Paramètres!$A$1:$I$89,5,0)</f>
        <v>19.055872186978391</v>
      </c>
      <c r="GW17" s="13">
        <f t="shared" si="51"/>
        <v>6.231398711093604</v>
      </c>
      <c r="GX17" s="20">
        <f t="shared" si="28"/>
        <v>44.041996814142045</v>
      </c>
      <c r="GY17" s="59">
        <f t="shared" si="29"/>
        <v>287.68564986960791</v>
      </c>
      <c r="GZ17" s="59">
        <f ca="1">AVERAGE(OFFSET($GY$3,0,0,'Données projet'!$E$18+1,1))-AVERAGE(OFFSET($H$3,0,0,'Données projet'!$E$18+1,1))</f>
        <v>262.62914256200031</v>
      </c>
      <c r="HA17" s="59">
        <f t="shared" si="52"/>
        <v>256.45129229594409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2.1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7.7</v>
      </c>
      <c r="H18" s="67">
        <f t="shared" si="1"/>
        <v>225.86666666666665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61.924173174130004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3.04</v>
      </c>
      <c r="N18" s="13">
        <f>IF('Données projet'!$A$36&gt;35,N17+M18-V17,IF(A18&lt;'Données projet'!$A$36,$K$205^A18,IF(A18='Données projet'!$A$36,'Données projet'!$B$36,N17+M18-V17)))</f>
        <v>13.442751033908303</v>
      </c>
      <c r="O18" s="13">
        <f>N18*VLOOKUP('Données projet'!$B$9,Paramètres!$A$1:$I$89,3,0)*VLOOKUP('Données projet'!$B$9,Paramètres!$A$1:$I$89,5,0)</f>
        <v>11.533880387093326</v>
      </c>
      <c r="P18" s="13">
        <f t="shared" si="33"/>
        <v>3.9986516047833276</v>
      </c>
      <c r="Q18" s="20">
        <f t="shared" si="2"/>
        <v>27.05249321918517</v>
      </c>
      <c r="R18" s="59">
        <f t="shared" si="0"/>
        <v>272.44112819099519</v>
      </c>
      <c r="S18" s="59">
        <f ca="1">AVERAGE(OFFSET($R$3,0,0,'Données projet'!$E$9+1,1))-AVERAGE(OFFSET($H$3,0,0,'Données projet'!$E$9+1,1))</f>
        <v>476.79071915271794</v>
      </c>
      <c r="T18" s="59">
        <f t="shared" si="34"/>
        <v>264.79929759351762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61.924173174130004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2.1</v>
      </c>
      <c r="AI18" s="13">
        <f>IF('Données projet'!$A$62&gt;35,AI17+AH18-AQ17,IF(A18&lt;'Données projet'!$A$62,$AF$205^A18,IF(A18='Données projet'!$A$62,'Données projet'!$B$62,AI17+AH18-AQ17)))</f>
        <v>16.498215337821566</v>
      </c>
      <c r="AJ18" s="13">
        <f>AI18*VLOOKUP('Données projet'!$B$10,Paramètres!$A$1:$I$89,3,0)*VLOOKUP('Données projet'!$B$10,Paramètres!$A$1:$I$89,5,0)</f>
        <v>13.898096600580887</v>
      </c>
      <c r="AK18" s="13">
        <f t="shared" si="35"/>
        <v>4.7148446849071632</v>
      </c>
      <c r="AL18" s="20">
        <f t="shared" si="4"/>
        <v>32.417539405558351</v>
      </c>
      <c r="AM18" s="59">
        <f t="shared" si="5"/>
        <v>277.80617437736834</v>
      </c>
      <c r="AN18" s="59">
        <f ca="1">AVERAGE(OFFSET($AM$3,0,0,'Données projet'!$E$10+1,1))-AVERAGE(OFFSET($H$3,0,0,'Données projet'!$E$10+1,1))</f>
        <v>365.104658862176</v>
      </c>
      <c r="AO18" s="59">
        <f t="shared" si="36"/>
        <v>226.29232910286325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61.924173174130004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2.1</v>
      </c>
      <c r="BD18" s="12">
        <f>IF('Données projet'!$A$88&gt;35,BD17+BC18-BL17,IF(A18&lt;'Données projet'!$A$88,$BA$205^A18,IF(A18='Données projet'!$A$88,'Données projet'!$B$88,BD17+BC18-BL17)))</f>
        <v>16.498215337821566</v>
      </c>
      <c r="BE18" s="13">
        <f>BD18*VLOOKUP('Données projet'!$B$11,Paramètres!$A$1:$I$89,3,0)*VLOOKUP('Données projet'!$B$11,Paramètres!$A$1:$I$89,5,0)</f>
        <v>14.927585237660953</v>
      </c>
      <c r="BF18" s="13">
        <f t="shared" si="37"/>
        <v>5.0221449106318534</v>
      </c>
      <c r="BG18" s="20">
        <f t="shared" si="7"/>
        <v>34.745780008276633</v>
      </c>
      <c r="BH18" s="59">
        <f t="shared" si="8"/>
        <v>280.13441498008666</v>
      </c>
      <c r="BI18" s="59">
        <f ca="1">AVERAGE(OFFSET($BH$3,0,0,'Données projet'!$E$11+1,1))-AVERAGE(OFFSET($H$3,0,0,'Données projet'!$E$11+1,1))</f>
        <v>388.12494342575195</v>
      </c>
      <c r="BJ18" s="59">
        <f t="shared" si="38"/>
        <v>239.39471445648454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61.924173174130004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2.1</v>
      </c>
      <c r="BY18" s="12">
        <f>IF('Données projet'!$A$114&gt;35,BY17+BX18-CG17,IF(A18&lt;'Données projet'!$A$114,$BV$205^A18,IF(A18='Données projet'!$A$114,'Données projet'!$B$114,BY17+BX18-CG17)))</f>
        <v>16.498215337821566</v>
      </c>
      <c r="BZ18" s="13">
        <f>BY18*VLOOKUP('Données projet'!$B$12,Paramètres!$A$1:$I$89,3,0)*VLOOKUP('Données projet'!$B$12,Paramètres!$A$1:$I$89,5,0)</f>
        <v>16.729190352551068</v>
      </c>
      <c r="CA18" s="13">
        <f t="shared" si="39"/>
        <v>5.5541103821765283</v>
      </c>
      <c r="CB18" s="20">
        <f t="shared" si="10"/>
        <v>38.810082112983899</v>
      </c>
      <c r="CC18" s="59">
        <f t="shared" si="11"/>
        <v>284.19871708479388</v>
      </c>
      <c r="CD18" s="59">
        <f ca="1">AVERAGE(OFFSET($CC$3,0,0,'Données projet'!$E$12+1,1))-AVERAGE(OFFSET($H$3,0,0,'Données projet'!$E$12+1,1))</f>
        <v>428.33148932885132</v>
      </c>
      <c r="CE18" s="59">
        <f t="shared" si="40"/>
        <v>262.27548054534373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61.924173174130004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1.2</v>
      </c>
      <c r="CT18" s="12">
        <f>IF('Données projet'!$A$140&gt;35,CT17+CS18-DB17,IF(A18&lt;'Données projet'!$A$140,$CQ$205^A18,IF(A18='Données projet'!$A$140,'Données projet'!$B$140,CT17+CS18-DB17)))</f>
        <v>7.6961363407260848</v>
      </c>
      <c r="CU18" s="17">
        <f>CT18*VLOOKUP('Données projet'!$B$13,Paramètres!$A$1:$I$89,3,0)*VLOOKUP('Données projet'!$B$13,Paramètres!$A$1:$I$89,5,0)</f>
        <v>7.3236433418349414</v>
      </c>
      <c r="CV18" s="13">
        <f t="shared" si="41"/>
        <v>2.6768559840443293</v>
      </c>
      <c r="CW18" s="20">
        <f t="shared" si="13"/>
        <v>17.417536325906397</v>
      </c>
      <c r="CX18" s="59">
        <f t="shared" si="14"/>
        <v>262.80617129771639</v>
      </c>
      <c r="CY18" s="59">
        <f ca="1">AVERAGE(OFFSET($CX$3,0,0,'Données projet'!$E$13+1,1))-AVERAGE(OFFSET($H$3,0,0,'Données projet'!$E$13+1,1))</f>
        <v>307.62549820830162</v>
      </c>
      <c r="CZ18" s="59">
        <f t="shared" si="42"/>
        <v>160.26466014910304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61.924173174130004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37</v>
      </c>
      <c r="DM18" s="12">
        <f>VLOOKUP(A18,'Données projet'!$A$165:$I$185,9,0)</f>
        <v>2.4666666666666668</v>
      </c>
      <c r="DN18" s="12">
        <f t="array" ref="DN18">INDEX(DM:DM,MIN(IF(ISNUMBER(DM18:DM214),ROW(DM18:DM214),"")))</f>
        <v>2.4666666666666668</v>
      </c>
      <c r="DO18" s="12">
        <f>IF('Données projet'!$A$166&gt;35,DO17+DN18-DW17,IF(A18&lt;'Données projet'!$A$166,$DL$205^A18,IF(A18='Données projet'!$A$166,'Données projet'!$B$166,DO17+DN18-DW17)))</f>
        <v>37</v>
      </c>
      <c r="DP18" s="17">
        <f>DO18*VLOOKUP('Données projet'!$B$14,Paramètres!$A$1:$I$89,3,0)*VLOOKUP('Données projet'!$B$14,Paramètres!$A$1:$I$89,5,0)</f>
        <v>29.437200000000004</v>
      </c>
      <c r="DQ18" s="13">
        <f t="shared" si="43"/>
        <v>9.1510096001539196</v>
      </c>
      <c r="DR18" s="20">
        <f t="shared" si="16"/>
        <v>67.207798386934755</v>
      </c>
      <c r="DS18" s="59">
        <f t="shared" si="17"/>
        <v>312.59643335874478</v>
      </c>
      <c r="DT18" s="59">
        <f ca="1">AVERAGE(OFFSET($DS$3,0,0,'Données projet'!$E$14+1,1))-AVERAGE(OFFSET($H$3,0,0,'Données projet'!$E$14+1,1))</f>
        <v>309.14579005132464</v>
      </c>
      <c r="DU18" s="59">
        <f t="shared" si="44"/>
        <v>300.60311050289533</v>
      </c>
      <c r="DV18" s="15">
        <f>IF(ISNA(VLOOKUP(A18,'Données projet'!$A$165:$I$185,3,0)),0,VLOOKUP(A18,'Données projet'!$A$165:$I$185,3,0))</f>
        <v>1</v>
      </c>
      <c r="DW18" s="15">
        <f>IF(ISNA(VLOOKUP(A18,'Données projet'!$A$165:$I$185,4,0)),0,VLOOKUP(A18,'Données projet'!$A$165:$I$185,4,0))</f>
        <v>15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61.924173174130004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>
        <f>VLOOKUP(A18,'Données projet'!$A$191:$I$211,2,0)</f>
        <v>65</v>
      </c>
      <c r="EH18" s="12">
        <f>VLOOKUP(A18,'Données projet'!$A$191:$I$211,9,0)</f>
        <v>10.8</v>
      </c>
      <c r="EI18" s="12">
        <f t="array" ref="EI18">INDEX(EH:EH,MIN(IF(ISNUMBER(EH18:EH214),ROW(EH18:EH214),"")))</f>
        <v>10.8</v>
      </c>
      <c r="EJ18" s="12">
        <f>IF('Données projet'!$A$192&gt;35,EJ17+EI18-ER17,IF(A18&lt;'Données projet'!$A$192,$EG$205^A18,IF(A18='Données projet'!$A$192,'Données projet'!$B$192,EJ17+EI18-ER17)))</f>
        <v>65</v>
      </c>
      <c r="EK18" s="17">
        <f>EJ18*VLOOKUP('Données projet'!$B$15,Paramètres!$A$1:$I$89,3,0)*VLOOKUP('Données projet'!$B$15,Paramètres!$A$1:$I$89,5,0)</f>
        <v>47.657999999999994</v>
      </c>
      <c r="EL18" s="13">
        <f t="shared" si="45"/>
        <v>14.007249652087213</v>
      </c>
      <c r="EM18" s="20">
        <f t="shared" si="19"/>
        <v>107.40030981071855</v>
      </c>
      <c r="EN18" s="59">
        <f t="shared" si="20"/>
        <v>352.78894478252857</v>
      </c>
      <c r="EO18" s="59">
        <f ca="1">AVERAGE(OFFSET($EN$3,0,0,'Données projet'!$E$15+1,1))-AVERAGE(OFFSET($H$3,0,0,'Données projet'!$E$15+1,1))</f>
        <v>338.59243085476896</v>
      </c>
      <c r="EP18" s="59">
        <f t="shared" si="46"/>
        <v>329.8393445823275</v>
      </c>
      <c r="EQ18" s="15">
        <f>IF(ISNA(VLOOKUP(A18,'Données projet'!$A$191:$I$211,3,0)),0,VLOOKUP(A18,'Données projet'!$A$191:$I$211,3,0))</f>
        <v>2</v>
      </c>
      <c r="ER18" s="15">
        <f>IF(ISNA(VLOOKUP(A18,'Données projet'!$A$191:$I$211,4,0)),0,VLOOKUP(A18,'Données projet'!$A$191:$I$211,4,0))</f>
        <v>32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61.924173174130004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>
        <f>VLOOKUP(A18,'Données projet'!$A$217:$I$237,2,0)</f>
        <v>65</v>
      </c>
      <c r="FC18" s="12">
        <f>VLOOKUP(A18,'Données projet'!$A$217:$I$237,9,0)</f>
        <v>10.8</v>
      </c>
      <c r="FD18" s="12">
        <f t="array" ref="FD18">INDEX(FC:FC,MIN(IF(ISNUMBER(FC18:FC214),ROW(FC18:FC214),"")))</f>
        <v>10.8</v>
      </c>
      <c r="FE18" s="12">
        <f>IF('Données projet'!$A$218&gt;35,FE17+FD18-FM17,IF(A18&lt;'Données projet'!$A$218,$FB$205^A18,IF(A18='Données projet'!$A$218,'Données projet'!$B$218,FE17+FD18-FM17)))</f>
        <v>65</v>
      </c>
      <c r="FF18" s="17">
        <f>FE18*VLOOKUP('Données projet'!$B$16,Paramètres!$A$1:$I$89,3,0)*VLOOKUP('Données projet'!$B$16,Paramètres!$A$1:$I$89,5,0)</f>
        <v>42.588000000000001</v>
      </c>
      <c r="FG18" s="13">
        <f t="shared" si="47"/>
        <v>12.682073764365764</v>
      </c>
      <c r="FH18" s="20">
        <f t="shared" si="22"/>
        <v>96.262045139603686</v>
      </c>
      <c r="FI18" s="59">
        <f t="shared" si="23"/>
        <v>341.65068011141369</v>
      </c>
      <c r="FJ18" s="59">
        <f ca="1">AVERAGE(OFFSET($FI$3,0,0,'Données projet'!$E$16+1,1))-AVERAGE(OFFSET($H$3,0,0,'Données projet'!$E$16+1,1))</f>
        <v>307.50573770128085</v>
      </c>
      <c r="FK18" s="59">
        <f t="shared" si="48"/>
        <v>300.2007312562655</v>
      </c>
      <c r="FL18" s="15">
        <f>IF(ISNA(VLOOKUP(A18,'Données projet'!$A$217:$I$237,3,0)),0,VLOOKUP(A18,'Données projet'!$A$217:$I$237,3,0))</f>
        <v>2</v>
      </c>
      <c r="FM18" s="15">
        <f>IF(ISNA(VLOOKUP(A18,'Données projet'!$A$217:$I$237,4,0)),0,VLOOKUP(A18,'Données projet'!$A$217:$I$237,4,0))</f>
        <v>32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61.924173174130004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>
        <f>VLOOKUP(A18,'Données projet'!$A$243:$I$263,2,0)</f>
        <v>65</v>
      </c>
      <c r="FX18" s="12">
        <f>VLOOKUP(A18,'Données projet'!$A$243:$I$263,9,0)</f>
        <v>10.8</v>
      </c>
      <c r="FY18" s="12">
        <f t="array" ref="FY18">INDEX(FX:FX,MIN(IF(ISNUMBER(FX18:FX214),ROW(FX18:FX214),"")))</f>
        <v>10.8</v>
      </c>
      <c r="FZ18" s="12">
        <f>IF('Données projet'!$A$244&gt;35,FZ17+FY18-GH17,IF(A18&lt;'Données projet'!$A$244,$FW$205^A18,IF(A18='Données projet'!$A$244,'Données projet'!$B$244,FZ17+FY18-GH17)))</f>
        <v>65</v>
      </c>
      <c r="GA18" s="17">
        <f>FZ18*VLOOKUP('Données projet'!$B$17,Paramètres!$A$1:$I$89,3,0)*VLOOKUP('Données projet'!$B$17,Paramètres!$A$1:$I$89,5,0)</f>
        <v>52.728000000000009</v>
      </c>
      <c r="GB18" s="13">
        <f t="shared" si="49"/>
        <v>15.316084592505286</v>
      </c>
      <c r="GC18" s="20">
        <f t="shared" si="25"/>
        <v>118.51011399861339</v>
      </c>
      <c r="GD18" s="59">
        <f t="shared" si="26"/>
        <v>363.89874897042341</v>
      </c>
      <c r="GE18" s="59">
        <f ca="1">AVERAGE(OFFSET($GD$3,0,0,'Données projet'!$E$17+1,1))-AVERAGE(OFFSET($H$3,0,0,'Données projet'!$E$17+1,1))</f>
        <v>369.60865427618342</v>
      </c>
      <c r="GF18" s="59">
        <f t="shared" si="50"/>
        <v>359.40898775279197</v>
      </c>
      <c r="GG18" s="15">
        <f>IF(ISNA(VLOOKUP(A18,'Données projet'!$A$243:$I$263,3,0)),0,VLOOKUP(A18,'Données projet'!$A$243:$I$263,3,0))</f>
        <v>2</v>
      </c>
      <c r="GH18" s="15">
        <f>IF(ISNA(VLOOKUP(A18,'Données projet'!$A$243:$I$263,4,0)),0,VLOOKUP(A18,'Données projet'!$A$243:$I$263,4,0))</f>
        <v>32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61.924173174130004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>
        <f>VLOOKUP(A18,'Données projet'!$A$269:$I$289,2,0)</f>
        <v>37</v>
      </c>
      <c r="GS18" s="12">
        <f>VLOOKUP(A18,'Données projet'!$A$269:$I$289,9,0)</f>
        <v>2.4666666666666668</v>
      </c>
      <c r="GT18" s="12">
        <f t="array" ref="GT18">INDEX(GS:GS,MIN(IF(ISNUMBER(GS18:GS214),ROW(GS18:GS214),"")))</f>
        <v>2.4666666666666668</v>
      </c>
      <c r="GU18" s="12">
        <f>IF('Données projet'!$A$270&gt;35,GU17+GT18-HC17,IF(A18&lt;'Données projet'!$A$270,$GR$205^A18,IF(A18='Données projet'!$A$270,'Données projet'!$B$270,GU17+GT18-HC17)))</f>
        <v>37</v>
      </c>
      <c r="GV18" s="17">
        <f>GU18*VLOOKUP('Données projet'!$B$18,Paramètres!$A$1:$I$89,3,0)*VLOOKUP('Données projet'!$B$18,Paramètres!$A$1:$I$89,5,0)</f>
        <v>24.2424</v>
      </c>
      <c r="GW18" s="13">
        <f t="shared" si="51"/>
        <v>7.7083792976822032</v>
      </c>
      <c r="GX18" s="20">
        <f t="shared" si="28"/>
        <v>55.647607276796499</v>
      </c>
      <c r="GY18" s="59">
        <f t="shared" si="29"/>
        <v>301.03624224860653</v>
      </c>
      <c r="GZ18" s="59">
        <f ca="1">AVERAGE(OFFSET($GY$3,0,0,'Données projet'!$E$18+1,1))-AVERAGE(OFFSET($H$3,0,0,'Données projet'!$E$18+1,1))</f>
        <v>262.62914256200031</v>
      </c>
      <c r="HA18" s="59">
        <f t="shared" si="52"/>
        <v>256.45129229594409</v>
      </c>
      <c r="HB18" s="15">
        <f>IF(ISNA(VLOOKUP(A18,'Données projet'!$A$269:$I$289,3,0)),0,VLOOKUP(A18,'Données projet'!$A$269:$I$289,3,0))</f>
        <v>1</v>
      </c>
      <c r="HC18" s="15">
        <f>IF(ISNA(VLOOKUP(A18,'Données projet'!$A$269:$I$289,4,0)),0,VLOOKUP(A18,'Données projet'!$A$269:$I$289,4,0))</f>
        <v>15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0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2.1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7.7</v>
      </c>
      <c r="H19" s="67">
        <f t="shared" si="1"/>
        <v>225.86666666666665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62.06427071471488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3.04</v>
      </c>
      <c r="N19" s="13">
        <f>IF('Données projet'!$A$36&gt;35,N18+M19-V18,IF(A19&lt;'Données projet'!$A$36,$K$205^A19,IF(A19='Données projet'!$A$36,'Données projet'!$B$36,N18+M19-V18)))</f>
        <v>15.985296608765895</v>
      </c>
      <c r="O19" s="13">
        <f>N19*VLOOKUP('Données projet'!$B$9,Paramètres!$A$1:$I$89,3,0)*VLOOKUP('Données projet'!$B$9,Paramètres!$A$1:$I$89,5,0)</f>
        <v>13.71538449032114</v>
      </c>
      <c r="P19" s="13">
        <f t="shared" si="33"/>
        <v>4.6600335359349723</v>
      </c>
      <c r="Q19" s="20">
        <f t="shared" si="2"/>
        <v>32.003853062396061</v>
      </c>
      <c r="R19" s="59">
        <f t="shared" si="0"/>
        <v>279.12840123857285</v>
      </c>
      <c r="S19" s="59">
        <f ca="1">AVERAGE(OFFSET($R$3,0,0,'Données projet'!$E$9+1,1))-AVERAGE(OFFSET($H$3,0,0,'Données projet'!$E$9+1,1))</f>
        <v>476.79071915271794</v>
      </c>
      <c r="T19" s="59">
        <f t="shared" si="34"/>
        <v>264.79929759351762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62.06427071471488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2.1</v>
      </c>
      <c r="AI19" s="13">
        <f>IF('Données projet'!$A$62&gt;35,AI18+AH19-AQ18,IF(A19&lt;'Données projet'!$A$62,$AF$205^A19,IF(A19='Données projet'!$A$62,'Données projet'!$B$62,AI18+AH19-AQ18)))</f>
        <v>19.888381054913147</v>
      </c>
      <c r="AJ19" s="13">
        <f>AI19*VLOOKUP('Données projet'!$B$10,Paramètres!$A$1:$I$89,3,0)*VLOOKUP('Données projet'!$B$10,Paramètres!$A$1:$I$89,5,0)</f>
        <v>16.753972200658836</v>
      </c>
      <c r="AK19" s="13">
        <f t="shared" si="35"/>
        <v>5.5613796648680189</v>
      </c>
      <c r="AL19" s="20">
        <f t="shared" si="4"/>
        <v>38.865904499125939</v>
      </c>
      <c r="AM19" s="59">
        <f t="shared" si="5"/>
        <v>285.99045267530272</v>
      </c>
      <c r="AN19" s="59">
        <f ca="1">AVERAGE(OFFSET($AM$3,0,0,'Données projet'!$E$10+1,1))-AVERAGE(OFFSET($H$3,0,0,'Données projet'!$E$10+1,1))</f>
        <v>365.104658862176</v>
      </c>
      <c r="AO19" s="59">
        <f t="shared" si="36"/>
        <v>226.29232910286325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62.06427071471488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2.1</v>
      </c>
      <c r="BD19" s="12">
        <f>IF('Données projet'!$A$88&gt;35,BD18+BC19-BL18,IF(A19&lt;'Données projet'!$A$88,$BA$205^A19,IF(A19='Données projet'!$A$88,'Données projet'!$B$88,BD18+BC19-BL18)))</f>
        <v>19.888381054913147</v>
      </c>
      <c r="BE19" s="13">
        <f>BD19*VLOOKUP('Données projet'!$B$11,Paramètres!$A$1:$I$89,3,0)*VLOOKUP('Données projet'!$B$11,Paramètres!$A$1:$I$89,5,0)</f>
        <v>17.995007178485412</v>
      </c>
      <c r="BF19" s="13">
        <f t="shared" si="37"/>
        <v>5.9238546434872337</v>
      </c>
      <c r="BG19" s="20">
        <f t="shared" si="7"/>
        <v>41.658684339935689</v>
      </c>
      <c r="BH19" s="59">
        <f t="shared" si="8"/>
        <v>288.78323251611243</v>
      </c>
      <c r="BI19" s="59">
        <f ca="1">AVERAGE(OFFSET($BH$3,0,0,'Données projet'!$E$11+1,1))-AVERAGE(OFFSET($H$3,0,0,'Données projet'!$E$11+1,1))</f>
        <v>388.12494342575195</v>
      </c>
      <c r="BJ19" s="59">
        <f t="shared" si="38"/>
        <v>239.39471445648454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62.06427071471488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2.1</v>
      </c>
      <c r="BY19" s="12">
        <f>IF('Données projet'!$A$114&gt;35,BY18+BX19-CG18,IF(A19&lt;'Données projet'!$A$114,$BV$205^A19,IF(A19='Données projet'!$A$114,'Données projet'!$B$114,BY18+BX19-CG18)))</f>
        <v>19.888381054913147</v>
      </c>
      <c r="BZ19" s="13">
        <f>BY19*VLOOKUP('Données projet'!$B$12,Paramètres!$A$1:$I$89,3,0)*VLOOKUP('Données projet'!$B$12,Paramètres!$A$1:$I$89,5,0)</f>
        <v>20.166818389681932</v>
      </c>
      <c r="CA19" s="13">
        <f t="shared" si="39"/>
        <v>6.5513327797938032</v>
      </c>
      <c r="CB19" s="20">
        <f t="shared" si="10"/>
        <v>46.534113286836906</v>
      </c>
      <c r="CC19" s="59">
        <f t="shared" si="11"/>
        <v>293.65866146301369</v>
      </c>
      <c r="CD19" s="59">
        <f ca="1">AVERAGE(OFFSET($CC$3,0,0,'Données projet'!$E$12+1,1))-AVERAGE(OFFSET($H$3,0,0,'Données projet'!$E$12+1,1))</f>
        <v>428.33148932885132</v>
      </c>
      <c r="CE19" s="59">
        <f t="shared" si="40"/>
        <v>262.27548054534373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62.06427071471488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1.2</v>
      </c>
      <c r="CT19" s="12">
        <f>IF('Données projet'!$A$140&gt;35,CT18+CS19-DB18,IF(A19&lt;'Données projet'!$A$140,$CQ$205^A19,IF(A19='Données projet'!$A$140,'Données projet'!$B$140,CT18+CS19-DB18)))</f>
        <v>8.8177463744060987</v>
      </c>
      <c r="CU19" s="17">
        <f>CT19*VLOOKUP('Données projet'!$B$13,Paramètres!$A$1:$I$89,3,0)*VLOOKUP('Données projet'!$B$13,Paramètres!$A$1:$I$89,5,0)</f>
        <v>8.3909674498848439</v>
      </c>
      <c r="CV19" s="13">
        <f t="shared" si="41"/>
        <v>3.0187863683434557</v>
      </c>
      <c r="CW19" s="20">
        <f t="shared" si="13"/>
        <v>19.871987900080956</v>
      </c>
      <c r="CX19" s="59">
        <f t="shared" si="14"/>
        <v>266.99653607625771</v>
      </c>
      <c r="CY19" s="59">
        <f ca="1">AVERAGE(OFFSET($CX$3,0,0,'Données projet'!$E$13+1,1))-AVERAGE(OFFSET($H$3,0,0,'Données projet'!$E$13+1,1))</f>
        <v>307.62549820830162</v>
      </c>
      <c r="CZ19" s="59">
        <f t="shared" si="42"/>
        <v>160.26466014910304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62.06427071471488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11.6</v>
      </c>
      <c r="DO19" s="12">
        <f>IF('Données projet'!$A$166&gt;35,DO18+DN19-DW18,IF(A19&lt;'Données projet'!$A$166,$DL$205^A19,IF(A19='Données projet'!$A$166,'Données projet'!$B$166,DO18+DN19-DW18)))</f>
        <v>33.6</v>
      </c>
      <c r="DP19" s="17">
        <f>DO19*VLOOKUP('Données projet'!$B$14,Paramètres!$A$1:$I$89,3,0)*VLOOKUP('Données projet'!$B$14,Paramètres!$A$1:$I$89,5,0)</f>
        <v>26.732160000000004</v>
      </c>
      <c r="DQ19" s="13">
        <f t="shared" si="43"/>
        <v>8.4038705306032053</v>
      </c>
      <c r="DR19" s="20">
        <f t="shared" si="16"/>
        <v>61.195253174133917</v>
      </c>
      <c r="DS19" s="59">
        <f t="shared" si="17"/>
        <v>308.31980135031068</v>
      </c>
      <c r="DT19" s="59">
        <f ca="1">AVERAGE(OFFSET($DS$3,0,0,'Données projet'!$E$14+1,1))-AVERAGE(OFFSET($H$3,0,0,'Données projet'!$E$14+1,1))</f>
        <v>309.14579005132464</v>
      </c>
      <c r="DU19" s="59">
        <f t="shared" si="44"/>
        <v>300.60311050289533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62.06427071471488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13.8</v>
      </c>
      <c r="EJ19" s="12">
        <f>IF('Données projet'!$A$192&gt;35,EJ18+EI19-ER18,IF(A19&lt;'Données projet'!$A$192,$EG$205^A19,IF(A19='Données projet'!$A$192,'Données projet'!$B$192,EJ18+EI19-ER18)))</f>
        <v>46.8</v>
      </c>
      <c r="EK19" s="17">
        <f>EJ19*VLOOKUP('Données projet'!$B$15,Paramètres!$A$1:$I$89,3,0)*VLOOKUP('Données projet'!$B$15,Paramètres!$A$1:$I$89,5,0)</f>
        <v>34.313760000000002</v>
      </c>
      <c r="EL19" s="13">
        <f t="shared" si="45"/>
        <v>10.478324962562111</v>
      </c>
      <c r="EM19" s="20">
        <f t="shared" si="19"/>
        <v>78.012881309795674</v>
      </c>
      <c r="EN19" s="59">
        <f t="shared" si="20"/>
        <v>325.13742948597246</v>
      </c>
      <c r="EO19" s="59">
        <f ca="1">AVERAGE(OFFSET($EN$3,0,0,'Données projet'!$E$15+1,1))-AVERAGE(OFFSET($H$3,0,0,'Données projet'!$E$15+1,1))</f>
        <v>338.59243085476896</v>
      </c>
      <c r="EP19" s="59">
        <f t="shared" si="46"/>
        <v>329.8393445823275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62.06427071471488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13.8</v>
      </c>
      <c r="FE19" s="12">
        <f>IF('Données projet'!$A$218&gt;35,FE18+FD19-FM18,IF(A19&lt;'Données projet'!$A$218,$FB$205^A19,IF(A19='Données projet'!$A$218,'Données projet'!$B$218,FE18+FD19-FM18)))</f>
        <v>46.8</v>
      </c>
      <c r="FF19" s="17">
        <f>FE19*VLOOKUP('Données projet'!$B$16,Paramètres!$A$1:$I$89,3,0)*VLOOKUP('Données projet'!$B$16,Paramètres!$A$1:$I$89,5,0)</f>
        <v>30.663360000000001</v>
      </c>
      <c r="FG19" s="13">
        <f t="shared" si="47"/>
        <v>9.4870080424679557</v>
      </c>
      <c r="FH19" s="20">
        <f t="shared" si="22"/>
        <v>69.928557673965017</v>
      </c>
      <c r="FI19" s="59">
        <f t="shared" si="23"/>
        <v>317.05310585014178</v>
      </c>
      <c r="FJ19" s="59">
        <f ca="1">AVERAGE(OFFSET($FI$3,0,0,'Données projet'!$E$16+1,1))-AVERAGE(OFFSET($H$3,0,0,'Données projet'!$E$16+1,1))</f>
        <v>307.50573770128085</v>
      </c>
      <c r="FK19" s="59">
        <f t="shared" si="48"/>
        <v>300.2007312562655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62.06427071471488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13.8</v>
      </c>
      <c r="FZ19" s="12">
        <f>IF('Données projet'!$A$244&gt;35,FZ18+FY19-GH18,IF(A19&lt;'Données projet'!$A$244,$FW$205^A19,IF(A19='Données projet'!$A$244,'Données projet'!$B$244,FZ18+FY19-GH18)))</f>
        <v>46.8</v>
      </c>
      <c r="GA19" s="17">
        <f>FZ19*VLOOKUP('Données projet'!$B$17,Paramètres!$A$1:$I$89,3,0)*VLOOKUP('Données projet'!$B$17,Paramètres!$A$1:$I$89,5,0)</f>
        <v>37.96416</v>
      </c>
      <c r="GB19" s="13">
        <f t="shared" si="49"/>
        <v>11.457417801534429</v>
      </c>
      <c r="GC19" s="20">
        <f t="shared" si="25"/>
        <v>86.075914671005776</v>
      </c>
      <c r="GD19" s="59">
        <f t="shared" si="26"/>
        <v>333.20046284718256</v>
      </c>
      <c r="GE19" s="59">
        <f ca="1">AVERAGE(OFFSET($GD$3,0,0,'Données projet'!$E$17+1,1))-AVERAGE(OFFSET($H$3,0,0,'Données projet'!$E$17+1,1))</f>
        <v>369.60865427618342</v>
      </c>
      <c r="GF19" s="59">
        <f t="shared" si="50"/>
        <v>359.40898775279197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62.06427071471488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11.6</v>
      </c>
      <c r="GU19" s="12">
        <f>IF('Données projet'!$A$270&gt;35,GU18+GT19-HC18,IF(A19&lt;'Données projet'!$A$270,$GR$205^A19,IF(A19='Données projet'!$A$270,'Données projet'!$B$270,GU18+GT19-HC18)))</f>
        <v>33.6</v>
      </c>
      <c r="GV19" s="17">
        <f>GU19*VLOOKUP('Données projet'!$B$18,Paramètres!$A$1:$I$89,3,0)*VLOOKUP('Données projet'!$B$18,Paramètres!$A$1:$I$89,5,0)</f>
        <v>22.014720000000001</v>
      </c>
      <c r="GW19" s="13">
        <f t="shared" si="51"/>
        <v>7.0790245501888318</v>
      </c>
      <c r="GX19" s="20">
        <f t="shared" si="28"/>
        <v>50.671605091578876</v>
      </c>
      <c r="GY19" s="59">
        <f t="shared" si="29"/>
        <v>297.79615326775564</v>
      </c>
      <c r="GZ19" s="59">
        <f ca="1">AVERAGE(OFFSET($GY$3,0,0,'Données projet'!$E$18+1,1))-AVERAGE(OFFSET($H$3,0,0,'Données projet'!$E$18+1,1))</f>
        <v>262.62914256200031</v>
      </c>
      <c r="HA19" s="59">
        <f t="shared" si="52"/>
        <v>256.45129229594409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0</v>
      </c>
      <c r="HI19" s="21">
        <f>EXP(-LN(2)/2)*HI18+(1-EXP(-LN(2)/2))/(LN(2)/2)*HC19*HF19*VLOOKUP('Données projet'!$B$18,Paramètres!$A$1:$I$89,3,0)*0.475*44/12</f>
        <v>0</v>
      </c>
      <c r="HJ19" s="22">
        <f t="shared" si="30"/>
        <v>0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2.1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7.7</v>
      </c>
      <c r="H20" s="67">
        <f t="shared" si="1"/>
        <v>225.86666666666665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62.20193787618178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3.04</v>
      </c>
      <c r="N20" s="13">
        <f>IF('Données projet'!$A$36&gt;35,N19+M20-V19,IF(A20&lt;'Données projet'!$A$36,$K$205^A20,IF(A20='Données projet'!$A$36,'Données projet'!$B$36,N19+M20-V19)))</f>
        <v>19.008736160155642</v>
      </c>
      <c r="O20" s="13">
        <f>N20*VLOOKUP('Données projet'!$B$9,Paramètres!$A$1:$I$89,3,0)*VLOOKUP('Données projet'!$B$9,Paramètres!$A$1:$I$89,5,0)</f>
        <v>16.309495625413543</v>
      </c>
      <c r="P20" s="13">
        <f t="shared" si="33"/>
        <v>5.4308088581814085</v>
      </c>
      <c r="Q20" s="20">
        <f t="shared" si="2"/>
        <v>37.864363642261203</v>
      </c>
      <c r="R20" s="59">
        <f t="shared" si="0"/>
        <v>286.71591363270551</v>
      </c>
      <c r="S20" s="59">
        <f ca="1">AVERAGE(OFFSET($R$3,0,0,'Données projet'!$E$9+1,1))-AVERAGE(OFFSET($H$3,0,0,'Données projet'!$E$9+1,1))</f>
        <v>476.79071915271794</v>
      </c>
      <c r="T20" s="59">
        <f t="shared" si="34"/>
        <v>264.79929759351762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62.20193787618178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2.1</v>
      </c>
      <c r="AI20" s="13">
        <f>IF('Données projet'!$A$62&gt;35,AI19+AH20-AQ19,IF(A20&lt;'Données projet'!$A$62,$AF$205^A20,IF(A20='Données projet'!$A$62,'Données projet'!$B$62,AI19+AH20-AQ19)))</f>
        <v>23.975181126327602</v>
      </c>
      <c r="AJ20" s="13">
        <f>AI20*VLOOKUP('Données projet'!$B$10,Paramètres!$A$1:$I$89,3,0)*VLOOKUP('Données projet'!$B$10,Paramètres!$A$1:$I$89,5,0)</f>
        <v>20.196692580818372</v>
      </c>
      <c r="AK20" s="13">
        <f t="shared" si="35"/>
        <v>6.5599072384749233</v>
      </c>
      <c r="AL20" s="20">
        <f t="shared" si="4"/>
        <v>46.601078018602493</v>
      </c>
      <c r="AM20" s="59">
        <f t="shared" si="5"/>
        <v>295.45262800904675</v>
      </c>
      <c r="AN20" s="59">
        <f ca="1">AVERAGE(OFFSET($AM$3,0,0,'Données projet'!$E$10+1,1))-AVERAGE(OFFSET($H$3,0,0,'Données projet'!$E$10+1,1))</f>
        <v>365.104658862176</v>
      </c>
      <c r="AO20" s="59">
        <f t="shared" si="36"/>
        <v>226.29232910286325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62.20193787618178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2.1</v>
      </c>
      <c r="BD20" s="12">
        <f>IF('Données projet'!$A$88&gt;35,BD19+BC20-BL19,IF(A20&lt;'Données projet'!$A$88,$BA$205^A20,IF(A20='Données projet'!$A$88,'Données projet'!$B$88,BD19+BC20-BL19)))</f>
        <v>23.975181126327602</v>
      </c>
      <c r="BE20" s="13">
        <f>BD20*VLOOKUP('Données projet'!$B$11,Paramètres!$A$1:$I$89,3,0)*VLOOKUP('Données projet'!$B$11,Paramètres!$A$1:$I$89,5,0)</f>
        <v>21.692743883101215</v>
      </c>
      <c r="BF20" s="13">
        <f t="shared" si="37"/>
        <v>6.98746341685115</v>
      </c>
      <c r="BG20" s="20">
        <f t="shared" si="7"/>
        <v>49.951361047417038</v>
      </c>
      <c r="BH20" s="59">
        <f t="shared" si="8"/>
        <v>298.80291103786135</v>
      </c>
      <c r="BI20" s="59">
        <f ca="1">AVERAGE(OFFSET($BH$3,0,0,'Données projet'!$E$11+1,1))-AVERAGE(OFFSET($H$3,0,0,'Données projet'!$E$11+1,1))</f>
        <v>388.12494342575195</v>
      </c>
      <c r="BJ20" s="59">
        <f t="shared" si="38"/>
        <v>239.39471445648454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62.20193787618178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2.1</v>
      </c>
      <c r="BY20" s="12">
        <f>IF('Données projet'!$A$114&gt;35,BY19+BX20-CG19,IF(A20&lt;'Données projet'!$A$114,$BV$205^A20,IF(A20='Données projet'!$A$114,'Données projet'!$B$114,BY19+BX20-CG19)))</f>
        <v>23.975181126327602</v>
      </c>
      <c r="BZ20" s="13">
        <f>BY20*VLOOKUP('Données projet'!$B$12,Paramètres!$A$1:$I$89,3,0)*VLOOKUP('Données projet'!$B$12,Paramètres!$A$1:$I$89,5,0)</f>
        <v>24.31083366209619</v>
      </c>
      <c r="CA20" s="13">
        <f t="shared" si="39"/>
        <v>7.7276032052466093</v>
      </c>
      <c r="CB20" s="20">
        <f t="shared" si="10"/>
        <v>55.800277543955367</v>
      </c>
      <c r="CC20" s="59">
        <f t="shared" si="11"/>
        <v>304.65182753439967</v>
      </c>
      <c r="CD20" s="59">
        <f ca="1">AVERAGE(OFFSET($CC$3,0,0,'Données projet'!$E$12+1,1))-AVERAGE(OFFSET($H$3,0,0,'Données projet'!$E$12+1,1))</f>
        <v>428.33148932885132</v>
      </c>
      <c r="CE20" s="59">
        <f t="shared" si="40"/>
        <v>262.27548054534373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62.20193787618178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1.2</v>
      </c>
      <c r="CT20" s="12">
        <f>IF('Données projet'!$A$140&gt;35,CT19+CS20-DB19,IF(A20&lt;'Données projet'!$A$140,$CQ$205^A20,IF(A20='Données projet'!$A$140,'Données projet'!$B$140,CT19+CS20-DB19)))</f>
        <v>10.102816228956828</v>
      </c>
      <c r="CU20" s="17">
        <f>CT20*VLOOKUP('Données projet'!$B$13,Paramètres!$A$1:$I$89,3,0)*VLOOKUP('Données projet'!$B$13,Paramètres!$A$1:$I$89,5,0)</f>
        <v>9.6138399234753162</v>
      </c>
      <c r="CV20" s="13">
        <f t="shared" si="41"/>
        <v>3.404393509406427</v>
      </c>
      <c r="CW20" s="20">
        <f t="shared" si="13"/>
        <v>22.6734232289357</v>
      </c>
      <c r="CX20" s="59">
        <f t="shared" si="14"/>
        <v>271.52497321938</v>
      </c>
      <c r="CY20" s="59">
        <f ca="1">AVERAGE(OFFSET($CX$3,0,0,'Données projet'!$E$13+1,1))-AVERAGE(OFFSET($H$3,0,0,'Données projet'!$E$13+1,1))</f>
        <v>307.62549820830162</v>
      </c>
      <c r="CZ20" s="59">
        <f t="shared" si="42"/>
        <v>160.26466014910304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62.20193787618178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11.6</v>
      </c>
      <c r="DO20" s="12">
        <f>IF('Données projet'!$A$166&gt;35,DO19+DN20-DW19,IF(A20&lt;'Données projet'!$A$166,$DL$205^A20,IF(A20='Données projet'!$A$166,'Données projet'!$B$166,DO19+DN20-DW19)))</f>
        <v>45.2</v>
      </c>
      <c r="DP20" s="17">
        <f>DO20*VLOOKUP('Données projet'!$B$14,Paramètres!$A$1:$I$89,3,0)*VLOOKUP('Données projet'!$B$14,Paramètres!$A$1:$I$89,5,0)</f>
        <v>35.961120000000008</v>
      </c>
      <c r="DQ20" s="13">
        <f t="shared" si="43"/>
        <v>10.921600552662685</v>
      </c>
      <c r="DR20" s="20">
        <f t="shared" si="16"/>
        <v>81.654071629220851</v>
      </c>
      <c r="DS20" s="59">
        <f t="shared" si="17"/>
        <v>330.50562161966513</v>
      </c>
      <c r="DT20" s="59">
        <f ca="1">AVERAGE(OFFSET($DS$3,0,0,'Données projet'!$E$14+1,1))-AVERAGE(OFFSET($H$3,0,0,'Données projet'!$E$14+1,1))</f>
        <v>309.14579005132464</v>
      </c>
      <c r="DU20" s="59">
        <f t="shared" si="44"/>
        <v>300.60311050289533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62.20193787618178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13.8</v>
      </c>
      <c r="EJ20" s="12">
        <f>IF('Données projet'!$A$192&gt;35,EJ19+EI20-ER19,IF(A20&lt;'Données projet'!$A$192,$EG$205^A20,IF(A20='Données projet'!$A$192,'Données projet'!$B$192,EJ19+EI20-ER19)))</f>
        <v>60.599999999999994</v>
      </c>
      <c r="EK20" s="17">
        <f>EJ20*VLOOKUP('Données projet'!$B$15,Paramètres!$A$1:$I$89,3,0)*VLOOKUP('Données projet'!$B$15,Paramètres!$A$1:$I$89,5,0)</f>
        <v>44.431919999999998</v>
      </c>
      <c r="EL20" s="13">
        <f t="shared" si="45"/>
        <v>13.166048117528</v>
      </c>
      <c r="EM20" s="20">
        <f t="shared" si="19"/>
        <v>100.31646113802792</v>
      </c>
      <c r="EN20" s="59">
        <f t="shared" si="20"/>
        <v>349.16801112847219</v>
      </c>
      <c r="EO20" s="59">
        <f ca="1">AVERAGE(OFFSET($EN$3,0,0,'Données projet'!$E$15+1,1))-AVERAGE(OFFSET($H$3,0,0,'Données projet'!$E$15+1,1))</f>
        <v>338.59243085476896</v>
      </c>
      <c r="EP20" s="59">
        <f t="shared" si="46"/>
        <v>329.8393445823275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62.20193787618178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13.8</v>
      </c>
      <c r="FE20" s="12">
        <f>IF('Données projet'!$A$218&gt;35,FE19+FD20-FM19,IF(A20&lt;'Données projet'!$A$218,$FB$205^A20,IF(A20='Données projet'!$A$218,'Données projet'!$B$218,FE19+FD20-FM19)))</f>
        <v>60.599999999999994</v>
      </c>
      <c r="FF20" s="17">
        <f>FE20*VLOOKUP('Données projet'!$B$16,Paramètres!$A$1:$I$89,3,0)*VLOOKUP('Données projet'!$B$16,Paramètres!$A$1:$I$89,5,0)</f>
        <v>39.705120000000001</v>
      </c>
      <c r="FG20" s="13">
        <f t="shared" si="47"/>
        <v>11.920455304143069</v>
      </c>
      <c r="FH20" s="20">
        <f t="shared" si="22"/>
        <v>89.914543654715828</v>
      </c>
      <c r="FI20" s="59">
        <f t="shared" si="23"/>
        <v>338.76609364516014</v>
      </c>
      <c r="FJ20" s="59">
        <f ca="1">AVERAGE(OFFSET($FI$3,0,0,'Données projet'!$E$16+1,1))-AVERAGE(OFFSET($H$3,0,0,'Données projet'!$E$16+1,1))</f>
        <v>307.50573770128085</v>
      </c>
      <c r="FK20" s="59">
        <f t="shared" si="48"/>
        <v>300.2007312562655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62.20193787618178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13.8</v>
      </c>
      <c r="FZ20" s="12">
        <f>IF('Données projet'!$A$244&gt;35,FZ19+FY20-GH19,IF(A20&lt;'Données projet'!$A$244,$FW$205^A20,IF(A20='Données projet'!$A$244,'Données projet'!$B$244,FZ19+FY20-GH19)))</f>
        <v>60.599999999999994</v>
      </c>
      <c r="GA20" s="17">
        <f>FZ20*VLOOKUP('Données projet'!$B$17,Paramètres!$A$1:$I$89,3,0)*VLOOKUP('Données projet'!$B$17,Paramètres!$A$1:$I$89,5,0)</f>
        <v>49.158719999999995</v>
      </c>
      <c r="GB20" s="13">
        <f t="shared" si="49"/>
        <v>14.396281334716242</v>
      </c>
      <c r="GC20" s="20">
        <f t="shared" si="25"/>
        <v>110.69162732463077</v>
      </c>
      <c r="GD20" s="59">
        <f t="shared" si="26"/>
        <v>359.54317731507507</v>
      </c>
      <c r="GE20" s="59">
        <f ca="1">AVERAGE(OFFSET($GD$3,0,0,'Données projet'!$E$17+1,1))-AVERAGE(OFFSET($H$3,0,0,'Données projet'!$E$17+1,1))</f>
        <v>369.60865427618342</v>
      </c>
      <c r="GF20" s="59">
        <f t="shared" si="50"/>
        <v>359.40898775279197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62.20193787618178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11.6</v>
      </c>
      <c r="GU20" s="12">
        <f>IF('Données projet'!$A$270&gt;35,GU19+GT20-HC19,IF(A20&lt;'Données projet'!$A$270,$GR$205^A20,IF(A20='Données projet'!$A$270,'Données projet'!$B$270,GU19+GT20-HC19)))</f>
        <v>45.2</v>
      </c>
      <c r="GV20" s="17">
        <f>GU20*VLOOKUP('Données projet'!$B$18,Paramètres!$A$1:$I$89,3,0)*VLOOKUP('Données projet'!$B$18,Paramètres!$A$1:$I$89,5,0)</f>
        <v>29.615040000000004</v>
      </c>
      <c r="GW20" s="13">
        <f t="shared" si="51"/>
        <v>9.1998416870072379</v>
      </c>
      <c r="GX20" s="20">
        <f t="shared" si="28"/>
        <v>67.602585604870953</v>
      </c>
      <c r="GY20" s="59">
        <f t="shared" si="29"/>
        <v>316.45413559531522</v>
      </c>
      <c r="GZ20" s="59">
        <f ca="1">AVERAGE(OFFSET($GY$3,0,0,'Données projet'!$E$18+1,1))-AVERAGE(OFFSET($H$3,0,0,'Données projet'!$E$18+1,1))</f>
        <v>262.62914256200031</v>
      </c>
      <c r="HA20" s="59">
        <f t="shared" si="52"/>
        <v>256.45129229594409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0</v>
      </c>
      <c r="HI20" s="21">
        <f>EXP(-LN(2)/2)*HI19+(1-EXP(-LN(2)/2))/(LN(2)/2)*HC20*HF20*VLOOKUP('Données projet'!$B$18,Paramètres!$A$1:$I$89,3,0)*0.475*44/12</f>
        <v>0</v>
      </c>
      <c r="HJ20" s="22">
        <f t="shared" si="30"/>
        <v>0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2.1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7.7</v>
      </c>
      <c r="H21" s="67">
        <f t="shared" si="1"/>
        <v>225.86666666666665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62.337216820174895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3.04</v>
      </c>
      <c r="N21" s="13">
        <f>IF('Données projet'!$A$36&gt;35,N20+M21-V20,IF(A21&lt;'Données projet'!$A$36,$K$205^A21,IF(A21='Données projet'!$A$36,'Données projet'!$B$36,N20+M21-V20)))</f>
        <v>22.604025389698691</v>
      </c>
      <c r="O21" s="13">
        <f>N21*VLOOKUP('Données projet'!$B$9,Paramètres!$A$1:$I$89,3,0)*VLOOKUP('Données projet'!$B$9,Paramètres!$A$1:$I$89,5,0)</f>
        <v>19.394253784361478</v>
      </c>
      <c r="P21" s="13">
        <f t="shared" si="33"/>
        <v>6.329071373986185</v>
      </c>
      <c r="Q21" s="20">
        <f t="shared" si="2"/>
        <v>44.80145798412218</v>
      </c>
      <c r="R21" s="59">
        <f t="shared" si="0"/>
        <v>295.37125299143008</v>
      </c>
      <c r="S21" s="59">
        <f ca="1">AVERAGE(OFFSET($R$3,0,0,'Données projet'!$E$9+1,1))-AVERAGE(OFFSET($H$3,0,0,'Données projet'!$E$9+1,1))</f>
        <v>476.79071915271794</v>
      </c>
      <c r="T21" s="59">
        <f t="shared" si="34"/>
        <v>264.79929759351762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62.337216820174895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2.1</v>
      </c>
      <c r="AI21" s="13">
        <f>IF('Données projet'!$A$62&gt;35,AI20+AH21-AQ20,IF(A21&lt;'Données projet'!$A$62,$AF$205^A21,IF(A21='Données projet'!$A$62,'Données projet'!$B$62,AI20+AH21-AQ20)))</f>
        <v>28.901764726506816</v>
      </c>
      <c r="AJ21" s="13">
        <f>AI21*VLOOKUP('Données projet'!$B$10,Paramètres!$A$1:$I$89,3,0)*VLOOKUP('Données projet'!$B$10,Paramètres!$A$1:$I$89,5,0)</f>
        <v>24.346846605609343</v>
      </c>
      <c r="AK21" s="13">
        <f t="shared" si="35"/>
        <v>7.7377171800078735</v>
      </c>
      <c r="AL21" s="20">
        <f t="shared" si="4"/>
        <v>55.880615259949991</v>
      </c>
      <c r="AM21" s="59">
        <f t="shared" si="5"/>
        <v>306.45041026725789</v>
      </c>
      <c r="AN21" s="59">
        <f ca="1">AVERAGE(OFFSET($AM$3,0,0,'Données projet'!$E$10+1,1))-AVERAGE(OFFSET($H$3,0,0,'Données projet'!$E$10+1,1))</f>
        <v>365.104658862176</v>
      </c>
      <c r="AO21" s="59">
        <f t="shared" si="36"/>
        <v>226.29232910286325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62.337216820174895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2.1</v>
      </c>
      <c r="BD21" s="12">
        <f>IF('Données projet'!$A$88&gt;35,BD20+BC21-BL20,IF(A21&lt;'Données projet'!$A$88,$BA$205^A21,IF(A21='Données projet'!$A$88,'Données projet'!$B$88,BD20+BC21-BL20)))</f>
        <v>28.901764726506816</v>
      </c>
      <c r="BE21" s="13">
        <f>BD21*VLOOKUP('Données projet'!$B$11,Paramètres!$A$1:$I$89,3,0)*VLOOKUP('Données projet'!$B$11,Paramètres!$A$1:$I$89,5,0)</f>
        <v>26.150316724543362</v>
      </c>
      <c r="BF21" s="13">
        <f t="shared" si="37"/>
        <v>8.2420396752158016</v>
      </c>
      <c r="BG21" s="20">
        <f t="shared" si="7"/>
        <v>59.900020729580547</v>
      </c>
      <c r="BH21" s="59">
        <f t="shared" si="8"/>
        <v>310.46981573688845</v>
      </c>
      <c r="BI21" s="59">
        <f ca="1">AVERAGE(OFFSET($BH$3,0,0,'Données projet'!$E$11+1,1))-AVERAGE(OFFSET($H$3,0,0,'Données projet'!$E$11+1,1))</f>
        <v>388.12494342575195</v>
      </c>
      <c r="BJ21" s="59">
        <f t="shared" si="38"/>
        <v>239.39471445648454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62.337216820174895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2.1</v>
      </c>
      <c r="BY21" s="12">
        <f>IF('Données projet'!$A$114&gt;35,BY20+BX21-CG20,IF(A21&lt;'Données projet'!$A$114,$BV$205^A21,IF(A21='Données projet'!$A$114,'Données projet'!$B$114,BY20+BX21-CG20)))</f>
        <v>28.901764726506816</v>
      </c>
      <c r="BZ21" s="13">
        <f>BY21*VLOOKUP('Données projet'!$B$12,Paramètres!$A$1:$I$89,3,0)*VLOOKUP('Données projet'!$B$12,Paramètres!$A$1:$I$89,5,0)</f>
        <v>29.306389432677911</v>
      </c>
      <c r="CA21" s="13">
        <f t="shared" si="39"/>
        <v>9.1150691477493808</v>
      </c>
      <c r="CB21" s="20">
        <f t="shared" si="10"/>
        <v>66.917373694244205</v>
      </c>
      <c r="CC21" s="59">
        <f t="shared" si="11"/>
        <v>317.48716870155209</v>
      </c>
      <c r="CD21" s="59">
        <f ca="1">AVERAGE(OFFSET($CC$3,0,0,'Données projet'!$E$12+1,1))-AVERAGE(OFFSET($H$3,0,0,'Données projet'!$E$12+1,1))</f>
        <v>428.33148932885132</v>
      </c>
      <c r="CE21" s="59">
        <f t="shared" si="40"/>
        <v>262.27548054534373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62.337216820174895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1.2</v>
      </c>
      <c r="CT21" s="12">
        <f>IF('Données projet'!$A$140&gt;35,CT20+CS21-DB20,IF(A21&lt;'Données projet'!$A$140,$CQ$205^A21,IF(A21='Données projet'!$A$140,'Données projet'!$B$140,CT20+CS21-DB20)))</f>
        <v>11.575168010312384</v>
      </c>
      <c r="CU21" s="17">
        <f>CT21*VLOOKUP('Données projet'!$B$13,Paramètres!$A$1:$I$89,3,0)*VLOOKUP('Données projet'!$B$13,Paramètres!$A$1:$I$89,5,0)</f>
        <v>11.014929878613264</v>
      </c>
      <c r="CV21" s="13">
        <f t="shared" si="41"/>
        <v>3.8392564934127869</v>
      </c>
      <c r="CW21" s="20">
        <f t="shared" si="13"/>
        <v>25.871041264612035</v>
      </c>
      <c r="CX21" s="59">
        <f t="shared" si="14"/>
        <v>276.44083627191992</v>
      </c>
      <c r="CY21" s="59">
        <f ca="1">AVERAGE(OFFSET($CX$3,0,0,'Données projet'!$E$13+1,1))-AVERAGE(OFFSET($H$3,0,0,'Données projet'!$E$13+1,1))</f>
        <v>307.62549820830162</v>
      </c>
      <c r="CZ21" s="59">
        <f t="shared" si="42"/>
        <v>160.26466014910304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62.337216820174895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11.6</v>
      </c>
      <c r="DO21" s="12">
        <f>IF('Données projet'!$A$166&gt;35,DO20+DN21-DW20,IF(A21&lt;'Données projet'!$A$166,$DL$205^A21,IF(A21='Données projet'!$A$166,'Données projet'!$B$166,DO20+DN21-DW20)))</f>
        <v>56.800000000000004</v>
      </c>
      <c r="DP21" s="17">
        <f>DO21*VLOOKUP('Données projet'!$B$14,Paramètres!$A$1:$I$89,3,0)*VLOOKUP('Données projet'!$B$14,Paramètres!$A$1:$I$89,5,0)</f>
        <v>45.190080000000009</v>
      </c>
      <c r="DQ21" s="13">
        <f t="shared" si="43"/>
        <v>13.364359727915414</v>
      </c>
      <c r="DR21" s="20">
        <f t="shared" si="16"/>
        <v>101.98231585945268</v>
      </c>
      <c r="DS21" s="59">
        <f t="shared" si="17"/>
        <v>352.55211086676059</v>
      </c>
      <c r="DT21" s="59">
        <f ca="1">AVERAGE(OFFSET($DS$3,0,0,'Données projet'!$E$14+1,1))-AVERAGE(OFFSET($H$3,0,0,'Données projet'!$E$14+1,1))</f>
        <v>309.14579005132464</v>
      </c>
      <c r="DU21" s="59">
        <f t="shared" si="44"/>
        <v>300.60311050289533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62.337216820174895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13.8</v>
      </c>
      <c r="EJ21" s="12">
        <f>IF('Données projet'!$A$192&gt;35,EJ20+EI21-ER20,IF(A21&lt;'Données projet'!$A$192,$EG$205^A21,IF(A21='Données projet'!$A$192,'Données projet'!$B$192,EJ20+EI21-ER20)))</f>
        <v>74.399999999999991</v>
      </c>
      <c r="EK21" s="17">
        <f>EJ21*VLOOKUP('Données projet'!$B$15,Paramètres!$A$1:$I$89,3,0)*VLOOKUP('Données projet'!$B$15,Paramètres!$A$1:$I$89,5,0)</f>
        <v>54.550079999999994</v>
      </c>
      <c r="EL21" s="13">
        <f t="shared" si="45"/>
        <v>15.782815260920117</v>
      </c>
      <c r="EM21" s="20">
        <f t="shared" si="19"/>
        <v>122.49645924610253</v>
      </c>
      <c r="EN21" s="59">
        <f t="shared" si="20"/>
        <v>373.06625425341042</v>
      </c>
      <c r="EO21" s="59">
        <f ca="1">AVERAGE(OFFSET($EN$3,0,0,'Données projet'!$E$15+1,1))-AVERAGE(OFFSET($H$3,0,0,'Données projet'!$E$15+1,1))</f>
        <v>338.59243085476896</v>
      </c>
      <c r="EP21" s="59">
        <f t="shared" si="46"/>
        <v>329.8393445823275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62.337216820174895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13.8</v>
      </c>
      <c r="FE21" s="12">
        <f>IF('Données projet'!$A$218&gt;35,FE20+FD21-FM20,IF(A21&lt;'Données projet'!$A$218,$FB$205^A21,IF(A21='Données projet'!$A$218,'Données projet'!$B$218,FE20+FD21-FM20)))</f>
        <v>74.399999999999991</v>
      </c>
      <c r="FF21" s="17">
        <f>FE21*VLOOKUP('Données projet'!$B$16,Paramètres!$A$1:$I$89,3,0)*VLOOKUP('Données projet'!$B$16,Paramètres!$A$1:$I$89,5,0)</f>
        <v>48.74687999999999</v>
      </c>
      <c r="FG21" s="13">
        <f t="shared" si="47"/>
        <v>14.289659449206793</v>
      </c>
      <c r="FH21" s="20">
        <f t="shared" si="22"/>
        <v>109.78863954070181</v>
      </c>
      <c r="FI21" s="59">
        <f t="shared" si="23"/>
        <v>360.35843454800971</v>
      </c>
      <c r="FJ21" s="59">
        <f ca="1">AVERAGE(OFFSET($FI$3,0,0,'Données projet'!$E$16+1,1))-AVERAGE(OFFSET($H$3,0,0,'Données projet'!$E$16+1,1))</f>
        <v>307.50573770128085</v>
      </c>
      <c r="FK21" s="59">
        <f t="shared" si="48"/>
        <v>300.2007312562655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62.337216820174895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13.8</v>
      </c>
      <c r="FZ21" s="12">
        <f>IF('Données projet'!$A$244&gt;35,FZ20+FY21-GH20,IF(A21&lt;'Données projet'!$A$244,$FW$205^A21,IF(A21='Données projet'!$A$244,'Données projet'!$B$244,FZ20+FY21-GH20)))</f>
        <v>74.399999999999991</v>
      </c>
      <c r="GA21" s="17">
        <f>FZ21*VLOOKUP('Données projet'!$B$17,Paramètres!$A$1:$I$89,3,0)*VLOOKUP('Données projet'!$B$17,Paramètres!$A$1:$I$89,5,0)</f>
        <v>60.353279999999998</v>
      </c>
      <c r="GB21" s="13">
        <f t="shared" si="49"/>
        <v>17.257558739100197</v>
      </c>
      <c r="GC21" s="20">
        <f t="shared" si="25"/>
        <v>135.17221080393281</v>
      </c>
      <c r="GD21" s="59">
        <f t="shared" si="26"/>
        <v>385.74200581124069</v>
      </c>
      <c r="GE21" s="59">
        <f ca="1">AVERAGE(OFFSET($GD$3,0,0,'Données projet'!$E$17+1,1))-AVERAGE(OFFSET($H$3,0,0,'Données projet'!$E$17+1,1))</f>
        <v>369.60865427618342</v>
      </c>
      <c r="GF21" s="59">
        <f t="shared" si="50"/>
        <v>359.40898775279197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62.337216820174895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11.6</v>
      </c>
      <c r="GU21" s="12">
        <f>IF('Données projet'!$A$270&gt;35,GU20+GT21-HC20,IF(A21&lt;'Données projet'!$A$270,$GR$205^A21,IF(A21='Données projet'!$A$270,'Données projet'!$B$270,GU20+GT21-HC20)))</f>
        <v>56.800000000000004</v>
      </c>
      <c r="GV21" s="17">
        <f>GU21*VLOOKUP('Données projet'!$B$18,Paramètres!$A$1:$I$89,3,0)*VLOOKUP('Données projet'!$B$18,Paramètres!$A$1:$I$89,5,0)</f>
        <v>37.215360000000004</v>
      </c>
      <c r="GW21" s="13">
        <f t="shared" si="51"/>
        <v>11.257506915052097</v>
      </c>
      <c r="GX21" s="20">
        <f t="shared" si="28"/>
        <v>84.42357654371574</v>
      </c>
      <c r="GY21" s="59">
        <f t="shared" si="29"/>
        <v>334.99337155102364</v>
      </c>
      <c r="GZ21" s="59">
        <f ca="1">AVERAGE(OFFSET($GY$3,0,0,'Données projet'!$E$18+1,1))-AVERAGE(OFFSET($H$3,0,0,'Données projet'!$E$18+1,1))</f>
        <v>262.62914256200031</v>
      </c>
      <c r="HA21" s="59">
        <f t="shared" si="52"/>
        <v>256.45129229594409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0</v>
      </c>
      <c r="HI21" s="21">
        <f>EXP(-LN(2)/2)*HI20+(1-EXP(-LN(2)/2))/(LN(2)/2)*HC21*HF21*VLOOKUP('Données projet'!$B$18,Paramètres!$A$1:$I$89,3,0)*0.475*44/12</f>
        <v>0</v>
      </c>
      <c r="HJ21" s="22">
        <f t="shared" si="30"/>
        <v>0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2.1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7.7</v>
      </c>
      <c r="H22" s="67">
        <f t="shared" si="1"/>
        <v>225.86666666666665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62.470148976928144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3.04</v>
      </c>
      <c r="N22" s="13">
        <f>IF('Données projet'!$A$36&gt;35,N21+M22-V21,IF(A22&lt;'Données projet'!$A$36,$K$205^A22,IF(A22='Données projet'!$A$36,'Données projet'!$B$36,N21+M22-V21)))</f>
        <v>26.879323249755682</v>
      </c>
      <c r="O22" s="13">
        <f>N22*VLOOKUP('Données projet'!$B$9,Paramètres!$A$1:$I$89,3,0)*VLOOKUP('Données projet'!$B$9,Paramètres!$A$1:$I$89,5,0)</f>
        <v>23.062459348290378</v>
      </c>
      <c r="P22" s="13">
        <f t="shared" si="33"/>
        <v>7.3759076231648368</v>
      </c>
      <c r="Q22" s="20">
        <f t="shared" si="2"/>
        <v>53.013489141951169</v>
      </c>
      <c r="R22" s="59">
        <f t="shared" si="0"/>
        <v>305.2929242795766</v>
      </c>
      <c r="S22" s="59">
        <f ca="1">AVERAGE(OFFSET($R$3,0,0,'Données projet'!$E$9+1,1))-AVERAGE(OFFSET($H$3,0,0,'Données projet'!$E$9+1,1))</f>
        <v>476.79071915271794</v>
      </c>
      <c r="T22" s="59">
        <f t="shared" si="34"/>
        <v>264.79929759351762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62.470148976928144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2.1</v>
      </c>
      <c r="AI22" s="13">
        <f>IF('Données projet'!$A$62&gt;35,AI21+AH22-AQ21,IF(A22&lt;'Données projet'!$A$62,$AF$205^A22,IF(A22='Données projet'!$A$62,'Données projet'!$B$62,AI21+AH22-AQ21)))</f>
        <v>34.840696297767764</v>
      </c>
      <c r="AJ22" s="13">
        <f>AI22*VLOOKUP('Données projet'!$B$10,Paramètres!$A$1:$I$89,3,0)*VLOOKUP('Données projet'!$B$10,Paramètres!$A$1:$I$89,5,0)</f>
        <v>29.349802561239567</v>
      </c>
      <c r="AK22" s="13">
        <f t="shared" si="35"/>
        <v>9.1269990536799668</v>
      </c>
      <c r="AL22" s="20">
        <f t="shared" si="4"/>
        <v>67.013762812651535</v>
      </c>
      <c r="AM22" s="59">
        <f t="shared" si="5"/>
        <v>319.29319795027698</v>
      </c>
      <c r="AN22" s="59">
        <f ca="1">AVERAGE(OFFSET($AM$3,0,0,'Données projet'!$E$10+1,1))-AVERAGE(OFFSET($H$3,0,0,'Données projet'!$E$10+1,1))</f>
        <v>365.104658862176</v>
      </c>
      <c r="AO22" s="59">
        <f t="shared" si="36"/>
        <v>226.29232910286325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62.470148976928144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2.1</v>
      </c>
      <c r="BD22" s="12">
        <f>IF('Données projet'!$A$88&gt;35,BD21+BC22-BL21,IF(A22&lt;'Données projet'!$A$88,$BA$205^A22,IF(A22='Données projet'!$A$88,'Données projet'!$B$88,BD21+BC22-BL21)))</f>
        <v>34.840696297767764</v>
      </c>
      <c r="BE22" s="13">
        <f>BD22*VLOOKUP('Données projet'!$B$11,Paramètres!$A$1:$I$89,3,0)*VLOOKUP('Données projet'!$B$11,Paramètres!$A$1:$I$89,5,0)</f>
        <v>31.52386201022027</v>
      </c>
      <c r="BF22" s="13">
        <f t="shared" si="37"/>
        <v>9.7218710074397983</v>
      </c>
      <c r="BG22" s="20">
        <f t="shared" si="7"/>
        <v>71.836318339091292</v>
      </c>
      <c r="BH22" s="59">
        <f t="shared" si="8"/>
        <v>324.11575347671669</v>
      </c>
      <c r="BI22" s="59">
        <f ca="1">AVERAGE(OFFSET($BH$3,0,0,'Données projet'!$E$11+1,1))-AVERAGE(OFFSET($H$3,0,0,'Données projet'!$E$11+1,1))</f>
        <v>388.12494342575195</v>
      </c>
      <c r="BJ22" s="59">
        <f t="shared" si="38"/>
        <v>239.39471445648454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62.470148976928144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2.1</v>
      </c>
      <c r="BY22" s="12">
        <f>IF('Données projet'!$A$114&gt;35,BY21+BX22-CG21,IF(A22&lt;'Données projet'!$A$114,$BV$205^A22,IF(A22='Données projet'!$A$114,'Données projet'!$B$114,BY21+BX22-CG21)))</f>
        <v>34.840696297767764</v>
      </c>
      <c r="BZ22" s="13">
        <f>BY22*VLOOKUP('Données projet'!$B$12,Paramètres!$A$1:$I$89,3,0)*VLOOKUP('Données projet'!$B$12,Paramètres!$A$1:$I$89,5,0)</f>
        <v>35.328466045936516</v>
      </c>
      <c r="CA22" s="13">
        <f t="shared" si="39"/>
        <v>10.751650073316766</v>
      </c>
      <c r="CB22" s="20">
        <f t="shared" si="10"/>
        <v>80.256202241032796</v>
      </c>
      <c r="CC22" s="59">
        <f t="shared" si="11"/>
        <v>332.53563737865824</v>
      </c>
      <c r="CD22" s="59">
        <f ca="1">AVERAGE(OFFSET($CC$3,0,0,'Données projet'!$E$12+1,1))-AVERAGE(OFFSET($H$3,0,0,'Données projet'!$E$12+1,1))</f>
        <v>428.33148932885132</v>
      </c>
      <c r="CE22" s="59">
        <f t="shared" si="40"/>
        <v>262.27548054534373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62.470148976928144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1.2</v>
      </c>
      <c r="CT22" s="12">
        <f>IF('Données projet'!$A$140&gt;35,CT21+CS22-DB21,IF(A22&lt;'Données projet'!$A$140,$CQ$205^A22,IF(A22='Données projet'!$A$140,'Données projet'!$B$140,CT21+CS22-DB21)))</f>
        <v>13.262095581124292</v>
      </c>
      <c r="CU22" s="17">
        <f>CT22*VLOOKUP('Données projet'!$B$13,Paramètres!$A$1:$I$89,3,0)*VLOOKUP('Données projet'!$B$13,Paramètres!$A$1:$I$89,5,0)</f>
        <v>12.620210154997878</v>
      </c>
      <c r="CV22" s="13">
        <f t="shared" si="41"/>
        <v>4.329667055669546</v>
      </c>
      <c r="CW22" s="20">
        <f t="shared" si="13"/>
        <v>29.521036141912429</v>
      </c>
      <c r="CX22" s="59">
        <f t="shared" si="14"/>
        <v>281.80047127953787</v>
      </c>
      <c r="CY22" s="59">
        <f ca="1">AVERAGE(OFFSET($CX$3,0,0,'Données projet'!$E$13+1,1))-AVERAGE(OFFSET($H$3,0,0,'Données projet'!$E$13+1,1))</f>
        <v>307.62549820830162</v>
      </c>
      <c r="CZ22" s="59">
        <f t="shared" si="42"/>
        <v>160.26466014910304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62.470148976928144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11.6</v>
      </c>
      <c r="DO22" s="12">
        <f>IF('Données projet'!$A$166&gt;35,DO21+DN22-DW21,IF(A22&lt;'Données projet'!$A$166,$DL$205^A22,IF(A22='Données projet'!$A$166,'Données projet'!$B$166,DO21+DN22-DW21)))</f>
        <v>68.400000000000006</v>
      </c>
      <c r="DP22" s="17">
        <f>DO22*VLOOKUP('Données projet'!$B$14,Paramètres!$A$1:$I$89,3,0)*VLOOKUP('Données projet'!$B$14,Paramètres!$A$1:$I$89,5,0)</f>
        <v>54.419040000000003</v>
      </c>
      <c r="DQ22" s="13">
        <f t="shared" si="43"/>
        <v>15.749310274925152</v>
      </c>
      <c r="DR22" s="20">
        <f t="shared" si="16"/>
        <v>122.20987672882796</v>
      </c>
      <c r="DS22" s="59">
        <f t="shared" si="17"/>
        <v>374.48931186645336</v>
      </c>
      <c r="DT22" s="59">
        <f ca="1">AVERAGE(OFFSET($DS$3,0,0,'Données projet'!$E$14+1,1))-AVERAGE(OFFSET($H$3,0,0,'Données projet'!$E$14+1,1))</f>
        <v>309.14579005132464</v>
      </c>
      <c r="DU22" s="59">
        <f t="shared" si="44"/>
        <v>300.60311050289533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62.470148976928144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13.8</v>
      </c>
      <c r="EJ22" s="12">
        <f>IF('Données projet'!$A$192&gt;35,EJ21+EI22-ER21,IF(A22&lt;'Données projet'!$A$192,$EG$205^A22,IF(A22='Données projet'!$A$192,'Données projet'!$B$192,EJ21+EI22-ER21)))</f>
        <v>88.199999999999989</v>
      </c>
      <c r="EK22" s="17">
        <f>EJ22*VLOOKUP('Données projet'!$B$15,Paramètres!$A$1:$I$89,3,0)*VLOOKUP('Données projet'!$B$15,Paramètres!$A$1:$I$89,5,0)</f>
        <v>64.668239999999997</v>
      </c>
      <c r="EL22" s="13">
        <f t="shared" si="45"/>
        <v>18.34335069187722</v>
      </c>
      <c r="EM22" s="20">
        <f t="shared" si="19"/>
        <v>144.57852045501949</v>
      </c>
      <c r="EN22" s="59">
        <f t="shared" si="20"/>
        <v>396.85795559264488</v>
      </c>
      <c r="EO22" s="59">
        <f ca="1">AVERAGE(OFFSET($EN$3,0,0,'Données projet'!$E$15+1,1))-AVERAGE(OFFSET($H$3,0,0,'Données projet'!$E$15+1,1))</f>
        <v>338.59243085476896</v>
      </c>
      <c r="EP22" s="59">
        <f t="shared" si="46"/>
        <v>329.8393445823275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62.470148976928144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13.8</v>
      </c>
      <c r="FE22" s="12">
        <f>IF('Données projet'!$A$218&gt;35,FE21+FD22-FM21,IF(A22&lt;'Données projet'!$A$218,$FB$205^A22,IF(A22='Données projet'!$A$218,'Données projet'!$B$218,FE21+FD22-FM21)))</f>
        <v>88.199999999999989</v>
      </c>
      <c r="FF22" s="17">
        <f>FE22*VLOOKUP('Données projet'!$B$16,Paramètres!$A$1:$I$89,3,0)*VLOOKUP('Données projet'!$B$16,Paramètres!$A$1:$I$89,5,0)</f>
        <v>57.788639999999994</v>
      </c>
      <c r="FG22" s="13">
        <f t="shared" si="47"/>
        <v>16.607951763417912</v>
      </c>
      <c r="FH22" s="20">
        <f t="shared" si="22"/>
        <v>129.57406398795285</v>
      </c>
      <c r="FI22" s="59">
        <f t="shared" si="23"/>
        <v>381.85349912557831</v>
      </c>
      <c r="FJ22" s="59">
        <f ca="1">AVERAGE(OFFSET($FI$3,0,0,'Données projet'!$E$16+1,1))-AVERAGE(OFFSET($H$3,0,0,'Données projet'!$E$16+1,1))</f>
        <v>307.50573770128085</v>
      </c>
      <c r="FK22" s="59">
        <f t="shared" si="48"/>
        <v>300.2007312562655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62.470148976928144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13.8</v>
      </c>
      <c r="FZ22" s="12">
        <f>IF('Données projet'!$A$244&gt;35,FZ21+FY22-GH21,IF(A22&lt;'Données projet'!$A$244,$FW$205^A22,IF(A22='Données projet'!$A$244,'Données projet'!$B$244,FZ21+FY22-GH21)))</f>
        <v>88.199999999999989</v>
      </c>
      <c r="GA22" s="17">
        <f>FZ22*VLOOKUP('Données projet'!$B$17,Paramètres!$A$1:$I$89,3,0)*VLOOKUP('Données projet'!$B$17,Paramètres!$A$1:$I$89,5,0)</f>
        <v>71.547839999999994</v>
      </c>
      <c r="GB22" s="13">
        <f t="shared" si="49"/>
        <v>20.05735014974319</v>
      </c>
      <c r="GC22" s="20">
        <f t="shared" si="25"/>
        <v>159.54570617746938</v>
      </c>
      <c r="GD22" s="59">
        <f t="shared" si="26"/>
        <v>411.82514131509481</v>
      </c>
      <c r="GE22" s="59">
        <f ca="1">AVERAGE(OFFSET($GD$3,0,0,'Données projet'!$E$17+1,1))-AVERAGE(OFFSET($H$3,0,0,'Données projet'!$E$17+1,1))</f>
        <v>369.60865427618342</v>
      </c>
      <c r="GF22" s="59">
        <f t="shared" si="50"/>
        <v>359.40898775279197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62.470148976928144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11.6</v>
      </c>
      <c r="GU22" s="12">
        <f>IF('Données projet'!$A$270&gt;35,GU21+GT22-HC21,IF(A22&lt;'Données projet'!$A$270,$GR$205^A22,IF(A22='Données projet'!$A$270,'Données projet'!$B$270,GU21+GT22-HC21)))</f>
        <v>68.400000000000006</v>
      </c>
      <c r="GV22" s="17">
        <f>GU22*VLOOKUP('Données projet'!$B$18,Paramètres!$A$1:$I$89,3,0)*VLOOKUP('Données projet'!$B$18,Paramètres!$A$1:$I$89,5,0)</f>
        <v>44.81568</v>
      </c>
      <c r="GW22" s="13">
        <f t="shared" si="51"/>
        <v>13.266476878569183</v>
      </c>
      <c r="GX22" s="20">
        <f t="shared" si="28"/>
        <v>101.15975656350798</v>
      </c>
      <c r="GY22" s="59">
        <f t="shared" si="29"/>
        <v>353.43919170113338</v>
      </c>
      <c r="GZ22" s="59">
        <f ca="1">AVERAGE(OFFSET($GY$3,0,0,'Données projet'!$E$18+1,1))-AVERAGE(OFFSET($H$3,0,0,'Données projet'!$E$18+1,1))</f>
        <v>262.62914256200031</v>
      </c>
      <c r="HA22" s="59">
        <f t="shared" si="52"/>
        <v>256.45129229594409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0</v>
      </c>
      <c r="HI22" s="21">
        <f>EXP(-LN(2)/2)*HI21+(1-EXP(-LN(2)/2))/(LN(2)/2)*HC22*HF22*VLOOKUP('Données projet'!$B$18,Paramètres!$A$1:$I$89,3,0)*0.475*44/12</f>
        <v>0</v>
      </c>
      <c r="HJ22" s="22">
        <f t="shared" si="30"/>
        <v>0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2.1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7.7</v>
      </c>
      <c r="H23" s="67">
        <f t="shared" si="1"/>
        <v>225.86666666666665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62.600775057953499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3.04</v>
      </c>
      <c r="N23" s="13">
        <f>IF('Données projet'!$A$36&gt;35,N22+M23-V22,IF(A23&lt;'Données projet'!$A$36,$K$205^A23,IF(A23='Données projet'!$A$36,'Données projet'!$B$36,N22+M23-V22)))</f>
        <v>31.963245745340544</v>
      </c>
      <c r="O23" s="13">
        <f>N23*VLOOKUP('Données projet'!$B$9,Paramètres!$A$1:$I$89,3,0)*VLOOKUP('Données projet'!$B$9,Paramètres!$A$1:$I$89,5,0)</f>
        <v>27.424464849502193</v>
      </c>
      <c r="P23" s="13">
        <f t="shared" si="33"/>
        <v>8.5958918853519464</v>
      </c>
      <c r="Q23" s="20">
        <f t="shared" si="2"/>
        <v>62.735454646537619</v>
      </c>
      <c r="R23" s="59">
        <f t="shared" si="0"/>
        <v>316.71607430347819</v>
      </c>
      <c r="S23" s="59">
        <f ca="1">AVERAGE(OFFSET($R$3,0,0,'Données projet'!$E$9+1,1))-AVERAGE(OFFSET($H$3,0,0,'Données projet'!$E$9+1,1))</f>
        <v>476.79071915271794</v>
      </c>
      <c r="T23" s="59">
        <f t="shared" si="34"/>
        <v>264.79929759351762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62.600775057953499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42</v>
      </c>
      <c r="AG23" s="12">
        <f>VLOOKUP(A23,'Données projet'!$A$61:$I$81,9,0)</f>
        <v>2.1</v>
      </c>
      <c r="AH23" s="12">
        <f t="array" ref="AH23">INDEX(AG:AG,MIN(IF(ISNUMBER(AG23:AG219),ROW(AG23:AG219),"")))</f>
        <v>2.1</v>
      </c>
      <c r="AI23" s="13">
        <f>IF('Données projet'!$A$62&gt;35,AI22+AH23-AQ22,IF(A23&lt;'Données projet'!$A$62,$AF$205^A23,IF(A23='Données projet'!$A$62,'Données projet'!$B$62,AI22+AH23-AQ22)))</f>
        <v>42</v>
      </c>
      <c r="AJ23" s="13">
        <f>AI23*VLOOKUP('Données projet'!$B$10,Paramètres!$A$1:$I$89,3,0)*VLOOKUP('Données projet'!$B$10,Paramètres!$A$1:$I$89,5,0)</f>
        <v>35.380800000000001</v>
      </c>
      <c r="AK23" s="13">
        <f t="shared" si="35"/>
        <v>10.765721954933243</v>
      </c>
      <c r="AL23" s="20">
        <f t="shared" si="4"/>
        <v>80.371859071508723</v>
      </c>
      <c r="AM23" s="59">
        <f t="shared" si="5"/>
        <v>334.35247872844934</v>
      </c>
      <c r="AN23" s="59">
        <f ca="1">AVERAGE(OFFSET($AM$3,0,0,'Données projet'!$E$10+1,1))-AVERAGE(OFFSET($H$3,0,0,'Données projet'!$E$10+1,1))</f>
        <v>365.104658862176</v>
      </c>
      <c r="AO23" s="59">
        <f t="shared" si="36"/>
        <v>226.29232910286325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62.600775057953499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42</v>
      </c>
      <c r="BB23" s="12">
        <f>VLOOKUP(A23,'Données projet'!$A$87:$I$107,9,0)</f>
        <v>2.1</v>
      </c>
      <c r="BC23" s="12">
        <f t="array" ref="BC23">INDEX(BB:BB,MIN(IF(ISNUMBER(BB23:BB219),ROW(BB23:BB219),"")))</f>
        <v>2.1</v>
      </c>
      <c r="BD23" s="12">
        <f>IF('Données projet'!$A$88&gt;35,BD22+BC23-BL22,IF(A23&lt;'Données projet'!$A$88,$BA$205^A23,IF(A23='Données projet'!$A$88,'Données projet'!$B$88,BD22+BC23-BL22)))</f>
        <v>42</v>
      </c>
      <c r="BE23" s="13">
        <f>BD23*VLOOKUP('Données projet'!$B$11,Paramètres!$A$1:$I$89,3,0)*VLOOKUP('Données projet'!$B$11,Paramètres!$A$1:$I$89,5,0)</f>
        <v>38.001600000000003</v>
      </c>
      <c r="BF23" s="13">
        <f t="shared" si="37"/>
        <v>11.467401227090512</v>
      </c>
      <c r="BG23" s="20">
        <f t="shared" si="7"/>
        <v>86.158510470515978</v>
      </c>
      <c r="BH23" s="59">
        <f t="shared" si="8"/>
        <v>340.13913012745661</v>
      </c>
      <c r="BI23" s="59">
        <f ca="1">AVERAGE(OFFSET($BH$3,0,0,'Données projet'!$E$11+1,1))-AVERAGE(OFFSET($H$3,0,0,'Données projet'!$E$11+1,1))</f>
        <v>388.12494342575195</v>
      </c>
      <c r="BJ23" s="59">
        <f t="shared" si="38"/>
        <v>239.39471445648454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62.600775057953499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42</v>
      </c>
      <c r="BW23" s="12">
        <f>VLOOKUP(A23,'Données projet'!$A$113:$I$133,9,0)</f>
        <v>2.1</v>
      </c>
      <c r="BX23" s="12">
        <f t="array" ref="BX23">INDEX(BW:BW,MIN(IF(ISNUMBER(BW23:BW219),ROW(BW23:BW219),"")))</f>
        <v>2.1</v>
      </c>
      <c r="BY23" s="12">
        <f>IF('Données projet'!$A$114&gt;35,BY22+BX23-CG22,IF(A23&lt;'Données projet'!$A$114,$BV$205^A23,IF(A23='Données projet'!$A$114,'Données projet'!$B$114,BY22+BX23-CG22)))</f>
        <v>42</v>
      </c>
      <c r="BZ23" s="13">
        <f>BY23*VLOOKUP('Données projet'!$B$12,Paramètres!$A$1:$I$89,3,0)*VLOOKUP('Données projet'!$B$12,Paramètres!$A$1:$I$89,5,0)</f>
        <v>42.588000000000001</v>
      </c>
      <c r="CA23" s="13">
        <f t="shared" si="39"/>
        <v>12.682073764365764</v>
      </c>
      <c r="CB23" s="20">
        <f t="shared" si="10"/>
        <v>96.262045139603686</v>
      </c>
      <c r="CC23" s="59">
        <f t="shared" si="11"/>
        <v>350.24266479654432</v>
      </c>
      <c r="CD23" s="59">
        <f ca="1">AVERAGE(OFFSET($CC$3,0,0,'Données projet'!$E$12+1,1))-AVERAGE(OFFSET($H$3,0,0,'Données projet'!$E$12+1,1))</f>
        <v>428.33148932885132</v>
      </c>
      <c r="CE23" s="59">
        <f t="shared" si="40"/>
        <v>262.27548054534373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62.600775057953499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1.2</v>
      </c>
      <c r="CT23" s="12">
        <f>IF('Données projet'!$A$140&gt;35,CT22+CS23-DB22,IF(A23&lt;'Données projet'!$A$140,$CQ$205^A23,IF(A23='Données projet'!$A$140,'Données projet'!$B$140,CT22+CS23-DB22)))</f>
        <v>15.194870523363559</v>
      </c>
      <c r="CU23" s="17">
        <f>CT23*VLOOKUP('Données projet'!$B$13,Paramètres!$A$1:$I$89,3,0)*VLOOKUP('Données projet'!$B$13,Paramètres!$A$1:$I$89,5,0)</f>
        <v>14.459438790032763</v>
      </c>
      <c r="CV23" s="13">
        <f t="shared" si="41"/>
        <v>4.8827206114292476</v>
      </c>
      <c r="CW23" s="20">
        <f t="shared" si="13"/>
        <v>33.687594290879673</v>
      </c>
      <c r="CX23" s="59">
        <f t="shared" si="14"/>
        <v>287.66821394782028</v>
      </c>
      <c r="CY23" s="59">
        <f ca="1">AVERAGE(OFFSET($CX$3,0,0,'Données projet'!$E$13+1,1))-AVERAGE(OFFSET($H$3,0,0,'Données projet'!$E$13+1,1))</f>
        <v>307.62549820830162</v>
      </c>
      <c r="CZ23" s="59">
        <f t="shared" si="42"/>
        <v>160.26466014910304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62.600775057953499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80</v>
      </c>
      <c r="DM23" s="12">
        <f>VLOOKUP(A23,'Données projet'!$A$165:$I$185,9,0)</f>
        <v>11.6</v>
      </c>
      <c r="DN23" s="12">
        <f t="array" ref="DN23">INDEX(DM:DM,MIN(IF(ISNUMBER(DM23:DM219),ROW(DM23:DM219),"")))</f>
        <v>11.6</v>
      </c>
      <c r="DO23" s="12">
        <f>IF('Données projet'!$A$166&gt;35,DO22+DN23-DW22,IF(A23&lt;'Données projet'!$A$166,$DL$205^A23,IF(A23='Données projet'!$A$166,'Données projet'!$B$166,DO22+DN23-DW22)))</f>
        <v>80</v>
      </c>
      <c r="DP23" s="17">
        <f>DO23*VLOOKUP('Données projet'!$B$14,Paramètres!$A$1:$I$89,3,0)*VLOOKUP('Données projet'!$B$14,Paramètres!$A$1:$I$89,5,0)</f>
        <v>63.647999999999996</v>
      </c>
      <c r="DQ23" s="13">
        <f t="shared" si="43"/>
        <v>18.087405707268363</v>
      </c>
      <c r="DR23" s="20">
        <f t="shared" si="16"/>
        <v>142.35583160682572</v>
      </c>
      <c r="DS23" s="59">
        <f t="shared" si="17"/>
        <v>396.33645126376632</v>
      </c>
      <c r="DT23" s="59">
        <f ca="1">AVERAGE(OFFSET($DS$3,0,0,'Données projet'!$E$14+1,1))-AVERAGE(OFFSET($H$3,0,0,'Données projet'!$E$14+1,1))</f>
        <v>309.14579005132464</v>
      </c>
      <c r="DU23" s="59">
        <f t="shared" si="44"/>
        <v>300.60311050289533</v>
      </c>
      <c r="DV23" s="15">
        <f>IF(ISNA(VLOOKUP(A23,'Données projet'!$A$165:$I$185,3,0)),0,VLOOKUP(A23,'Données projet'!$A$165:$I$185,3,0))</f>
        <v>2</v>
      </c>
      <c r="DW23" s="15">
        <f>IF(ISNA(VLOOKUP(A23,'Données projet'!$A$165:$I$185,4,0)),0,VLOOKUP(A23,'Données projet'!$A$165:$I$185,4,0))</f>
        <v>28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62.600775057953499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102</v>
      </c>
      <c r="EH23" s="12">
        <f>VLOOKUP(A23,'Données projet'!$A$191:$I$211,9,0)</f>
        <v>13.8</v>
      </c>
      <c r="EI23" s="12">
        <f t="array" ref="EI23">INDEX(EH:EH,MIN(IF(ISNUMBER(EH23:EH219),ROW(EH23:EH219),"")))</f>
        <v>13.8</v>
      </c>
      <c r="EJ23" s="12">
        <f>IF('Données projet'!$A$192&gt;35,EJ22+EI23-ER22,IF(A23&lt;'Données projet'!$A$192,$EG$205^A23,IF(A23='Données projet'!$A$192,'Données projet'!$B$192,EJ22+EI23-ER22)))</f>
        <v>101.99999999999999</v>
      </c>
      <c r="EK23" s="17">
        <f>EJ23*VLOOKUP('Données projet'!$B$15,Paramètres!$A$1:$I$89,3,0)*VLOOKUP('Données projet'!$B$15,Paramètres!$A$1:$I$89,5,0)</f>
        <v>74.786399999999986</v>
      </c>
      <c r="EL23" s="13">
        <f t="shared" si="45"/>
        <v>20.857475351088951</v>
      </c>
      <c r="EM23" s="20">
        <f t="shared" si="19"/>
        <v>166.57974956981323</v>
      </c>
      <c r="EN23" s="59">
        <f t="shared" si="20"/>
        <v>420.56036922675383</v>
      </c>
      <c r="EO23" s="59">
        <f ca="1">AVERAGE(OFFSET($EN$3,0,0,'Données projet'!$E$15+1,1))-AVERAGE(OFFSET($H$3,0,0,'Données projet'!$E$15+1,1))</f>
        <v>338.59243085476896</v>
      </c>
      <c r="EP23" s="59">
        <f t="shared" si="46"/>
        <v>329.8393445823275</v>
      </c>
      <c r="EQ23" s="15">
        <f>IF(ISNA(VLOOKUP(A23,'Données projet'!$A$191:$I$211,3,0)),0,VLOOKUP(A23,'Données projet'!$A$191:$I$211,3,0))</f>
        <v>3</v>
      </c>
      <c r="ER23" s="15">
        <f>IF(ISNA(VLOOKUP(A23,'Données projet'!$A$191:$I$211,4,0)),0,VLOOKUP(A23,'Données projet'!$A$191:$I$211,4,0))</f>
        <v>35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62.600775057953499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>
        <f>VLOOKUP(A23,'Données projet'!$A$217:$I$237,2,0)</f>
        <v>102</v>
      </c>
      <c r="FC23" s="12">
        <f>VLOOKUP(A23,'Données projet'!$A$217:$I$237,9,0)</f>
        <v>13.8</v>
      </c>
      <c r="FD23" s="12">
        <f t="array" ref="FD23">INDEX(FC:FC,MIN(IF(ISNUMBER(FC23:FC219),ROW(FC23:FC219),"")))</f>
        <v>13.8</v>
      </c>
      <c r="FE23" s="12">
        <f>IF('Données projet'!$A$218&gt;35,FE22+FD23-FM22,IF(A23&lt;'Données projet'!$A$218,$FB$205^A23,IF(A23='Données projet'!$A$218,'Données projet'!$B$218,FE22+FD23-FM22)))</f>
        <v>101.99999999999999</v>
      </c>
      <c r="FF23" s="17">
        <f>FE23*VLOOKUP('Données projet'!$B$16,Paramètres!$A$1:$I$89,3,0)*VLOOKUP('Données projet'!$B$16,Paramètres!$A$1:$I$89,5,0)</f>
        <v>66.830399999999983</v>
      </c>
      <c r="FG23" s="13">
        <f t="shared" si="47"/>
        <v>18.884224063325345</v>
      </c>
      <c r="FH23" s="20">
        <f t="shared" si="22"/>
        <v>149.28630357695829</v>
      </c>
      <c r="FI23" s="59">
        <f t="shared" si="23"/>
        <v>403.26692323389886</v>
      </c>
      <c r="FJ23" s="59">
        <f ca="1">AVERAGE(OFFSET($FI$3,0,0,'Données projet'!$E$16+1,1))-AVERAGE(OFFSET($H$3,0,0,'Données projet'!$E$16+1,1))</f>
        <v>307.50573770128085</v>
      </c>
      <c r="FK23" s="59">
        <f t="shared" si="48"/>
        <v>300.2007312562655</v>
      </c>
      <c r="FL23" s="15">
        <f>IF(ISNA(VLOOKUP(A23,'Données projet'!$A$217:$I$237,3,0)),0,VLOOKUP(A23,'Données projet'!$A$217:$I$237,3,0))</f>
        <v>3</v>
      </c>
      <c r="FM23" s="15">
        <f>IF(ISNA(VLOOKUP(A23,'Données projet'!$A$217:$I$237,4,0)),0,VLOOKUP(A23,'Données projet'!$A$217:$I$237,4,0))</f>
        <v>35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62.600775057953499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>
        <f>VLOOKUP(A23,'Données projet'!$A$243:$I$263,2,0)</f>
        <v>102</v>
      </c>
      <c r="FX23" s="12">
        <f>VLOOKUP(A23,'Données projet'!$A$243:$I$263,9,0)</f>
        <v>13.8</v>
      </c>
      <c r="FY23" s="12">
        <f t="array" ref="FY23">INDEX(FX:FX,MIN(IF(ISNUMBER(FX23:FX219),ROW(FX23:FX219),"")))</f>
        <v>13.8</v>
      </c>
      <c r="FZ23" s="12">
        <f>IF('Données projet'!$A$244&gt;35,FZ22+FY23-GH22,IF(A23&lt;'Données projet'!$A$244,$FW$205^A23,IF(A23='Données projet'!$A$244,'Données projet'!$B$244,FZ22+FY23-GH22)))</f>
        <v>101.99999999999999</v>
      </c>
      <c r="GA23" s="17">
        <f>FZ23*VLOOKUP('Données projet'!$B$17,Paramètres!$A$1:$I$89,3,0)*VLOOKUP('Données projet'!$B$17,Paramètres!$A$1:$I$89,5,0)</f>
        <v>82.742399999999989</v>
      </c>
      <c r="GB23" s="13">
        <f t="shared" si="49"/>
        <v>22.806394174303204</v>
      </c>
      <c r="GC23" s="20">
        <f t="shared" si="25"/>
        <v>183.83081652024472</v>
      </c>
      <c r="GD23" s="59">
        <f t="shared" si="26"/>
        <v>437.81143617718533</v>
      </c>
      <c r="GE23" s="59">
        <f ca="1">AVERAGE(OFFSET($GD$3,0,0,'Données projet'!$E$17+1,1))-AVERAGE(OFFSET($H$3,0,0,'Données projet'!$E$17+1,1))</f>
        <v>369.60865427618342</v>
      </c>
      <c r="GF23" s="59">
        <f t="shared" si="50"/>
        <v>359.40898775279197</v>
      </c>
      <c r="GG23" s="15">
        <f>IF(ISNA(VLOOKUP(A23,'Données projet'!$A$243:$I$263,3,0)),0,VLOOKUP(A23,'Données projet'!$A$243:$I$263,3,0))</f>
        <v>3</v>
      </c>
      <c r="GH23" s="15">
        <f>IF(ISNA(VLOOKUP(A23,'Données projet'!$A$243:$I$263,4,0)),0,VLOOKUP(A23,'Données projet'!$A$243:$I$263,4,0))</f>
        <v>35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62.600775057953499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>
        <f>VLOOKUP(A23,'Données projet'!$A$269:$I$289,2,0)</f>
        <v>80</v>
      </c>
      <c r="GS23" s="12">
        <f>VLOOKUP(A23,'Données projet'!$A$269:$I$289,9,0)</f>
        <v>11.6</v>
      </c>
      <c r="GT23" s="12">
        <f t="array" ref="GT23">INDEX(GS:GS,MIN(IF(ISNUMBER(GS23:GS219),ROW(GS23:GS219),"")))</f>
        <v>11.6</v>
      </c>
      <c r="GU23" s="12">
        <f>IF('Données projet'!$A$270&gt;35,GU22+GT23-HC22,IF(A23&lt;'Données projet'!$A$270,$GR$205^A23,IF(A23='Données projet'!$A$270,'Données projet'!$B$270,GU22+GT23-HC22)))</f>
        <v>80</v>
      </c>
      <c r="GV23" s="17">
        <f>GU23*VLOOKUP('Données projet'!$B$18,Paramètres!$A$1:$I$89,3,0)*VLOOKUP('Données projet'!$B$18,Paramètres!$A$1:$I$89,5,0)</f>
        <v>52.416000000000004</v>
      </c>
      <c r="GW23" s="13">
        <f t="shared" si="51"/>
        <v>15.235978301273029</v>
      </c>
      <c r="GX23" s="20">
        <f t="shared" si="28"/>
        <v>117.82719554138386</v>
      </c>
      <c r="GY23" s="59">
        <f t="shared" si="29"/>
        <v>371.80781519832448</v>
      </c>
      <c r="GZ23" s="59">
        <f ca="1">AVERAGE(OFFSET($GY$3,0,0,'Données projet'!$E$18+1,1))-AVERAGE(OFFSET($H$3,0,0,'Données projet'!$E$18+1,1))</f>
        <v>262.62914256200031</v>
      </c>
      <c r="HA23" s="59">
        <f t="shared" si="52"/>
        <v>256.45129229594409</v>
      </c>
      <c r="HB23" s="15">
        <f>IF(ISNA(VLOOKUP(A23,'Données projet'!$A$269:$I$289,3,0)),0,VLOOKUP(A23,'Données projet'!$A$269:$I$289,3,0))</f>
        <v>2</v>
      </c>
      <c r="HC23" s="15">
        <f>IF(ISNA(VLOOKUP(A23,'Données projet'!$A$269:$I$289,4,0)),0,VLOOKUP(A23,'Données projet'!$A$269:$I$289,4,0))</f>
        <v>28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>
        <f>EXP(-LN(2)/35)*HG22+(1-EXP(-LN(2)/35))/(LN(2)/35)*HC23*HD23*VLOOKUP('Données projet'!$B$18,Paramètres!$A$1:$I$89,3,0)*0.475*44/12</f>
        <v>0</v>
      </c>
      <c r="HH23" s="21">
        <f>EXP(-LN(2)/25)*HH22+(1-EXP(-LN(2)/25))/(LN(2)/25)*Calculateur!HC23*Calculateur!HE23*VLOOKUP('Données projet'!$B$18,Paramètres!$A$1:$I$89,3,0)*0.475*44/12</f>
        <v>0</v>
      </c>
      <c r="HI23" s="21">
        <f>EXP(-LN(2)/2)*HI22+(1-EXP(-LN(2)/2))/(LN(2)/2)*HC23*HF23*VLOOKUP('Données projet'!$B$18,Paramètres!$A$1:$I$89,3,0)*0.475*44/12</f>
        <v>0</v>
      </c>
      <c r="HJ23" s="22">
        <f t="shared" si="30"/>
        <v>0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2.1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7.7</v>
      </c>
      <c r="H24" s="67">
        <f t="shared" si="1"/>
        <v>225.86666666666665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62.729135068509237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3.04</v>
      </c>
      <c r="N24" s="13">
        <f>IF('Données projet'!$A$36&gt;35,N23+M24-V23,IF(A24&lt;'Données projet'!$A$36,$K$205^A24,IF(A24='Données projet'!$A$36,'Données projet'!$B$36,N23+M24-V23)))</f>
        <v>38.008735156169401</v>
      </c>
      <c r="O24" s="13">
        <f>N24*VLOOKUP('Données projet'!$B$9,Paramètres!$A$1:$I$89,3,0)*VLOOKUP('Données projet'!$B$9,Paramètres!$A$1:$I$89,5,0)</f>
        <v>32.611494763993349</v>
      </c>
      <c r="P24" s="13">
        <f t="shared" si="33"/>
        <v>10.017663056489747</v>
      </c>
      <c r="Q24" s="20">
        <f t="shared" si="2"/>
        <v>74.245783204008049</v>
      </c>
      <c r="R24" s="59">
        <f t="shared" si="0"/>
        <v>329.9192784552086</v>
      </c>
      <c r="S24" s="59">
        <f ca="1">AVERAGE(OFFSET($R$3,0,0,'Données projet'!$E$9+1,1))-AVERAGE(OFFSET($H$3,0,0,'Données projet'!$E$9+1,1))</f>
        <v>476.79071915271794</v>
      </c>
      <c r="T24" s="59">
        <f t="shared" si="34"/>
        <v>264.79929759351762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62.729135068509237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5.6</v>
      </c>
      <c r="AI24" s="13">
        <f>IF('Données projet'!$A$62&gt;35,AI23+AH24-AQ23,IF(A24&lt;'Données projet'!$A$62,$AF$205^A24,IF(A24='Données projet'!$A$62,'Données projet'!$B$62,AI23+AH24-AQ23)))</f>
        <v>47.6</v>
      </c>
      <c r="AJ24" s="13">
        <f>AI24*VLOOKUP('Données projet'!$B$10,Paramètres!$A$1:$I$89,3,0)*VLOOKUP('Données projet'!$B$10,Paramètres!$A$1:$I$89,5,0)</f>
        <v>40.098240000000011</v>
      </c>
      <c r="AK24" s="13">
        <f t="shared" si="35"/>
        <v>12.024681710991171</v>
      </c>
      <c r="AL24" s="20">
        <f t="shared" si="4"/>
        <v>90.780755313309626</v>
      </c>
      <c r="AM24" s="59">
        <f t="shared" si="5"/>
        <v>346.45425056451018</v>
      </c>
      <c r="AN24" s="59">
        <f ca="1">AVERAGE(OFFSET($AM$3,0,0,'Données projet'!$E$10+1,1))-AVERAGE(OFFSET($H$3,0,0,'Données projet'!$E$10+1,1))</f>
        <v>365.104658862176</v>
      </c>
      <c r="AO24" s="59">
        <f t="shared" si="36"/>
        <v>226.29232910286325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62.729135068509237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5.6</v>
      </c>
      <c r="BD24" s="12">
        <f>IF('Données projet'!$A$88&gt;35,BD23+BC24-BL23,IF(A24&lt;'Données projet'!$A$88,$BA$205^A24,IF(A24='Données projet'!$A$88,'Données projet'!$B$88,BD23+BC24-BL23)))</f>
        <v>47.6</v>
      </c>
      <c r="BE24" s="13">
        <f>BD24*VLOOKUP('Données projet'!$B$11,Paramètres!$A$1:$I$89,3,0)*VLOOKUP('Données projet'!$B$11,Paramètres!$A$1:$I$89,5,0)</f>
        <v>43.068480000000001</v>
      </c>
      <c r="BF24" s="13">
        <f t="shared" si="37"/>
        <v>12.808416415102187</v>
      </c>
      <c r="BG24" s="20">
        <f t="shared" si="7"/>
        <v>97.318927922969635</v>
      </c>
      <c r="BH24" s="59">
        <f t="shared" si="8"/>
        <v>352.9924231741702</v>
      </c>
      <c r="BI24" s="59">
        <f ca="1">AVERAGE(OFFSET($BH$3,0,0,'Données projet'!$E$11+1,1))-AVERAGE(OFFSET($H$3,0,0,'Données projet'!$E$11+1,1))</f>
        <v>388.12494342575195</v>
      </c>
      <c r="BJ24" s="59">
        <f t="shared" si="38"/>
        <v>239.39471445648454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62.729135068509237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5.6</v>
      </c>
      <c r="BY24" s="12">
        <f>IF('Données projet'!$A$114&gt;35,BY23+BX24-CG23,IF(A24&lt;'Données projet'!$A$114,$BV$205^A24,IF(A24='Données projet'!$A$114,'Données projet'!$B$114,BY23+BX24-CG23)))</f>
        <v>47.6</v>
      </c>
      <c r="BZ24" s="13">
        <f>BY24*VLOOKUP('Données projet'!$B$12,Paramètres!$A$1:$I$89,3,0)*VLOOKUP('Données projet'!$B$12,Paramètres!$A$1:$I$89,5,0)</f>
        <v>48.266400000000004</v>
      </c>
      <c r="CA24" s="13">
        <f t="shared" si="39"/>
        <v>14.165134590154434</v>
      </c>
      <c r="CB24" s="20">
        <f t="shared" si="10"/>
        <v>108.73492274451898</v>
      </c>
      <c r="CC24" s="59">
        <f t="shared" si="11"/>
        <v>364.4084179957195</v>
      </c>
      <c r="CD24" s="59">
        <f ca="1">AVERAGE(OFFSET($CC$3,0,0,'Données projet'!$E$12+1,1))-AVERAGE(OFFSET($H$3,0,0,'Données projet'!$E$12+1,1))</f>
        <v>428.33148932885132</v>
      </c>
      <c r="CE24" s="59">
        <f t="shared" si="40"/>
        <v>262.27548054534373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62.729135068509237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1.2</v>
      </c>
      <c r="CT24" s="12">
        <f>IF('Données projet'!$A$140&gt;35,CT23+CS24-DB23,IF(A24&lt;'Données projet'!$A$140,$CQ$205^A24,IF(A24='Données projet'!$A$140,'Données projet'!$B$140,CT23+CS24-DB23)))</f>
        <v>17.409321838276906</v>
      </c>
      <c r="CU24" s="17">
        <f>CT24*VLOOKUP('Données projet'!$B$13,Paramètres!$A$1:$I$89,3,0)*VLOOKUP('Données projet'!$B$13,Paramètres!$A$1:$I$89,5,0)</f>
        <v>16.566710661304302</v>
      </c>
      <c r="CV24" s="13">
        <f t="shared" si="41"/>
        <v>5.5064189146038656</v>
      </c>
      <c r="CW24" s="20">
        <f t="shared" si="13"/>
        <v>38.444034011373397</v>
      </c>
      <c r="CX24" s="59">
        <f t="shared" si="14"/>
        <v>294.11752926257395</v>
      </c>
      <c r="CY24" s="59">
        <f ca="1">AVERAGE(OFFSET($CX$3,0,0,'Données projet'!$E$13+1,1))-AVERAGE(OFFSET($H$3,0,0,'Données projet'!$E$13+1,1))</f>
        <v>307.62549820830162</v>
      </c>
      <c r="CZ24" s="59">
        <f t="shared" si="42"/>
        <v>160.26466014910304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62.729135068509237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12.6</v>
      </c>
      <c r="DO24" s="12">
        <f>IF('Données projet'!$A$166&gt;35,DO23+DN24-DW23,IF(A24&lt;'Données projet'!$A$166,$DL$205^A24,IF(A24='Données projet'!$A$166,'Données projet'!$B$166,DO23+DN24-DW23)))</f>
        <v>64.599999999999994</v>
      </c>
      <c r="DP24" s="17">
        <f>DO24*VLOOKUP('Données projet'!$B$14,Paramètres!$A$1:$I$89,3,0)*VLOOKUP('Données projet'!$B$14,Paramètres!$A$1:$I$89,5,0)</f>
        <v>51.395759999999996</v>
      </c>
      <c r="DQ24" s="13">
        <f t="shared" si="43"/>
        <v>14.973641136922506</v>
      </c>
      <c r="DR24" s="20">
        <f t="shared" si="16"/>
        <v>115.59337364680668</v>
      </c>
      <c r="DS24" s="59">
        <f t="shared" si="17"/>
        <v>371.2668688980072</v>
      </c>
      <c r="DT24" s="59">
        <f ca="1">AVERAGE(OFFSET($DS$3,0,0,'Données projet'!$E$14+1,1))-AVERAGE(OFFSET($H$3,0,0,'Données projet'!$E$14+1,1))</f>
        <v>309.14579005132464</v>
      </c>
      <c r="DU24" s="59">
        <f t="shared" si="44"/>
        <v>300.60311050289533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62.729135068509237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14.8</v>
      </c>
      <c r="EJ24" s="12">
        <f>IF('Données projet'!$A$192&gt;35,EJ23+EI24-ER23,IF(A24&lt;'Données projet'!$A$192,$EG$205^A24,IF(A24='Données projet'!$A$192,'Données projet'!$B$192,EJ23+EI24-ER23)))</f>
        <v>81.799999999999983</v>
      </c>
      <c r="EK24" s="17">
        <f>EJ24*VLOOKUP('Données projet'!$B$15,Paramètres!$A$1:$I$89,3,0)*VLOOKUP('Données projet'!$B$15,Paramètres!$A$1:$I$89,5,0)</f>
        <v>59.975759999999987</v>
      </c>
      <c r="EL24" s="13">
        <f t="shared" si="45"/>
        <v>17.162140235844557</v>
      </c>
      <c r="EM24" s="20">
        <f t="shared" si="19"/>
        <v>134.34850957742924</v>
      </c>
      <c r="EN24" s="59">
        <f t="shared" si="20"/>
        <v>390.02200482862975</v>
      </c>
      <c r="EO24" s="59">
        <f ca="1">AVERAGE(OFFSET($EN$3,0,0,'Données projet'!$E$15+1,1))-AVERAGE(OFFSET($H$3,0,0,'Données projet'!$E$15+1,1))</f>
        <v>338.59243085476896</v>
      </c>
      <c r="EP24" s="59">
        <f t="shared" si="46"/>
        <v>329.8393445823275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62.729135068509237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14.8</v>
      </c>
      <c r="FE24" s="12">
        <f>IF('Données projet'!$A$218&gt;35,FE23+FD24-FM23,IF(A24&lt;'Données projet'!$A$218,$FB$205^A24,IF(A24='Données projet'!$A$218,'Données projet'!$B$218,FE23+FD24-FM23)))</f>
        <v>81.799999999999983</v>
      </c>
      <c r="FF24" s="17">
        <f>FE24*VLOOKUP('Données projet'!$B$16,Paramètres!$A$1:$I$89,3,0)*VLOOKUP('Données projet'!$B$16,Paramètres!$A$1:$I$89,5,0)</f>
        <v>53.595359999999992</v>
      </c>
      <c r="FG24" s="13">
        <f t="shared" si="47"/>
        <v>15.538491412048067</v>
      </c>
      <c r="FH24" s="20">
        <f t="shared" si="22"/>
        <v>120.40812454265038</v>
      </c>
      <c r="FI24" s="59">
        <f t="shared" si="23"/>
        <v>376.0816197938509</v>
      </c>
      <c r="FJ24" s="59">
        <f ca="1">AVERAGE(OFFSET($FI$3,0,0,'Données projet'!$E$16+1,1))-AVERAGE(OFFSET($H$3,0,0,'Données projet'!$E$16+1,1))</f>
        <v>307.50573770128085</v>
      </c>
      <c r="FK24" s="59">
        <f t="shared" si="48"/>
        <v>300.2007312562655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62.729135068509237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14.8</v>
      </c>
      <c r="FZ24" s="12">
        <f>IF('Données projet'!$A$244&gt;35,FZ23+FY24-GH23,IF(A24&lt;'Données projet'!$A$244,$FW$205^A24,IF(A24='Données projet'!$A$244,'Données projet'!$B$244,FZ23+FY24-GH23)))</f>
        <v>81.799999999999983</v>
      </c>
      <c r="GA24" s="17">
        <f>FZ24*VLOOKUP('Données projet'!$B$17,Paramètres!$A$1:$I$89,3,0)*VLOOKUP('Données projet'!$B$17,Paramètres!$A$1:$I$89,5,0)</f>
        <v>66.356159999999988</v>
      </c>
      <c r="GB24" s="13">
        <f t="shared" si="49"/>
        <v>18.765767596743419</v>
      </c>
      <c r="GC24" s="20">
        <f t="shared" si="25"/>
        <v>148.25402389766143</v>
      </c>
      <c r="GD24" s="59">
        <f t="shared" si="26"/>
        <v>403.92751914886196</v>
      </c>
      <c r="GE24" s="59">
        <f ca="1">AVERAGE(OFFSET($GD$3,0,0,'Données projet'!$E$17+1,1))-AVERAGE(OFFSET($H$3,0,0,'Données projet'!$E$17+1,1))</f>
        <v>369.60865427618342</v>
      </c>
      <c r="GF24" s="59">
        <f t="shared" si="50"/>
        <v>359.40898775279197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62.729135068509237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12.6</v>
      </c>
      <c r="GU24" s="12">
        <f>IF('Données projet'!$A$270&gt;35,GU23+GT24-HC23,IF(A24&lt;'Données projet'!$A$270,$GR$205^A24,IF(A24='Données projet'!$A$270,'Données projet'!$B$270,GU23+GT24-HC23)))</f>
        <v>64.599999999999994</v>
      </c>
      <c r="GV24" s="17">
        <f>GU24*VLOOKUP('Données projet'!$B$18,Paramètres!$A$1:$I$89,3,0)*VLOOKUP('Données projet'!$B$18,Paramètres!$A$1:$I$89,5,0)</f>
        <v>42.325919999999996</v>
      </c>
      <c r="GW24" s="13">
        <f t="shared" si="51"/>
        <v>12.613089745729766</v>
      </c>
      <c r="GX24" s="20">
        <f t="shared" si="28"/>
        <v>95.685441973812658</v>
      </c>
      <c r="GY24" s="59">
        <f t="shared" si="29"/>
        <v>351.35893722501316</v>
      </c>
      <c r="GZ24" s="59">
        <f ca="1">AVERAGE(OFFSET($GY$3,0,0,'Données projet'!$E$18+1,1))-AVERAGE(OFFSET($H$3,0,0,'Données projet'!$E$18+1,1))</f>
        <v>262.62914256200031</v>
      </c>
      <c r="HA24" s="59">
        <f t="shared" si="52"/>
        <v>256.45129229594409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>
        <f>EXP(-LN(2)/35)*HG23+(1-EXP(-LN(2)/35))/(LN(2)/35)*HC24*HD24*VLOOKUP('Données projet'!$B$18,Paramètres!$A$1:$I$89,3,0)*0.475*44/12</f>
        <v>0</v>
      </c>
      <c r="HH24" s="21">
        <f>EXP(-LN(2)/25)*HH23+(1-EXP(-LN(2)/25))/(LN(2)/25)*Calculateur!HC24*Calculateur!HE24*VLOOKUP('Données projet'!$B$18,Paramètres!$A$1:$I$89,3,0)*0.475*44/12</f>
        <v>0</v>
      </c>
      <c r="HI24" s="21">
        <f>EXP(-LN(2)/2)*HI23+(1-EXP(-LN(2)/2))/(LN(2)/2)*HC24*HF24*VLOOKUP('Données projet'!$B$18,Paramètres!$A$1:$I$89,3,0)*0.475*44/12</f>
        <v>0</v>
      </c>
      <c r="HJ24" s="22">
        <f t="shared" si="30"/>
        <v>0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2.1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7.7</v>
      </c>
      <c r="H25" s="67">
        <f t="shared" si="1"/>
        <v>225.86666666666665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62.855268319851824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3.04</v>
      </c>
      <c r="N25" s="13">
        <f>IF('Données projet'!$A$36&gt;35,N24+M25-V24,IF(A25&lt;'Données projet'!$A$36,$K$205^A25,IF(A25='Données projet'!$A$36,'Données projet'!$B$36,N24+M25-V24)))</f>
        <v>45.197661078660147</v>
      </c>
      <c r="O25" s="13">
        <f>N25*VLOOKUP('Données projet'!$B$9,Paramètres!$A$1:$I$89,3,0)*VLOOKUP('Données projet'!$B$9,Paramètres!$A$1:$I$89,5,0)</f>
        <v>38.779593205490414</v>
      </c>
      <c r="P25" s="13">
        <f t="shared" si="33"/>
        <v>11.674596941402855</v>
      </c>
      <c r="Q25" s="20">
        <f t="shared" si="2"/>
        <v>87.874381172505764</v>
      </c>
      <c r="R25" s="59">
        <f t="shared" si="0"/>
        <v>345.23258723418468</v>
      </c>
      <c r="S25" s="59">
        <f ca="1">AVERAGE(OFFSET($R$3,0,0,'Données projet'!$E$9+1,1))-AVERAGE(OFFSET($H$3,0,0,'Données projet'!$E$9+1,1))</f>
        <v>476.79071915271794</v>
      </c>
      <c r="T25" s="59">
        <f t="shared" si="34"/>
        <v>264.79929759351762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62.855268319851824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5.6</v>
      </c>
      <c r="AI25" s="13">
        <f>IF('Données projet'!$A$62&gt;35,AI24+AH25-AQ24,IF(A25&lt;'Données projet'!$A$62,$AF$205^A25,IF(A25='Données projet'!$A$62,'Données projet'!$B$62,AI24+AH25-AQ24)))</f>
        <v>53.2</v>
      </c>
      <c r="AJ25" s="13">
        <f>AI25*VLOOKUP('Données projet'!$B$10,Paramètres!$A$1:$I$89,3,0)*VLOOKUP('Données projet'!$B$10,Paramètres!$A$1:$I$89,5,0)</f>
        <v>44.815680000000008</v>
      </c>
      <c r="AK25" s="13">
        <f t="shared" si="35"/>
        <v>13.266476878569183</v>
      </c>
      <c r="AL25" s="20">
        <f t="shared" si="4"/>
        <v>101.159756563508</v>
      </c>
      <c r="AM25" s="59">
        <f t="shared" si="5"/>
        <v>358.5179626251869</v>
      </c>
      <c r="AN25" s="59">
        <f ca="1">AVERAGE(OFFSET($AM$3,0,0,'Données projet'!$E$10+1,1))-AVERAGE(OFFSET($H$3,0,0,'Données projet'!$E$10+1,1))</f>
        <v>365.104658862176</v>
      </c>
      <c r="AO25" s="59">
        <f t="shared" si="36"/>
        <v>226.29232910286325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62.855268319851824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5.6</v>
      </c>
      <c r="BD25" s="12">
        <f>IF('Données projet'!$A$88&gt;35,BD24+BC25-BL24,IF(A25&lt;'Données projet'!$A$88,$BA$205^A25,IF(A25='Données projet'!$A$88,'Données projet'!$B$88,BD24+BC25-BL24)))</f>
        <v>53.2</v>
      </c>
      <c r="BE25" s="13">
        <f>BD25*VLOOKUP('Données projet'!$B$11,Paramètres!$A$1:$I$89,3,0)*VLOOKUP('Données projet'!$B$11,Paramètres!$A$1:$I$89,5,0)</f>
        <v>48.135359999999999</v>
      </c>
      <c r="BF25" s="13">
        <f t="shared" si="37"/>
        <v>14.131148275361113</v>
      </c>
      <c r="BG25" s="20">
        <f t="shared" si="7"/>
        <v>108.4475019129206</v>
      </c>
      <c r="BH25" s="59">
        <f t="shared" si="8"/>
        <v>365.8057079745995</v>
      </c>
      <c r="BI25" s="59">
        <f ca="1">AVERAGE(OFFSET($BH$3,0,0,'Données projet'!$E$11+1,1))-AVERAGE(OFFSET($H$3,0,0,'Données projet'!$E$11+1,1))</f>
        <v>388.12494342575195</v>
      </c>
      <c r="BJ25" s="59">
        <f t="shared" si="38"/>
        <v>239.39471445648454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62.855268319851824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5.6</v>
      </c>
      <c r="BY25" s="12">
        <f>IF('Données projet'!$A$114&gt;35,BY24+BX25-CG24,IF(A25&lt;'Données projet'!$A$114,$BV$205^A25,IF(A25='Données projet'!$A$114,'Données projet'!$B$114,BY24+BX25-CG24)))</f>
        <v>53.2</v>
      </c>
      <c r="BZ25" s="13">
        <f>BY25*VLOOKUP('Données projet'!$B$12,Paramètres!$A$1:$I$89,3,0)*VLOOKUP('Données projet'!$B$12,Paramètres!$A$1:$I$89,5,0)</f>
        <v>53.944800000000008</v>
      </c>
      <c r="CA25" s="13">
        <f t="shared" si="39"/>
        <v>15.627975445731321</v>
      </c>
      <c r="CB25" s="20">
        <f t="shared" si="10"/>
        <v>121.17258390131538</v>
      </c>
      <c r="CC25" s="59">
        <f t="shared" si="11"/>
        <v>378.53078996299428</v>
      </c>
      <c r="CD25" s="59">
        <f ca="1">AVERAGE(OFFSET($CC$3,0,0,'Données projet'!$E$12+1,1))-AVERAGE(OFFSET($H$3,0,0,'Données projet'!$E$12+1,1))</f>
        <v>428.33148932885132</v>
      </c>
      <c r="CE25" s="59">
        <f t="shared" si="40"/>
        <v>262.27548054534373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62.855268319851824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1.2</v>
      </c>
      <c r="CT25" s="12">
        <f>IF('Données projet'!$A$140&gt;35,CT24+CS25-DB24,IF(A25&lt;'Données projet'!$A$140,$CQ$205^A25,IF(A25='Données projet'!$A$140,'Données projet'!$B$140,CT24+CS25-DB24)))</f>
        <v>19.946500129940819</v>
      </c>
      <c r="CU25" s="17">
        <f>CT25*VLOOKUP('Données projet'!$B$13,Paramètres!$A$1:$I$89,3,0)*VLOOKUP('Données projet'!$B$13,Paramètres!$A$1:$I$89,5,0)</f>
        <v>18.981089523651683</v>
      </c>
      <c r="CV25" s="13">
        <f t="shared" si="41"/>
        <v>6.2097858296733257</v>
      </c>
      <c r="CW25" s="20">
        <f t="shared" si="13"/>
        <v>43.874107907041058</v>
      </c>
      <c r="CX25" s="59">
        <f t="shared" si="14"/>
        <v>301.23231396871995</v>
      </c>
      <c r="CY25" s="59">
        <f ca="1">AVERAGE(OFFSET($CX$3,0,0,'Données projet'!$E$13+1,1))-AVERAGE(OFFSET($H$3,0,0,'Données projet'!$E$13+1,1))</f>
        <v>307.62549820830162</v>
      </c>
      <c r="CZ25" s="59">
        <f t="shared" si="42"/>
        <v>160.26466014910304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62.855268319851824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12.6</v>
      </c>
      <c r="DO25" s="12">
        <f>IF('Données projet'!$A$166&gt;35,DO24+DN25-DW24,IF(A25&lt;'Données projet'!$A$166,$DL$205^A25,IF(A25='Données projet'!$A$166,'Données projet'!$B$166,DO24+DN25-DW24)))</f>
        <v>77.199999999999989</v>
      </c>
      <c r="DP25" s="17">
        <f>DO25*VLOOKUP('Données projet'!$B$14,Paramètres!$A$1:$I$89,3,0)*VLOOKUP('Données projet'!$B$14,Paramètres!$A$1:$I$89,5,0)</f>
        <v>61.42031999999999</v>
      </c>
      <c r="DQ25" s="13">
        <f t="shared" si="43"/>
        <v>17.526880037631354</v>
      </c>
      <c r="DR25" s="20">
        <f t="shared" si="16"/>
        <v>137.4997067322079</v>
      </c>
      <c r="DS25" s="59">
        <f t="shared" si="17"/>
        <v>394.85791279388684</v>
      </c>
      <c r="DT25" s="59">
        <f ca="1">AVERAGE(OFFSET($DS$3,0,0,'Données projet'!$E$14+1,1))-AVERAGE(OFFSET($H$3,0,0,'Données projet'!$E$14+1,1))</f>
        <v>309.14579005132464</v>
      </c>
      <c r="DU25" s="59">
        <f t="shared" si="44"/>
        <v>300.60311050289533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62.855268319851824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14.8</v>
      </c>
      <c r="EJ25" s="12">
        <f>IF('Données projet'!$A$192&gt;35,EJ24+EI25-ER24,IF(A25&lt;'Données projet'!$A$192,$EG$205^A25,IF(A25='Données projet'!$A$192,'Données projet'!$B$192,EJ24+EI25-ER24)))</f>
        <v>96.59999999999998</v>
      </c>
      <c r="EK25" s="17">
        <f>EJ25*VLOOKUP('Données projet'!$B$15,Paramètres!$A$1:$I$89,3,0)*VLOOKUP('Données projet'!$B$15,Paramètres!$A$1:$I$89,5,0)</f>
        <v>70.827119999999979</v>
      </c>
      <c r="EL25" s="13">
        <f t="shared" si="45"/>
        <v>19.878719982140016</v>
      </c>
      <c r="EM25" s="20">
        <f t="shared" si="19"/>
        <v>157.97933796889382</v>
      </c>
      <c r="EN25" s="59">
        <f t="shared" si="20"/>
        <v>415.33754403057276</v>
      </c>
      <c r="EO25" s="59">
        <f ca="1">AVERAGE(OFFSET($EN$3,0,0,'Données projet'!$E$15+1,1))-AVERAGE(OFFSET($H$3,0,0,'Données projet'!$E$15+1,1))</f>
        <v>338.59243085476896</v>
      </c>
      <c r="EP25" s="59">
        <f t="shared" si="46"/>
        <v>329.8393445823275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62.855268319851824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14.8</v>
      </c>
      <c r="FE25" s="12">
        <f>IF('Données projet'!$A$218&gt;35,FE24+FD25-FM24,IF(A25&lt;'Données projet'!$A$218,$FB$205^A25,IF(A25='Données projet'!$A$218,'Données projet'!$B$218,FE24+FD25-FM24)))</f>
        <v>96.59999999999998</v>
      </c>
      <c r="FF25" s="17">
        <f>FE25*VLOOKUP('Données projet'!$B$16,Paramètres!$A$1:$I$89,3,0)*VLOOKUP('Données projet'!$B$16,Paramètres!$A$1:$I$89,5,0)</f>
        <v>63.292319999999982</v>
      </c>
      <c r="FG25" s="13">
        <f t="shared" si="47"/>
        <v>17.998065245956816</v>
      </c>
      <c r="FH25" s="20">
        <f t="shared" si="22"/>
        <v>141.58075430337473</v>
      </c>
      <c r="FI25" s="59">
        <f t="shared" si="23"/>
        <v>398.93896036505362</v>
      </c>
      <c r="FJ25" s="59">
        <f ca="1">AVERAGE(OFFSET($FI$3,0,0,'Données projet'!$E$16+1,1))-AVERAGE(OFFSET($H$3,0,0,'Données projet'!$E$16+1,1))</f>
        <v>307.50573770128085</v>
      </c>
      <c r="FK25" s="59">
        <f t="shared" si="48"/>
        <v>300.2007312562655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62.855268319851824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14.8</v>
      </c>
      <c r="FZ25" s="12">
        <f>IF('Données projet'!$A$244&gt;35,FZ24+FY25-GH24,IF(A25&lt;'Données projet'!$A$244,$FW$205^A25,IF(A25='Données projet'!$A$244,'Données projet'!$B$244,FZ24+FY25-GH24)))</f>
        <v>96.59999999999998</v>
      </c>
      <c r="GA25" s="17">
        <f>FZ25*VLOOKUP('Données projet'!$B$17,Paramètres!$A$1:$I$89,3,0)*VLOOKUP('Données projet'!$B$17,Paramètres!$A$1:$I$89,5,0)</f>
        <v>78.361919999999984</v>
      </c>
      <c r="GB25" s="13">
        <f t="shared" si="49"/>
        <v>21.736184076066191</v>
      </c>
      <c r="GC25" s="20">
        <f t="shared" si="25"/>
        <v>174.33753126581527</v>
      </c>
      <c r="GD25" s="59">
        <f t="shared" si="26"/>
        <v>431.69573732749416</v>
      </c>
      <c r="GE25" s="59">
        <f ca="1">AVERAGE(OFFSET($GD$3,0,0,'Données projet'!$E$17+1,1))-AVERAGE(OFFSET($H$3,0,0,'Données projet'!$E$17+1,1))</f>
        <v>369.60865427618342</v>
      </c>
      <c r="GF25" s="59">
        <f t="shared" si="50"/>
        <v>359.40898775279197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62.855268319851824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12.6</v>
      </c>
      <c r="GU25" s="12">
        <f>IF('Données projet'!$A$270&gt;35,GU24+GT25-HC24,IF(A25&lt;'Données projet'!$A$270,$GR$205^A25,IF(A25='Données projet'!$A$270,'Données projet'!$B$270,GU24+GT25-HC24)))</f>
        <v>77.199999999999989</v>
      </c>
      <c r="GV25" s="17">
        <f>GU25*VLOOKUP('Données projet'!$B$18,Paramètres!$A$1:$I$89,3,0)*VLOOKUP('Données projet'!$B$18,Paramètres!$A$1:$I$89,5,0)</f>
        <v>50.581439999999986</v>
      </c>
      <c r="GW25" s="13">
        <f t="shared" si="51"/>
        <v>14.763817888767656</v>
      </c>
      <c r="GX25" s="20">
        <f t="shared" si="28"/>
        <v>113.80965748960364</v>
      </c>
      <c r="GY25" s="59">
        <f t="shared" si="29"/>
        <v>371.16786355128255</v>
      </c>
      <c r="GZ25" s="59">
        <f ca="1">AVERAGE(OFFSET($GY$3,0,0,'Données projet'!$E$18+1,1))-AVERAGE(OFFSET($H$3,0,0,'Données projet'!$E$18+1,1))</f>
        <v>262.62914256200031</v>
      </c>
      <c r="HA25" s="59">
        <f t="shared" si="52"/>
        <v>256.45129229594409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projet'!$B$18,Paramètres!$A$1:$I$89,3,0)*0.475*44/12</f>
        <v>0</v>
      </c>
      <c r="HH25" s="21">
        <f>EXP(-LN(2)/25)*HH24+(1-EXP(-LN(2)/25))/(LN(2)/25)*Calculateur!HC25*Calculateur!HE25*VLOOKUP('Données projet'!$B$18,Paramètres!$A$1:$I$89,3,0)*0.475*44/12</f>
        <v>0</v>
      </c>
      <c r="HI25" s="21">
        <f>EXP(-LN(2)/2)*HI24+(1-EXP(-LN(2)/2))/(LN(2)/2)*HC25*HF25*VLOOKUP('Données projet'!$B$18,Paramètres!$A$1:$I$89,3,0)*0.475*44/12</f>
        <v>0</v>
      </c>
      <c r="HJ25" s="22">
        <f t="shared" si="30"/>
        <v>0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2.1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7.7</v>
      </c>
      <c r="H26" s="67">
        <f t="shared" si="1"/>
        <v>225.86666666666665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62.97921344127532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3.04</v>
      </c>
      <c r="N26" s="13">
        <f>IF('Données projet'!$A$36&gt;35,N25+M26-V25,IF(A26&lt;'Données projet'!$A$36,$K$205^A26,IF(A26='Données projet'!$A$36,'Données projet'!$B$36,N25+M26-V25)))</f>
        <v>53.746291703417761</v>
      </c>
      <c r="O26" s="13">
        <f>N26*VLOOKUP('Données projet'!$B$9,Paramètres!$A$1:$I$89,3,0)*VLOOKUP('Données projet'!$B$9,Paramètres!$A$1:$I$89,5,0)</f>
        <v>46.114318281532448</v>
      </c>
      <c r="P26" s="13">
        <f t="shared" si="33"/>
        <v>13.605589744398129</v>
      </c>
      <c r="Q26" s="20">
        <f t="shared" si="2"/>
        <v>104.01217314516242</v>
      </c>
      <c r="R26" s="59">
        <f t="shared" si="0"/>
        <v>363.04706687428302</v>
      </c>
      <c r="S26" s="59">
        <f ca="1">AVERAGE(OFFSET($R$3,0,0,'Données projet'!$E$9+1,1))-AVERAGE(OFFSET($H$3,0,0,'Données projet'!$E$9+1,1))</f>
        <v>476.79071915271794</v>
      </c>
      <c r="T26" s="59">
        <f t="shared" si="34"/>
        <v>264.79929759351762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62.97921344127532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5.6</v>
      </c>
      <c r="AI26" s="13">
        <f>IF('Données projet'!$A$62&gt;35,AI25+AH26-AQ25,IF(A26&lt;'Données projet'!$A$62,$AF$205^A26,IF(A26='Données projet'!$A$62,'Données projet'!$B$62,AI25+AH26-AQ25)))</f>
        <v>58.800000000000004</v>
      </c>
      <c r="AJ26" s="13">
        <f>AI26*VLOOKUP('Données projet'!$B$10,Paramètres!$A$1:$I$89,3,0)*VLOOKUP('Données projet'!$B$10,Paramètres!$A$1:$I$89,5,0)</f>
        <v>49.533120000000011</v>
      </c>
      <c r="AK26" s="13">
        <f t="shared" si="35"/>
        <v>14.493120113047395</v>
      </c>
      <c r="AL26" s="20">
        <f t="shared" si="4"/>
        <v>111.5123681968909</v>
      </c>
      <c r="AM26" s="59">
        <f t="shared" si="5"/>
        <v>370.54726192601152</v>
      </c>
      <c r="AN26" s="59">
        <f ca="1">AVERAGE(OFFSET($AM$3,0,0,'Données projet'!$E$10+1,1))-AVERAGE(OFFSET($H$3,0,0,'Données projet'!$E$10+1,1))</f>
        <v>365.104658862176</v>
      </c>
      <c r="AO26" s="59">
        <f t="shared" si="36"/>
        <v>226.29232910286325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62.97921344127532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5.6</v>
      </c>
      <c r="BD26" s="12">
        <f>IF('Données projet'!$A$88&gt;35,BD25+BC26-BL25,IF(A26&lt;'Données projet'!$A$88,$BA$205^A26,IF(A26='Données projet'!$A$88,'Données projet'!$B$88,BD25+BC26-BL25)))</f>
        <v>58.800000000000004</v>
      </c>
      <c r="BE26" s="13">
        <f>BD26*VLOOKUP('Données projet'!$B$11,Paramètres!$A$1:$I$89,3,0)*VLOOKUP('Données projet'!$B$11,Paramètres!$A$1:$I$89,5,0)</f>
        <v>53.202240000000003</v>
      </c>
      <c r="BF26" s="13">
        <f t="shared" si="37"/>
        <v>15.437740642425908</v>
      </c>
      <c r="BG26" s="20">
        <f t="shared" si="7"/>
        <v>119.54796628555846</v>
      </c>
      <c r="BH26" s="59">
        <f t="shared" si="8"/>
        <v>378.58286001467906</v>
      </c>
      <c r="BI26" s="59">
        <f ca="1">AVERAGE(OFFSET($BH$3,0,0,'Données projet'!$E$11+1,1))-AVERAGE(OFFSET($H$3,0,0,'Données projet'!$E$11+1,1))</f>
        <v>388.12494342575195</v>
      </c>
      <c r="BJ26" s="59">
        <f t="shared" si="38"/>
        <v>239.39471445648454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62.97921344127532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5.6</v>
      </c>
      <c r="BY26" s="12">
        <f>IF('Données projet'!$A$114&gt;35,BY25+BX26-CG25,IF(A26&lt;'Données projet'!$A$114,$BV$205^A26,IF(A26='Données projet'!$A$114,'Données projet'!$B$114,BY25+BX26-CG25)))</f>
        <v>58.800000000000004</v>
      </c>
      <c r="BZ26" s="13">
        <f>BY26*VLOOKUP('Données projet'!$B$12,Paramètres!$A$1:$I$89,3,0)*VLOOKUP('Données projet'!$B$12,Paramètres!$A$1:$I$89,5,0)</f>
        <v>59.623200000000011</v>
      </c>
      <c r="CA26" s="13">
        <f t="shared" si="39"/>
        <v>17.072967249098898</v>
      </c>
      <c r="CB26" s="20">
        <f t="shared" si="10"/>
        <v>133.57915795884725</v>
      </c>
      <c r="CC26" s="59">
        <f t="shared" si="11"/>
        <v>392.61405168796784</v>
      </c>
      <c r="CD26" s="59">
        <f ca="1">AVERAGE(OFFSET($CC$3,0,0,'Données projet'!$E$12+1,1))-AVERAGE(OFFSET($H$3,0,0,'Données projet'!$E$12+1,1))</f>
        <v>428.33148932885132</v>
      </c>
      <c r="CE26" s="59">
        <f t="shared" si="40"/>
        <v>262.27548054534373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62.97921344127532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1.2</v>
      </c>
      <c r="CT26" s="12">
        <f>IF('Données projet'!$A$140&gt;35,CT25+CS26-DB25,IF(A26&lt;'Données projet'!$A$140,$CQ$205^A26,IF(A26='Données projet'!$A$140,'Données projet'!$B$140,CT25+CS26-DB25)))</f>
        <v>22.853438584779923</v>
      </c>
      <c r="CU26" s="17">
        <f>CT26*VLOOKUP('Données projet'!$B$13,Paramètres!$A$1:$I$89,3,0)*VLOOKUP('Données projet'!$B$13,Paramètres!$A$1:$I$89,5,0)</f>
        <v>21.747332157276574</v>
      </c>
      <c r="CV26" s="13">
        <f t="shared" si="41"/>
        <v>7.002997891813278</v>
      </c>
      <c r="CW26" s="20">
        <f t="shared" si="13"/>
        <v>50.073491502164835</v>
      </c>
      <c r="CX26" s="59">
        <f t="shared" si="14"/>
        <v>309.10838523128541</v>
      </c>
      <c r="CY26" s="59">
        <f ca="1">AVERAGE(OFFSET($CX$3,0,0,'Données projet'!$E$13+1,1))-AVERAGE(OFFSET($H$3,0,0,'Données projet'!$E$13+1,1))</f>
        <v>307.62549820830162</v>
      </c>
      <c r="CZ26" s="59">
        <f t="shared" si="42"/>
        <v>160.26466014910304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62.97921344127532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12.6</v>
      </c>
      <c r="DO26" s="12">
        <f>IF('Données projet'!$A$166&gt;35,DO25+DN26-DW25,IF(A26&lt;'Données projet'!$A$166,$DL$205^A26,IF(A26='Données projet'!$A$166,'Données projet'!$B$166,DO25+DN26-DW25)))</f>
        <v>89.799999999999983</v>
      </c>
      <c r="DP26" s="17">
        <f>DO26*VLOOKUP('Données projet'!$B$14,Paramètres!$A$1:$I$89,3,0)*VLOOKUP('Données projet'!$B$14,Paramètres!$A$1:$I$89,5,0)</f>
        <v>71.444879999999998</v>
      </c>
      <c r="DQ26" s="13">
        <f t="shared" si="43"/>
        <v>20.03184442542841</v>
      </c>
      <c r="DR26" s="20">
        <f t="shared" si="16"/>
        <v>159.32196170762117</v>
      </c>
      <c r="DS26" s="59">
        <f t="shared" si="17"/>
        <v>418.35685543674174</v>
      </c>
      <c r="DT26" s="59">
        <f ca="1">AVERAGE(OFFSET($DS$3,0,0,'Données projet'!$E$14+1,1))-AVERAGE(OFFSET($H$3,0,0,'Données projet'!$E$14+1,1))</f>
        <v>309.14579005132464</v>
      </c>
      <c r="DU26" s="59">
        <f t="shared" si="44"/>
        <v>300.60311050289533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62.97921344127532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14.8</v>
      </c>
      <c r="EJ26" s="12">
        <f>IF('Données projet'!$A$192&gt;35,EJ25+EI26-ER25,IF(A26&lt;'Données projet'!$A$192,$EG$205^A26,IF(A26='Données projet'!$A$192,'Données projet'!$B$192,EJ25+EI26-ER25)))</f>
        <v>111.39999999999998</v>
      </c>
      <c r="EK26" s="17">
        <f>EJ26*VLOOKUP('Données projet'!$B$15,Paramètres!$A$1:$I$89,3,0)*VLOOKUP('Données projet'!$B$15,Paramètres!$A$1:$I$89,5,0)</f>
        <v>81.678479999999993</v>
      </c>
      <c r="EL26" s="13">
        <f t="shared" si="45"/>
        <v>22.547083950915322</v>
      </c>
      <c r="EM26" s="20">
        <f t="shared" si="19"/>
        <v>181.52619054784418</v>
      </c>
      <c r="EN26" s="59">
        <f t="shared" si="20"/>
        <v>440.56108427696478</v>
      </c>
      <c r="EO26" s="59">
        <f ca="1">AVERAGE(OFFSET($EN$3,0,0,'Données projet'!$E$15+1,1))-AVERAGE(OFFSET($H$3,0,0,'Données projet'!$E$15+1,1))</f>
        <v>338.59243085476896</v>
      </c>
      <c r="EP26" s="59">
        <f t="shared" si="46"/>
        <v>329.8393445823275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62.97921344127532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14.8</v>
      </c>
      <c r="FE26" s="12">
        <f>IF('Données projet'!$A$218&gt;35,FE25+FD26-FM25,IF(A26&lt;'Données projet'!$A$218,$FB$205^A26,IF(A26='Données projet'!$A$218,'Données projet'!$B$218,FE25+FD26-FM25)))</f>
        <v>111.39999999999998</v>
      </c>
      <c r="FF26" s="17">
        <f>FE26*VLOOKUP('Données projet'!$B$16,Paramètres!$A$1:$I$89,3,0)*VLOOKUP('Données projet'!$B$16,Paramètres!$A$1:$I$89,5,0)</f>
        <v>72.98927999999998</v>
      </c>
      <c r="FG26" s="13">
        <f t="shared" si="47"/>
        <v>20.413984824940087</v>
      </c>
      <c r="FH26" s="20">
        <f t="shared" si="22"/>
        <v>162.67735290343725</v>
      </c>
      <c r="FI26" s="59">
        <f t="shared" si="23"/>
        <v>421.71224663255782</v>
      </c>
      <c r="FJ26" s="59">
        <f ca="1">AVERAGE(OFFSET($FI$3,0,0,'Données projet'!$E$16+1,1))-AVERAGE(OFFSET($H$3,0,0,'Données projet'!$E$16+1,1))</f>
        <v>307.50573770128085</v>
      </c>
      <c r="FK26" s="59">
        <f t="shared" si="48"/>
        <v>300.2007312562655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62.97921344127532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14.8</v>
      </c>
      <c r="FZ26" s="12">
        <f>IF('Données projet'!$A$244&gt;35,FZ25+FY26-GH25,IF(A26&lt;'Données projet'!$A$244,$FW$205^A26,IF(A26='Données projet'!$A$244,'Données projet'!$B$244,FZ25+FY26-GH25)))</f>
        <v>111.39999999999998</v>
      </c>
      <c r="GA26" s="17">
        <f>FZ26*VLOOKUP('Données projet'!$B$17,Paramètres!$A$1:$I$89,3,0)*VLOOKUP('Données projet'!$B$17,Paramètres!$A$1:$I$89,5,0)</f>
        <v>90.367679999999993</v>
      </c>
      <c r="GB26" s="13">
        <f t="shared" si="49"/>
        <v>24.653879504109455</v>
      </c>
      <c r="GC26" s="20">
        <f t="shared" si="25"/>
        <v>200.32921613632394</v>
      </c>
      <c r="GD26" s="59">
        <f t="shared" si="26"/>
        <v>459.36410986544456</v>
      </c>
      <c r="GE26" s="59">
        <f ca="1">AVERAGE(OFFSET($GD$3,0,0,'Données projet'!$E$17+1,1))-AVERAGE(OFFSET($H$3,0,0,'Données projet'!$E$17+1,1))</f>
        <v>369.60865427618342</v>
      </c>
      <c r="GF26" s="59">
        <f t="shared" si="50"/>
        <v>359.40898775279197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62.97921344127532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12.6</v>
      </c>
      <c r="GU26" s="12">
        <f>IF('Données projet'!$A$270&gt;35,GU25+GT26-HC25,IF(A26&lt;'Données projet'!$A$270,$GR$205^A26,IF(A26='Données projet'!$A$270,'Données projet'!$B$270,GU25+GT26-HC25)))</f>
        <v>89.799999999999983</v>
      </c>
      <c r="GV26" s="17">
        <f>GU26*VLOOKUP('Données projet'!$B$18,Paramètres!$A$1:$I$89,3,0)*VLOOKUP('Données projet'!$B$18,Paramètres!$A$1:$I$89,5,0)</f>
        <v>58.836959999999991</v>
      </c>
      <c r="GW26" s="13">
        <f t="shared" si="51"/>
        <v>16.873881856791602</v>
      </c>
      <c r="GX26" s="20">
        <f t="shared" si="28"/>
        <v>131.86304956724535</v>
      </c>
      <c r="GY26" s="59">
        <f t="shared" si="29"/>
        <v>390.89794329636595</v>
      </c>
      <c r="GZ26" s="59">
        <f ca="1">AVERAGE(OFFSET($GY$3,0,0,'Données projet'!$E$18+1,1))-AVERAGE(OFFSET($H$3,0,0,'Données projet'!$E$18+1,1))</f>
        <v>262.62914256200031</v>
      </c>
      <c r="HA26" s="59">
        <f t="shared" si="52"/>
        <v>256.45129229594409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>
        <f>EXP(-LN(2)/35)*HG25+(1-EXP(-LN(2)/35))/(LN(2)/35)*HC26*HD26*VLOOKUP('Données projet'!$B$18,Paramètres!$A$1:$I$89,3,0)*0.475*44/12</f>
        <v>0</v>
      </c>
      <c r="HH26" s="21">
        <f>EXP(-LN(2)/25)*HH25+(1-EXP(-LN(2)/25))/(LN(2)/25)*Calculateur!HC26*Calculateur!HE26*VLOOKUP('Données projet'!$B$18,Paramètres!$A$1:$I$89,3,0)*0.475*44/12</f>
        <v>0</v>
      </c>
      <c r="HI26" s="21">
        <f>EXP(-LN(2)/2)*HI25+(1-EXP(-LN(2)/2))/(LN(2)/2)*HC26*HF26*VLOOKUP('Données projet'!$B$18,Paramètres!$A$1:$I$89,3,0)*0.475*44/12</f>
        <v>0</v>
      </c>
      <c r="HJ26" s="22">
        <f t="shared" si="30"/>
        <v>0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2.1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7.7</v>
      </c>
      <c r="H27" s="67">
        <f t="shared" si="1"/>
        <v>225.86666666666665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63.101008391941903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3.04</v>
      </c>
      <c r="N27" s="13">
        <f>IF('Données projet'!$A$36&gt;35,N26+M27-V26,IF(A27&lt;'Données projet'!$A$36,$K$205^A27,IF(A27='Données projet'!$A$36,'Données projet'!$B$36,N26+M27-V26)))</f>
        <v>63.911799923486328</v>
      </c>
      <c r="O27" s="13">
        <f>N27*VLOOKUP('Données projet'!$B$9,Paramètres!$A$1:$I$89,3,0)*VLOOKUP('Données projet'!$B$9,Paramètres!$A$1:$I$89,5,0)</f>
        <v>54.836324334351275</v>
      </c>
      <c r="P27" s="13">
        <f t="shared" si="33"/>
        <v>15.855971150180702</v>
      </c>
      <c r="Q27" s="20">
        <f t="shared" si="2"/>
        <v>123.12241463555988</v>
      </c>
      <c r="R27" s="59">
        <f t="shared" si="0"/>
        <v>383.82611207268019</v>
      </c>
      <c r="S27" s="59">
        <f ca="1">AVERAGE(OFFSET($R$3,0,0,'Données projet'!$E$9+1,1))-AVERAGE(OFFSET($H$3,0,0,'Données projet'!$E$9+1,1))</f>
        <v>476.79071915271794</v>
      </c>
      <c r="T27" s="59">
        <f t="shared" si="34"/>
        <v>264.79929759351762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63.101008391941903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5.6</v>
      </c>
      <c r="AI27" s="13">
        <f>IF('Données projet'!$A$62&gt;35,AI26+AH27-AQ26,IF(A27&lt;'Données projet'!$A$62,$AF$205^A27,IF(A27='Données projet'!$A$62,'Données projet'!$B$62,AI26+AH27-AQ26)))</f>
        <v>64.400000000000006</v>
      </c>
      <c r="AJ27" s="13">
        <f>AI27*VLOOKUP('Données projet'!$B$10,Paramètres!$A$1:$I$89,3,0)*VLOOKUP('Données projet'!$B$10,Paramètres!$A$1:$I$89,5,0)</f>
        <v>54.250560000000007</v>
      </c>
      <c r="AK27" s="13">
        <f t="shared" si="35"/>
        <v>15.706218631166928</v>
      </c>
      <c r="AL27" s="20">
        <f t="shared" si="4"/>
        <v>121.84138944928242</v>
      </c>
      <c r="AM27" s="59">
        <f t="shared" si="5"/>
        <v>382.54508688640271</v>
      </c>
      <c r="AN27" s="59">
        <f ca="1">AVERAGE(OFFSET($AM$3,0,0,'Données projet'!$E$10+1,1))-AVERAGE(OFFSET($H$3,0,0,'Données projet'!$E$10+1,1))</f>
        <v>365.104658862176</v>
      </c>
      <c r="AO27" s="59">
        <f t="shared" si="36"/>
        <v>226.29232910286325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63.101008391941903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5.6</v>
      </c>
      <c r="BD27" s="12">
        <f>IF('Données projet'!$A$88&gt;35,BD26+BC27-BL26,IF(A27&lt;'Données projet'!$A$88,$BA$205^A27,IF(A27='Données projet'!$A$88,'Données projet'!$B$88,BD26+BC27-BL26)))</f>
        <v>64.400000000000006</v>
      </c>
      <c r="BE27" s="13">
        <f>BD27*VLOOKUP('Données projet'!$B$11,Paramètres!$A$1:$I$89,3,0)*VLOOKUP('Données projet'!$B$11,Paramètres!$A$1:$I$89,5,0)</f>
        <v>58.269120000000008</v>
      </c>
      <c r="BF27" s="13">
        <f t="shared" si="37"/>
        <v>16.729905486873804</v>
      </c>
      <c r="BG27" s="20">
        <f t="shared" si="7"/>
        <v>130.62330272297189</v>
      </c>
      <c r="BH27" s="59">
        <f t="shared" si="8"/>
        <v>391.32700016009221</v>
      </c>
      <c r="BI27" s="59">
        <f ca="1">AVERAGE(OFFSET($BH$3,0,0,'Données projet'!$E$11+1,1))-AVERAGE(OFFSET($H$3,0,0,'Données projet'!$E$11+1,1))</f>
        <v>388.12494342575195</v>
      </c>
      <c r="BJ27" s="59">
        <f t="shared" si="38"/>
        <v>239.39471445648454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63.101008391941903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5.6</v>
      </c>
      <c r="BY27" s="12">
        <f>IF('Données projet'!$A$114&gt;35,BY26+BX27-CG26,IF(A27&lt;'Données projet'!$A$114,$BV$205^A27,IF(A27='Données projet'!$A$114,'Données projet'!$B$114,BY26+BX27-CG26)))</f>
        <v>64.400000000000006</v>
      </c>
      <c r="BZ27" s="13">
        <f>BY27*VLOOKUP('Données projet'!$B$12,Paramètres!$A$1:$I$89,3,0)*VLOOKUP('Données projet'!$B$12,Paramètres!$A$1:$I$89,5,0)</f>
        <v>65.301600000000008</v>
      </c>
      <c r="CA27" s="13">
        <f t="shared" si="39"/>
        <v>18.502003309535596</v>
      </c>
      <c r="CB27" s="20">
        <f t="shared" si="10"/>
        <v>145.95794243077449</v>
      </c>
      <c r="CC27" s="59">
        <f t="shared" si="11"/>
        <v>406.66163986789479</v>
      </c>
      <c r="CD27" s="59">
        <f ca="1">AVERAGE(OFFSET($CC$3,0,0,'Données projet'!$E$12+1,1))-AVERAGE(OFFSET($H$3,0,0,'Données projet'!$E$12+1,1))</f>
        <v>428.33148932885132</v>
      </c>
      <c r="CE27" s="59">
        <f t="shared" si="40"/>
        <v>262.27548054534373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63.101008391941903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1.2</v>
      </c>
      <c r="CT27" s="12">
        <f>IF('Données projet'!$A$140&gt;35,CT26+CS27-DB26,IF(A27&lt;'Données projet'!$A$140,$CQ$205^A27,IF(A27='Données projet'!$A$140,'Données projet'!$B$140,CT26+CS27-DB26)))</f>
        <v>26.184024853780567</v>
      </c>
      <c r="CU27" s="17">
        <f>CT27*VLOOKUP('Données projet'!$B$13,Paramètres!$A$1:$I$89,3,0)*VLOOKUP('Données projet'!$B$13,Paramètres!$A$1:$I$89,5,0)</f>
        <v>24.91671805085759</v>
      </c>
      <c r="CV27" s="13">
        <f t="shared" si="41"/>
        <v>7.8975315442273644</v>
      </c>
      <c r="CW27" s="20">
        <f t="shared" si="13"/>
        <v>57.151484711439622</v>
      </c>
      <c r="CX27" s="59">
        <f t="shared" si="14"/>
        <v>317.85518214855995</v>
      </c>
      <c r="CY27" s="59">
        <f ca="1">AVERAGE(OFFSET($CX$3,0,0,'Données projet'!$E$13+1,1))-AVERAGE(OFFSET($H$3,0,0,'Données projet'!$E$13+1,1))</f>
        <v>307.62549820830162</v>
      </c>
      <c r="CZ27" s="59">
        <f t="shared" si="42"/>
        <v>160.26466014910304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63.101008391941903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12.6</v>
      </c>
      <c r="DO27" s="12">
        <f>IF('Données projet'!$A$166&gt;35,DO26+DN27-DW26,IF(A27&lt;'Données projet'!$A$166,$DL$205^A27,IF(A27='Données projet'!$A$166,'Données projet'!$B$166,DO26+DN27-DW26)))</f>
        <v>102.39999999999998</v>
      </c>
      <c r="DP27" s="17">
        <f>DO27*VLOOKUP('Données projet'!$B$14,Paramètres!$A$1:$I$89,3,0)*VLOOKUP('Données projet'!$B$14,Paramètres!$A$1:$I$89,5,0)</f>
        <v>81.469439999999992</v>
      </c>
      <c r="DQ27" s="13">
        <f t="shared" si="43"/>
        <v>22.496088365195678</v>
      </c>
      <c r="DR27" s="20">
        <f t="shared" si="16"/>
        <v>181.07329523604912</v>
      </c>
      <c r="DS27" s="59">
        <f t="shared" si="17"/>
        <v>441.77699267316939</v>
      </c>
      <c r="DT27" s="59">
        <f ca="1">AVERAGE(OFFSET($DS$3,0,0,'Données projet'!$E$14+1,1))-AVERAGE(OFFSET($H$3,0,0,'Données projet'!$E$14+1,1))</f>
        <v>309.14579005132464</v>
      </c>
      <c r="DU27" s="59">
        <f t="shared" si="44"/>
        <v>300.60311050289533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63.101008391941903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14.8</v>
      </c>
      <c r="EJ27" s="12">
        <f>IF('Données projet'!$A$192&gt;35,EJ26+EI27-ER26,IF(A27&lt;'Données projet'!$A$192,$EG$205^A27,IF(A27='Données projet'!$A$192,'Données projet'!$B$192,EJ26+EI27-ER26)))</f>
        <v>126.19999999999997</v>
      </c>
      <c r="EK27" s="17">
        <f>EJ27*VLOOKUP('Données projet'!$B$15,Paramètres!$A$1:$I$89,3,0)*VLOOKUP('Données projet'!$B$15,Paramètres!$A$1:$I$89,5,0)</f>
        <v>92.529839999999979</v>
      </c>
      <c r="EL27" s="13">
        <f t="shared" si="45"/>
        <v>25.174373611210889</v>
      </c>
      <c r="EM27" s="20">
        <f t="shared" si="19"/>
        <v>205.0015053728589</v>
      </c>
      <c r="EN27" s="59">
        <f t="shared" si="20"/>
        <v>465.7052028099792</v>
      </c>
      <c r="EO27" s="59">
        <f ca="1">AVERAGE(OFFSET($EN$3,0,0,'Données projet'!$E$15+1,1))-AVERAGE(OFFSET($H$3,0,0,'Données projet'!$E$15+1,1))</f>
        <v>338.59243085476896</v>
      </c>
      <c r="EP27" s="59">
        <f t="shared" si="46"/>
        <v>329.8393445823275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63.101008391941903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14.8</v>
      </c>
      <c r="FE27" s="12">
        <f>IF('Données projet'!$A$218&gt;35,FE26+FD27-FM26,IF(A27&lt;'Données projet'!$A$218,$FB$205^A27,IF(A27='Données projet'!$A$218,'Données projet'!$B$218,FE26+FD27-FM26)))</f>
        <v>126.19999999999997</v>
      </c>
      <c r="FF27" s="17">
        <f>FE27*VLOOKUP('Données projet'!$B$16,Paramètres!$A$1:$I$89,3,0)*VLOOKUP('Données projet'!$B$16,Paramètres!$A$1:$I$89,5,0)</f>
        <v>82.686239999999984</v>
      </c>
      <c r="FG27" s="13">
        <f t="shared" si="47"/>
        <v>22.79271598914541</v>
      </c>
      <c r="FH27" s="20">
        <f t="shared" si="22"/>
        <v>183.70918168109486</v>
      </c>
      <c r="FI27" s="59">
        <f t="shared" si="23"/>
        <v>444.41287911821519</v>
      </c>
      <c r="FJ27" s="59">
        <f ca="1">AVERAGE(OFFSET($FI$3,0,0,'Données projet'!$E$16+1,1))-AVERAGE(OFFSET($H$3,0,0,'Données projet'!$E$16+1,1))</f>
        <v>307.50573770128085</v>
      </c>
      <c r="FK27" s="59">
        <f t="shared" si="48"/>
        <v>300.2007312562655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63.101008391941903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14.8</v>
      </c>
      <c r="FZ27" s="12">
        <f>IF('Données projet'!$A$244&gt;35,FZ26+FY27-GH26,IF(A27&lt;'Données projet'!$A$244,$FW$205^A27,IF(A27='Données projet'!$A$244,'Données projet'!$B$244,FZ26+FY27-GH26)))</f>
        <v>126.19999999999997</v>
      </c>
      <c r="GA27" s="17">
        <f>FZ27*VLOOKUP('Données projet'!$B$17,Paramètres!$A$1:$I$89,3,0)*VLOOKUP('Données projet'!$B$17,Paramètres!$A$1:$I$89,5,0)</f>
        <v>102.37344</v>
      </c>
      <c r="GB27" s="13">
        <f t="shared" si="49"/>
        <v>27.526662647523008</v>
      </c>
      <c r="GC27" s="20">
        <f t="shared" si="25"/>
        <v>226.24267877776924</v>
      </c>
      <c r="GD27" s="59">
        <f t="shared" si="26"/>
        <v>486.94637621488954</v>
      </c>
      <c r="GE27" s="59">
        <f ca="1">AVERAGE(OFFSET($GD$3,0,0,'Données projet'!$E$17+1,1))-AVERAGE(OFFSET($H$3,0,0,'Données projet'!$E$17+1,1))</f>
        <v>369.60865427618342</v>
      </c>
      <c r="GF27" s="59">
        <f t="shared" si="50"/>
        <v>359.40898775279197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63.101008391941903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12.6</v>
      </c>
      <c r="GU27" s="12">
        <f>IF('Données projet'!$A$270&gt;35,GU26+GT27-HC26,IF(A27&lt;'Données projet'!$A$270,$GR$205^A27,IF(A27='Données projet'!$A$270,'Données projet'!$B$270,GU26+GT27-HC26)))</f>
        <v>102.39999999999998</v>
      </c>
      <c r="GV27" s="17">
        <f>GU27*VLOOKUP('Données projet'!$B$18,Paramètres!$A$1:$I$89,3,0)*VLOOKUP('Données projet'!$B$18,Paramètres!$A$1:$I$89,5,0)</f>
        <v>67.092479999999981</v>
      </c>
      <c r="GW27" s="13">
        <f t="shared" si="51"/>
        <v>18.949644838115674</v>
      </c>
      <c r="GX27" s="20">
        <f t="shared" si="28"/>
        <v>149.85670075971808</v>
      </c>
      <c r="GY27" s="59">
        <f t="shared" si="29"/>
        <v>410.56039819683838</v>
      </c>
      <c r="GZ27" s="59">
        <f ca="1">AVERAGE(OFFSET($GY$3,0,0,'Données projet'!$E$18+1,1))-AVERAGE(OFFSET($H$3,0,0,'Données projet'!$E$18+1,1))</f>
        <v>262.62914256200031</v>
      </c>
      <c r="HA27" s="59">
        <f t="shared" si="52"/>
        <v>256.45129229594409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>
        <f>EXP(-LN(2)/35)*HG26+(1-EXP(-LN(2)/35))/(LN(2)/35)*HC27*HD27*VLOOKUP('Données projet'!$B$18,Paramètres!$A$1:$I$89,3,0)*0.475*44/12</f>
        <v>0</v>
      </c>
      <c r="HH27" s="21">
        <f>EXP(-LN(2)/25)*HH26+(1-EXP(-LN(2)/25))/(LN(2)/25)*Calculateur!HC27*Calculateur!HE27*VLOOKUP('Données projet'!$B$18,Paramètres!$A$1:$I$89,3,0)*0.475*44/12</f>
        <v>0</v>
      </c>
      <c r="HI27" s="21">
        <f>EXP(-LN(2)/2)*HI26+(1-EXP(-LN(2)/2))/(LN(2)/2)*HC27*HF27*VLOOKUP('Données projet'!$B$18,Paramètres!$A$1:$I$89,3,0)*0.475*44/12</f>
        <v>0</v>
      </c>
      <c r="HJ27" s="22">
        <f t="shared" si="30"/>
        <v>0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2.1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7.7</v>
      </c>
      <c r="H28" s="67">
        <f t="shared" si="1"/>
        <v>225.86666666666665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63.22069047250713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76</v>
      </c>
      <c r="L28" s="12">
        <f>VLOOKUP(A28,'Données projet'!$A$35:$I$55,9,0)</f>
        <v>3.04</v>
      </c>
      <c r="M28" s="12">
        <f t="array" ref="M28">INDEX(L:L,MIN(IF(ISNUMBER(L28:L224),ROW(L28:L224),"")))</f>
        <v>3.04</v>
      </c>
      <c r="N28" s="13">
        <f>IF('Données projet'!$A$36&gt;35,N27+M28-V27,IF(A28&lt;'Données projet'!$A$36,$K$205^A28,IF(A28='Données projet'!$A$36,'Données projet'!$B$36,N27+M28-V27)))</f>
        <v>76</v>
      </c>
      <c r="O28" s="13">
        <f>N28*VLOOKUP('Données projet'!$B$9,Paramètres!$A$1:$I$89,3,0)*VLOOKUP('Données projet'!$B$9,Paramètres!$A$1:$I$89,5,0)</f>
        <v>65.208000000000013</v>
      </c>
      <c r="P28" s="13">
        <f t="shared" si="33"/>
        <v>18.478568429485204</v>
      </c>
      <c r="Q28" s="20">
        <f t="shared" si="2"/>
        <v>145.75410668135342</v>
      </c>
      <c r="R28" s="59">
        <f t="shared" si="0"/>
        <v>408.11886063610177</v>
      </c>
      <c r="S28" s="59">
        <f ca="1">AVERAGE(OFFSET($R$3,0,0,'Données projet'!$E$9+1,1))-AVERAGE(OFFSET($H$3,0,0,'Données projet'!$E$9+1,1))</f>
        <v>476.79071915271794</v>
      </c>
      <c r="T28" s="59">
        <f t="shared" si="34"/>
        <v>264.79929759351762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7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63.22069047250713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70</v>
      </c>
      <c r="AG28" s="12">
        <f>VLOOKUP(A28,'Données projet'!$A$61:$I$81,9,0)</f>
        <v>5.6</v>
      </c>
      <c r="AH28" s="12">
        <f t="array" ref="AH28">INDEX(AG:AG,MIN(IF(ISNUMBER(AG28:AG224),ROW(AG28:AG224),"")))</f>
        <v>5.6</v>
      </c>
      <c r="AI28" s="13">
        <f>IF('Données projet'!$A$62&gt;35,AI27+AH28-AQ27,IF(A28&lt;'Données projet'!$A$62,$AF$205^A28,IF(A28='Données projet'!$A$62,'Données projet'!$B$62,AI27+AH28-AQ27)))</f>
        <v>70</v>
      </c>
      <c r="AJ28" s="13">
        <f>AI28*VLOOKUP('Données projet'!$B$10,Paramètres!$A$1:$I$89,3,0)*VLOOKUP('Données projet'!$B$10,Paramètres!$A$1:$I$89,5,0)</f>
        <v>58.968000000000011</v>
      </c>
      <c r="AK28" s="13">
        <f t="shared" si="35"/>
        <v>16.907084152971134</v>
      </c>
      <c r="AL28" s="20">
        <f t="shared" si="4"/>
        <v>132.14910489975807</v>
      </c>
      <c r="AM28" s="59">
        <f t="shared" si="5"/>
        <v>394.5138588545064</v>
      </c>
      <c r="AN28" s="59">
        <f ca="1">AVERAGE(OFFSET($AM$3,0,0,'Données projet'!$E$10+1,1))-AVERAGE(OFFSET($H$3,0,0,'Données projet'!$E$10+1,1))</f>
        <v>365.104658862176</v>
      </c>
      <c r="AO28" s="59">
        <f t="shared" si="36"/>
        <v>226.29232910286325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63.22069047250713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70</v>
      </c>
      <c r="BB28" s="12">
        <f>VLOOKUP(A28,'Données projet'!$A$87:$I$107,9,0)</f>
        <v>5.6</v>
      </c>
      <c r="BC28" s="12">
        <f t="array" ref="BC28">INDEX(BB:BB,MIN(IF(ISNUMBER(BB28:BB224),ROW(BB28:BB224),"")))</f>
        <v>5.6</v>
      </c>
      <c r="BD28" s="12">
        <f>IF('Données projet'!$A$88&gt;35,BD27+BC28-BL27,IF(A28&lt;'Données projet'!$A$88,$BA$205^A28,IF(A28='Données projet'!$A$88,'Données projet'!$B$88,BD27+BC28-BL27)))</f>
        <v>70</v>
      </c>
      <c r="BE28" s="13">
        <f>BD28*VLOOKUP('Données projet'!$B$11,Paramètres!$A$1:$I$89,3,0)*VLOOKUP('Données projet'!$B$11,Paramètres!$A$1:$I$89,5,0)</f>
        <v>63.335999999999991</v>
      </c>
      <c r="BF28" s="13">
        <f t="shared" si="37"/>
        <v>18.009040022946227</v>
      </c>
      <c r="BG28" s="20">
        <f t="shared" si="7"/>
        <v>141.67594470663133</v>
      </c>
      <c r="BH28" s="59">
        <f t="shared" si="8"/>
        <v>404.04069866137968</v>
      </c>
      <c r="BI28" s="59">
        <f ca="1">AVERAGE(OFFSET($BH$3,0,0,'Données projet'!$E$11+1,1))-AVERAGE(OFFSET($H$3,0,0,'Données projet'!$E$11+1,1))</f>
        <v>388.12494342575195</v>
      </c>
      <c r="BJ28" s="59">
        <f t="shared" si="38"/>
        <v>239.39471445648454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63.22069047250713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70</v>
      </c>
      <c r="BW28" s="12">
        <f>VLOOKUP(A28,'Données projet'!$A$113:$I$133,9,0)</f>
        <v>5.6</v>
      </c>
      <c r="BX28" s="12">
        <f t="array" ref="BX28">INDEX(BW:BW,MIN(IF(ISNUMBER(BW28:BW224),ROW(BW28:BW224),"")))</f>
        <v>5.6</v>
      </c>
      <c r="BY28" s="12">
        <f>IF('Données projet'!$A$114&gt;35,BY27+BX28-CG27,IF(A28&lt;'Données projet'!$A$114,$BV$205^A28,IF(A28='Données projet'!$A$114,'Données projet'!$B$114,BY27+BX28-CG27)))</f>
        <v>70</v>
      </c>
      <c r="BZ28" s="13">
        <f>BY28*VLOOKUP('Données projet'!$B$12,Paramètres!$A$1:$I$89,3,0)*VLOOKUP('Données projet'!$B$12,Paramètres!$A$1:$I$89,5,0)</f>
        <v>70.98</v>
      </c>
      <c r="CA28" s="13">
        <f t="shared" si="39"/>
        <v>19.916628839746853</v>
      </c>
      <c r="CB28" s="20">
        <f t="shared" si="10"/>
        <v>158.31162856255909</v>
      </c>
      <c r="CC28" s="59">
        <f t="shared" si="11"/>
        <v>420.67638251730739</v>
      </c>
      <c r="CD28" s="59">
        <f ca="1">AVERAGE(OFFSET($CC$3,0,0,'Données projet'!$E$12+1,1))-AVERAGE(OFFSET($H$3,0,0,'Données projet'!$E$12+1,1))</f>
        <v>428.33148932885132</v>
      </c>
      <c r="CE28" s="59">
        <f t="shared" si="40"/>
        <v>262.27548054534373</v>
      </c>
      <c r="CF28" s="15">
        <f>IF(ISNA(VLOOKUP(A28,'Données projet'!$A$113:$I$133,3,0)),0,VLOOKUP(A28,'Données projet'!$A$113:$I$133,3,0))</f>
        <v>2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63.22069047250713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30</v>
      </c>
      <c r="CR28" s="12">
        <f>VLOOKUP(A28,'Données projet'!$A$139:$I$159,9,0)</f>
        <v>1.2</v>
      </c>
      <c r="CS28" s="12">
        <f t="array" ref="CS28">INDEX(CR:CR,MIN(IF(ISNUMBER(CR28:CR224),ROW(CR28:CR224),"")))</f>
        <v>1.2</v>
      </c>
      <c r="CT28" s="12">
        <f>IF('Données projet'!$A$140&gt;35,CT27+CS28-DB27,IF(A28&lt;'Données projet'!$A$140,$CQ$205^A28,IF(A28='Données projet'!$A$140,'Données projet'!$B$140,CT27+CS28-DB27)))</f>
        <v>30</v>
      </c>
      <c r="CU28" s="17">
        <f>CT28*VLOOKUP('Données projet'!$B$13,Paramètres!$A$1:$I$89,3,0)*VLOOKUP('Données projet'!$B$13,Paramètres!$A$1:$I$89,5,0)</f>
        <v>28.548000000000002</v>
      </c>
      <c r="CV28" s="13">
        <f t="shared" si="41"/>
        <v>8.9063291829603273</v>
      </c>
      <c r="CW28" s="20">
        <f t="shared" si="13"/>
        <v>65.232956660322571</v>
      </c>
      <c r="CX28" s="59">
        <f t="shared" si="14"/>
        <v>327.59771061507092</v>
      </c>
      <c r="CY28" s="59">
        <f ca="1">AVERAGE(OFFSET($CX$3,0,0,'Données projet'!$E$13+1,1))-AVERAGE(OFFSET($H$3,0,0,'Données projet'!$E$13+1,1))</f>
        <v>307.62549820830162</v>
      </c>
      <c r="CZ28" s="59">
        <f t="shared" si="42"/>
        <v>160.26466014910304</v>
      </c>
      <c r="DA28" s="15">
        <f>IF(ISNA(VLOOKUP(A28,'Données projet'!$A$139:$I$159,3,0)),0,VLOOKUP(A28,'Données projet'!$A$139:$I$159,3,0))</f>
        <v>1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63.22069047250713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115</v>
      </c>
      <c r="DM28" s="12">
        <f>VLOOKUP(A28,'Données projet'!$A$165:$I$185,9,0)</f>
        <v>12.6</v>
      </c>
      <c r="DN28" s="12">
        <f t="array" ref="DN28">INDEX(DM:DM,MIN(IF(ISNUMBER(DM28:DM224),ROW(DM28:DM224),"")))</f>
        <v>12.6</v>
      </c>
      <c r="DO28" s="12">
        <f>IF('Données projet'!$A$166&gt;35,DO27+DN28-DW27,IF(A28&lt;'Données projet'!$A$166,$DL$205^A28,IF(A28='Données projet'!$A$166,'Données projet'!$B$166,DO27+DN28-DW27)))</f>
        <v>114.99999999999997</v>
      </c>
      <c r="DP28" s="17">
        <f>DO28*VLOOKUP('Données projet'!$B$14,Paramètres!$A$1:$I$89,3,0)*VLOOKUP('Données projet'!$B$14,Paramètres!$A$1:$I$89,5,0)</f>
        <v>91.493999999999986</v>
      </c>
      <c r="DQ28" s="13">
        <f t="shared" si="43"/>
        <v>24.925195840896517</v>
      </c>
      <c r="DR28" s="20">
        <f t="shared" si="16"/>
        <v>202.76343275622807</v>
      </c>
      <c r="DS28" s="59">
        <f t="shared" si="17"/>
        <v>465.12818671097637</v>
      </c>
      <c r="DT28" s="59">
        <f ca="1">AVERAGE(OFFSET($DS$3,0,0,'Données projet'!$E$14+1,1))-AVERAGE(OFFSET($H$3,0,0,'Données projet'!$E$14+1,1))</f>
        <v>309.14579005132464</v>
      </c>
      <c r="DU28" s="59">
        <f t="shared" si="44"/>
        <v>300.60311050289533</v>
      </c>
      <c r="DV28" s="15">
        <f>IF(ISNA(VLOOKUP(A28,'Données projet'!$A$165:$I$185,3,0)),0,VLOOKUP(A28,'Données projet'!$A$165:$I$185,3,0))</f>
        <v>3</v>
      </c>
      <c r="DW28" s="15">
        <f>IF(ISNA(VLOOKUP(A28,'Données projet'!$A$165:$I$185,4,0)),0,VLOOKUP(A28,'Données projet'!$A$165:$I$185,4,0))</f>
        <v>28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63.22069047250713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141</v>
      </c>
      <c r="EH28" s="12">
        <f>VLOOKUP(A28,'Données projet'!$A$191:$I$211,9,0)</f>
        <v>14.8</v>
      </c>
      <c r="EI28" s="12">
        <f t="array" ref="EI28">INDEX(EH:EH,MIN(IF(ISNUMBER(EH28:EH224),ROW(EH28:EH224),"")))</f>
        <v>14.8</v>
      </c>
      <c r="EJ28" s="12">
        <f>IF('Données projet'!$A$192&gt;35,EJ27+EI28-ER27,IF(A28&lt;'Données projet'!$A$192,$EG$205^A28,IF(A28='Données projet'!$A$192,'Données projet'!$B$192,EJ27+EI28-ER27)))</f>
        <v>140.99999999999997</v>
      </c>
      <c r="EK28" s="17">
        <f>EJ28*VLOOKUP('Données projet'!$B$15,Paramètres!$A$1:$I$89,3,0)*VLOOKUP('Données projet'!$B$15,Paramètres!$A$1:$I$89,5,0)</f>
        <v>103.38119999999998</v>
      </c>
      <c r="EL28" s="13">
        <f t="shared" si="45"/>
        <v>27.765956260923325</v>
      </c>
      <c r="EM28" s="20">
        <f t="shared" si="19"/>
        <v>228.41463048777476</v>
      </c>
      <c r="EN28" s="59">
        <f t="shared" si="20"/>
        <v>490.77938444252311</v>
      </c>
      <c r="EO28" s="59">
        <f ca="1">AVERAGE(OFFSET($EN$3,0,0,'Données projet'!$E$15+1,1))-AVERAGE(OFFSET($H$3,0,0,'Données projet'!$E$15+1,1))</f>
        <v>338.59243085476896</v>
      </c>
      <c r="EP28" s="59">
        <f t="shared" si="46"/>
        <v>329.8393445823275</v>
      </c>
      <c r="EQ28" s="15">
        <f>IF(ISNA(VLOOKUP(A28,'Données projet'!$A$191:$I$211,3,0)),0,VLOOKUP(A28,'Données projet'!$A$191:$I$211,3,0))</f>
        <v>4</v>
      </c>
      <c r="ER28" s="15">
        <f>IF(ISNA(VLOOKUP(A28,'Données projet'!$A$191:$I$211,4,0)),0,VLOOKUP(A28,'Données projet'!$A$191:$I$211,4,0))</f>
        <v>35</v>
      </c>
      <c r="ES28" s="16">
        <f>IF(ISNA(VLOOKUP(A28,'Données projet'!$A$191:$I$211,5,0)),0%,VLOOKUP(A28,'Données projet'!$A$191:$I$211,5,0)*VLOOKUP('Données projet'!$B$15,Paramètres!$A$1:$I$89,7,0))</f>
        <v>8.6000000000000007E-2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2.4396979556434131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2.4396979556434131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63.22069047250713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>
        <f>VLOOKUP(A28,'Données projet'!$A$217:$I$237,2,0)</f>
        <v>141</v>
      </c>
      <c r="FC28" s="12">
        <f>VLOOKUP(A28,'Données projet'!$A$217:$I$237,9,0)</f>
        <v>14.8</v>
      </c>
      <c r="FD28" s="12">
        <f t="array" ref="FD28">INDEX(FC:FC,MIN(IF(ISNUMBER(FC28:FC224),ROW(FC28:FC224),"")))</f>
        <v>14.8</v>
      </c>
      <c r="FE28" s="12">
        <f>IF('Données projet'!$A$218&gt;35,FE27+FD28-FM27,IF(A28&lt;'Données projet'!$A$218,$FB$205^A28,IF(A28='Données projet'!$A$218,'Données projet'!$B$218,FE27+FD28-FM27)))</f>
        <v>140.99999999999997</v>
      </c>
      <c r="FF28" s="17">
        <f>FE28*VLOOKUP('Données projet'!$B$16,Paramètres!$A$1:$I$89,3,0)*VLOOKUP('Données projet'!$B$16,Paramètres!$A$1:$I$89,5,0)</f>
        <v>92.383199999999974</v>
      </c>
      <c r="FG28" s="13">
        <f t="shared" si="47"/>
        <v>25.13911825557507</v>
      </c>
      <c r="FH28" s="20">
        <f t="shared" si="22"/>
        <v>204.68470429512652</v>
      </c>
      <c r="FI28" s="59">
        <f t="shared" si="23"/>
        <v>467.04945824987487</v>
      </c>
      <c r="FJ28" s="59">
        <f ca="1">AVERAGE(OFFSET($FI$3,0,0,'Données projet'!$E$16+1,1))-AVERAGE(OFFSET($H$3,0,0,'Données projet'!$E$16+1,1))</f>
        <v>307.50573770128085</v>
      </c>
      <c r="FK28" s="59">
        <f t="shared" si="48"/>
        <v>300.2007312562655</v>
      </c>
      <c r="FL28" s="15">
        <f>IF(ISNA(VLOOKUP(A28,'Données projet'!$A$217:$I$237,3,0)),0,VLOOKUP(A28,'Données projet'!$A$217:$I$237,3,0))</f>
        <v>4</v>
      </c>
      <c r="FM28" s="15">
        <f>IF(ISNA(VLOOKUP(A28,'Données projet'!$A$217:$I$237,4,0)),0,VLOOKUP(A28,'Données projet'!$A$217:$I$237,4,0))</f>
        <v>35</v>
      </c>
      <c r="FN28" s="16">
        <f>IF(ISNA(VLOOKUP(A28,'Données projet'!$A$217:$I$237,5,0)),0%,VLOOKUP(A28,'Données projet'!$A$217:$I$237,5,0)*VLOOKUP('Données projet'!$B$16,Paramètres!$A$1:$I$89,7,0))</f>
        <v>8.6000000000000007E-2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2.180155619936667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2.180155619936667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63.22069047250713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>
        <f>VLOOKUP(A28,'Données projet'!$A$243:$I$263,2,0)</f>
        <v>141</v>
      </c>
      <c r="FX28" s="12">
        <f>VLOOKUP(A28,'Données projet'!$A$243:$I$263,9,0)</f>
        <v>14.8</v>
      </c>
      <c r="FY28" s="12">
        <f t="array" ref="FY28">INDEX(FX:FX,MIN(IF(ISNUMBER(FX28:FX224),ROW(FX28:FX224),"")))</f>
        <v>14.8</v>
      </c>
      <c r="FZ28" s="12">
        <f>IF('Données projet'!$A$244&gt;35,FZ27+FY28-GH27,IF(A28&lt;'Données projet'!$A$244,$FW$205^A28,IF(A28='Données projet'!$A$244,'Données projet'!$B$244,FZ27+FY28-GH27)))</f>
        <v>140.99999999999997</v>
      </c>
      <c r="GA28" s="17">
        <f>FZ28*VLOOKUP('Données projet'!$B$17,Paramètres!$A$1:$I$89,3,0)*VLOOKUP('Données projet'!$B$17,Paramètres!$A$1:$I$89,5,0)</f>
        <v>114.3792</v>
      </c>
      <c r="GB28" s="13">
        <f t="shared" si="49"/>
        <v>30.360402323573549</v>
      </c>
      <c r="GC28" s="20">
        <f t="shared" si="25"/>
        <v>252.08814071355724</v>
      </c>
      <c r="GD28" s="59">
        <f t="shared" si="26"/>
        <v>514.45289466830559</v>
      </c>
      <c r="GE28" s="59">
        <f ca="1">AVERAGE(OFFSET($GD$3,0,0,'Données projet'!$E$17+1,1))-AVERAGE(OFFSET($H$3,0,0,'Données projet'!$E$17+1,1))</f>
        <v>369.60865427618342</v>
      </c>
      <c r="GF28" s="59">
        <f t="shared" si="50"/>
        <v>359.40898775279197</v>
      </c>
      <c r="GG28" s="15">
        <f>IF(ISNA(VLOOKUP(A28,'Données projet'!$A$243:$I$263,3,0)),0,VLOOKUP(A28,'Données projet'!$A$243:$I$263,3,0))</f>
        <v>4</v>
      </c>
      <c r="GH28" s="15">
        <f>IF(ISNA(VLOOKUP(A28,'Données projet'!$A$243:$I$263,4,0)),0,VLOOKUP(A28,'Données projet'!$A$243:$I$263,4,0))</f>
        <v>35</v>
      </c>
      <c r="GI28" s="16">
        <f>IF(ISNA(VLOOKUP(A28,'Données projet'!$A$243:$I$263,5,0)),0%,VLOOKUP(A28,'Données projet'!$A$243:$I$263,5,0)*VLOOKUP('Données projet'!$B$17,Paramètres!$A$1:$I$89,7,0))</f>
        <v>8.6000000000000007E-2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2.6992402913501592</v>
      </c>
      <c r="GM28" s="21">
        <f>EXP(-LN(2)/25)*GM27+(1-EXP(-LN(2)/25))/(LN(2)/25)*Calculateur!GH28*Calculateur!GJ28*VLOOKUP('Données projet'!$B$17,Paramètres!$A$1:$I$89,3,0)*0.475*44/12</f>
        <v>0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2.6992402913501592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63.22069047250713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>
        <f>VLOOKUP(A28,'Données projet'!$A$269:$I$289,2,0)</f>
        <v>115</v>
      </c>
      <c r="GS28" s="12">
        <f>VLOOKUP(A28,'Données projet'!$A$269:$I$289,9,0)</f>
        <v>12.6</v>
      </c>
      <c r="GT28" s="12">
        <f t="array" ref="GT28">INDEX(GS:GS,MIN(IF(ISNUMBER(GS28:GS224),ROW(GS28:GS224),"")))</f>
        <v>12.6</v>
      </c>
      <c r="GU28" s="12">
        <f>IF('Données projet'!$A$270&gt;35,GU27+GT28-HC27,IF(A28&lt;'Données projet'!$A$270,$GR$205^A28,IF(A28='Données projet'!$A$270,'Données projet'!$B$270,GU27+GT28-HC27)))</f>
        <v>114.99999999999997</v>
      </c>
      <c r="GV28" s="17">
        <f>GU28*VLOOKUP('Données projet'!$B$18,Paramètres!$A$1:$I$89,3,0)*VLOOKUP('Données projet'!$B$18,Paramètres!$A$1:$I$89,5,0)</f>
        <v>75.347999999999971</v>
      </c>
      <c r="GW28" s="13">
        <f t="shared" si="51"/>
        <v>20.99581051771704</v>
      </c>
      <c r="GX28" s="20">
        <f t="shared" si="28"/>
        <v>167.79880331835713</v>
      </c>
      <c r="GY28" s="59">
        <f t="shared" si="29"/>
        <v>430.16355727310543</v>
      </c>
      <c r="GZ28" s="59">
        <f ca="1">AVERAGE(OFFSET($GY$3,0,0,'Données projet'!$E$18+1,1))-AVERAGE(OFFSET($H$3,0,0,'Données projet'!$E$18+1,1))</f>
        <v>262.62914256200031</v>
      </c>
      <c r="HA28" s="59">
        <f t="shared" si="52"/>
        <v>256.45129229594409</v>
      </c>
      <c r="HB28" s="15">
        <f>IF(ISNA(VLOOKUP(A28,'Données projet'!$A$269:$I$289,3,0)),0,VLOOKUP(A28,'Données projet'!$A$269:$I$289,3,0))</f>
        <v>3</v>
      </c>
      <c r="HC28" s="15">
        <f>IF(ISNA(VLOOKUP(A28,'Données projet'!$A$269:$I$289,4,0)),0,VLOOKUP(A28,'Données projet'!$A$269:$I$289,4,0))</f>
        <v>28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>
        <f>EXP(-LN(2)/35)*HG27+(1-EXP(-LN(2)/35))/(LN(2)/35)*HC28*HD28*VLOOKUP('Données projet'!$B$18,Paramètres!$A$1:$I$89,3,0)*0.475*44/12</f>
        <v>0</v>
      </c>
      <c r="HH28" s="21">
        <f>EXP(-LN(2)/25)*HH27+(1-EXP(-LN(2)/25))/(LN(2)/25)*Calculateur!HC28*Calculateur!HE28*VLOOKUP('Données projet'!$B$18,Paramètres!$A$1:$I$89,3,0)*0.475*44/12</f>
        <v>0</v>
      </c>
      <c r="HI28" s="21">
        <f>EXP(-LN(2)/2)*HI27+(1-EXP(-LN(2)/2))/(LN(2)/2)*HC28*HF28*VLOOKUP('Données projet'!$B$18,Paramètres!$A$1:$I$89,3,0)*0.475*44/12</f>
        <v>0</v>
      </c>
      <c r="HJ28" s="22">
        <f t="shared" si="30"/>
        <v>0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2.1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7.7</v>
      </c>
      <c r="H29" s="67">
        <f t="shared" si="1"/>
        <v>225.86666666666665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63.338296336543593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9.4</v>
      </c>
      <c r="N29" s="13">
        <f>IF('Données projet'!$A$36&gt;35,N28+M29-V28,IF(A29&lt;'Données projet'!$A$36,$K$205^A29,IF(A29='Données projet'!$A$36,'Données projet'!$B$36,N28+M29-V28)))</f>
        <v>78.400000000000006</v>
      </c>
      <c r="O29" s="13">
        <f>N29*VLOOKUP('Données projet'!$B$9,Paramètres!$A$1:$I$89,3,0)*VLOOKUP('Données projet'!$B$9,Paramètres!$A$1:$I$89,5,0)</f>
        <v>67.267200000000003</v>
      </c>
      <c r="P29" s="13">
        <f t="shared" si="33"/>
        <v>18.993242158132926</v>
      </c>
      <c r="Q29" s="20">
        <f t="shared" si="2"/>
        <v>150.23693675874819</v>
      </c>
      <c r="R29" s="59">
        <f t="shared" si="0"/>
        <v>414.2551344371858</v>
      </c>
      <c r="S29" s="59">
        <f ca="1">AVERAGE(OFFSET($R$3,0,0,'Données projet'!$E$9+1,1))-AVERAGE(OFFSET($H$3,0,0,'Données projet'!$E$9+1,1))</f>
        <v>476.79071915271794</v>
      </c>
      <c r="T29" s="59">
        <f t="shared" si="34"/>
        <v>264.79929759351762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63.338296336543593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5.4</v>
      </c>
      <c r="AI29" s="13">
        <f>IF('Données projet'!$A$62&gt;35,AI28+AH29-AQ28,IF(A29&lt;'Données projet'!$A$62,$AF$205^A29,IF(A29='Données projet'!$A$62,'Données projet'!$B$62,AI28+AH29-AQ28)))</f>
        <v>75.400000000000006</v>
      </c>
      <c r="AJ29" s="13">
        <f>AI29*VLOOKUP('Données projet'!$B$10,Paramètres!$A$1:$I$89,3,0)*VLOOKUP('Données projet'!$B$10,Paramètres!$A$1:$I$89,5,0)</f>
        <v>63.516960000000012</v>
      </c>
      <c r="AK29" s="13">
        <f t="shared" si="35"/>
        <v>18.054497578672372</v>
      </c>
      <c r="AL29" s="20">
        <f t="shared" si="4"/>
        <v>142.0702886161877</v>
      </c>
      <c r="AM29" s="59">
        <f t="shared" si="5"/>
        <v>406.08848629462534</v>
      </c>
      <c r="AN29" s="59">
        <f ca="1">AVERAGE(OFFSET($AM$3,0,0,'Données projet'!$E$10+1,1))-AVERAGE(OFFSET($H$3,0,0,'Données projet'!$E$10+1,1))</f>
        <v>365.104658862176</v>
      </c>
      <c r="AO29" s="59">
        <f t="shared" si="36"/>
        <v>226.29232910286325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63.338296336543593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5.4</v>
      </c>
      <c r="BD29" s="12">
        <f>IF('Données projet'!$A$88&gt;35,BD28+BC29-BL28,IF(A29&lt;'Données projet'!$A$88,$BA$205^A29,IF(A29='Données projet'!$A$88,'Données projet'!$B$88,BD28+BC29-BL28)))</f>
        <v>75.400000000000006</v>
      </c>
      <c r="BE29" s="13">
        <f>BD29*VLOOKUP('Données projet'!$B$11,Paramètres!$A$1:$I$89,3,0)*VLOOKUP('Données projet'!$B$11,Paramètres!$A$1:$I$89,5,0)</f>
        <v>68.221919999999997</v>
      </c>
      <c r="BF29" s="13">
        <f t="shared" si="37"/>
        <v>19.23123860664986</v>
      </c>
      <c r="BG29" s="20">
        <f t="shared" si="7"/>
        <v>152.31425123991514</v>
      </c>
      <c r="BH29" s="59">
        <f t="shared" si="8"/>
        <v>416.33244891835272</v>
      </c>
      <c r="BI29" s="59">
        <f ca="1">AVERAGE(OFFSET($BH$3,0,0,'Données projet'!$E$11+1,1))-AVERAGE(OFFSET($H$3,0,0,'Données projet'!$E$11+1,1))</f>
        <v>388.12494342575195</v>
      </c>
      <c r="BJ29" s="59">
        <f t="shared" si="38"/>
        <v>239.39471445648454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63.338296336543593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5.4</v>
      </c>
      <c r="BY29" s="12">
        <f>IF('Données projet'!$A$114&gt;35,BY28+BX29-CG28,IF(A29&lt;'Données projet'!$A$114,$BV$205^A29,IF(A29='Données projet'!$A$114,'Données projet'!$B$114,BY28+BX29-CG28)))</f>
        <v>75.400000000000006</v>
      </c>
      <c r="BZ29" s="13">
        <f>BY29*VLOOKUP('Données projet'!$B$12,Paramètres!$A$1:$I$89,3,0)*VLOOKUP('Données projet'!$B$12,Paramètres!$A$1:$I$89,5,0)</f>
        <v>76.455600000000004</v>
      </c>
      <c r="CA29" s="13">
        <f t="shared" si="39"/>
        <v>21.268287536105685</v>
      </c>
      <c r="CB29" s="20">
        <f t="shared" si="10"/>
        <v>170.20243745871741</v>
      </c>
      <c r="CC29" s="59">
        <f t="shared" si="11"/>
        <v>434.220635137155</v>
      </c>
      <c r="CD29" s="59">
        <f ca="1">AVERAGE(OFFSET($CC$3,0,0,'Données projet'!$E$12+1,1))-AVERAGE(OFFSET($H$3,0,0,'Données projet'!$E$12+1,1))</f>
        <v>428.33148932885132</v>
      </c>
      <c r="CE29" s="59">
        <f t="shared" si="40"/>
        <v>262.27548054534373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63.338296336543593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4.8</v>
      </c>
      <c r="CT29" s="12">
        <f>IF('Données projet'!$A$140&gt;35,CT28+CS29-DB28,IF(A29&lt;'Données projet'!$A$140,$CQ$205^A29,IF(A29='Données projet'!$A$140,'Données projet'!$B$140,CT28+CS29-DB28)))</f>
        <v>34.799999999999997</v>
      </c>
      <c r="CU29" s="17">
        <f>CT29*VLOOKUP('Données projet'!$B$13,Paramètres!$A$1:$I$89,3,0)*VLOOKUP('Données projet'!$B$13,Paramètres!$A$1:$I$89,5,0)</f>
        <v>33.115679999999998</v>
      </c>
      <c r="CV29" s="13">
        <f t="shared" si="41"/>
        <v>10.154389597618938</v>
      </c>
      <c r="CW29" s="20">
        <f t="shared" si="13"/>
        <v>75.36203788251963</v>
      </c>
      <c r="CX29" s="59">
        <f t="shared" si="14"/>
        <v>339.38023556095726</v>
      </c>
      <c r="CY29" s="59">
        <f ca="1">AVERAGE(OFFSET($CX$3,0,0,'Données projet'!$E$13+1,1))-AVERAGE(OFFSET($H$3,0,0,'Données projet'!$E$13+1,1))</f>
        <v>307.62549820830162</v>
      </c>
      <c r="CZ29" s="59">
        <f t="shared" si="42"/>
        <v>160.26466014910304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63.338296336543593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11.8</v>
      </c>
      <c r="DO29" s="12">
        <f>IF('Données projet'!$A$166&gt;35,DO28+DN29-DW28,IF(A29&lt;'Données projet'!$A$166,$DL$205^A29,IF(A29='Données projet'!$A$166,'Données projet'!$B$166,DO28+DN29-DW28)))</f>
        <v>98.799999999999969</v>
      </c>
      <c r="DP29" s="17">
        <f>DO29*VLOOKUP('Données projet'!$B$14,Paramètres!$A$1:$I$89,3,0)*VLOOKUP('Données projet'!$B$14,Paramètres!$A$1:$I$89,5,0)</f>
        <v>78.605279999999979</v>
      </c>
      <c r="DQ29" s="13">
        <f t="shared" si="43"/>
        <v>21.795819556945734</v>
      </c>
      <c r="DR29" s="20">
        <f t="shared" si="16"/>
        <v>174.86524839501377</v>
      </c>
      <c r="DS29" s="59">
        <f t="shared" si="17"/>
        <v>438.88344607345141</v>
      </c>
      <c r="DT29" s="59">
        <f ca="1">AVERAGE(OFFSET($DS$3,0,0,'Données projet'!$E$14+1,1))-AVERAGE(OFFSET($H$3,0,0,'Données projet'!$E$14+1,1))</f>
        <v>309.14579005132464</v>
      </c>
      <c r="DU29" s="59">
        <f t="shared" si="44"/>
        <v>300.60311050289533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63.338296336543593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14.2</v>
      </c>
      <c r="EJ29" s="12">
        <f>IF('Données projet'!$A$192&gt;35,EJ28+EI29-ER28,IF(A29&lt;'Données projet'!$A$192,$EG$205^A29,IF(A29='Données projet'!$A$192,'Données projet'!$B$192,EJ28+EI29-ER28)))</f>
        <v>120.19999999999996</v>
      </c>
      <c r="EK29" s="17">
        <f>EJ29*VLOOKUP('Données projet'!$B$15,Paramètres!$A$1:$I$89,3,0)*VLOOKUP('Données projet'!$B$15,Paramètres!$A$1:$I$89,5,0)</f>
        <v>88.130639999999971</v>
      </c>
      <c r="EL29" s="13">
        <f t="shared" si="45"/>
        <v>24.113831111728981</v>
      </c>
      <c r="EM29" s="20">
        <f t="shared" si="19"/>
        <v>195.49245385292792</v>
      </c>
      <c r="EN29" s="59">
        <f t="shared" si="20"/>
        <v>459.51065153136551</v>
      </c>
      <c r="EO29" s="59">
        <f ca="1">AVERAGE(OFFSET($EN$3,0,0,'Données projet'!$E$15+1,1))-AVERAGE(OFFSET($H$3,0,0,'Données projet'!$E$15+1,1))</f>
        <v>338.59243085476896</v>
      </c>
      <c r="EP29" s="59">
        <f t="shared" si="46"/>
        <v>329.8393445823275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2.3918569668020639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2.3918569668020639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63.338296336543593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14.2</v>
      </c>
      <c r="FE29" s="12">
        <f>IF('Données projet'!$A$218&gt;35,FE28+FD29-FM28,IF(A29&lt;'Données projet'!$A$218,$FB$205^A29,IF(A29='Données projet'!$A$218,'Données projet'!$B$218,FE28+FD29-FM28)))</f>
        <v>120.19999999999996</v>
      </c>
      <c r="FF29" s="17">
        <f>FE29*VLOOKUP('Données projet'!$B$16,Paramètres!$A$1:$I$89,3,0)*VLOOKUP('Données projet'!$B$16,Paramètres!$A$1:$I$89,5,0)</f>
        <v>78.755039999999966</v>
      </c>
      <c r="FG29" s="13">
        <f t="shared" si="47"/>
        <v>21.832507629707017</v>
      </c>
      <c r="FH29" s="20">
        <f t="shared" si="22"/>
        <v>175.18997878840631</v>
      </c>
      <c r="FI29" s="59">
        <f t="shared" si="23"/>
        <v>439.20817646684395</v>
      </c>
      <c r="FJ29" s="59">
        <f ca="1">AVERAGE(OFFSET($FI$3,0,0,'Données projet'!$E$16+1,1))-AVERAGE(OFFSET($H$3,0,0,'Données projet'!$E$16+1,1))</f>
        <v>307.50573770128085</v>
      </c>
      <c r="FK29" s="59">
        <f t="shared" si="48"/>
        <v>300.2007312562655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2.137404097993334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2.137404097993334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63.338296336543593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14.2</v>
      </c>
      <c r="FZ29" s="12">
        <f>IF('Données projet'!$A$244&gt;35,FZ28+FY29-GH28,IF(A29&lt;'Données projet'!$A$244,$FW$205^A29,IF(A29='Données projet'!$A$244,'Données projet'!$B$244,FZ28+FY29-GH28)))</f>
        <v>120.19999999999996</v>
      </c>
      <c r="GA29" s="17">
        <f>FZ29*VLOOKUP('Données projet'!$B$17,Paramètres!$A$1:$I$89,3,0)*VLOOKUP('Données projet'!$B$17,Paramètres!$A$1:$I$89,5,0)</f>
        <v>97.506239999999977</v>
      </c>
      <c r="GB29" s="13">
        <f t="shared" si="49"/>
        <v>26.367023243681039</v>
      </c>
      <c r="GC29" s="20">
        <f t="shared" si="25"/>
        <v>215.74593348274445</v>
      </c>
      <c r="GD29" s="59">
        <f t="shared" si="26"/>
        <v>479.76413116118204</v>
      </c>
      <c r="GE29" s="59">
        <f ca="1">AVERAGE(OFFSET($GD$3,0,0,'Données projet'!$E$17+1,1))-AVERAGE(OFFSET($H$3,0,0,'Données projet'!$E$17+1,1))</f>
        <v>369.60865427618342</v>
      </c>
      <c r="GF29" s="59">
        <f t="shared" si="50"/>
        <v>359.40898775279197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2.6463098356107944</v>
      </c>
      <c r="GM29" s="21">
        <f>EXP(-LN(2)/25)*GM28+(1-EXP(-LN(2)/25))/(LN(2)/25)*Calculateur!GH29*Calculateur!GJ29*VLOOKUP('Données projet'!$B$17,Paramètres!$A$1:$I$89,3,0)*0.475*44/12</f>
        <v>0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2.6463098356107944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63.338296336543593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11.8</v>
      </c>
      <c r="GU29" s="12">
        <f>IF('Données projet'!$A$270&gt;35,GU28+GT29-HC28,IF(A29&lt;'Données projet'!$A$270,$GR$205^A29,IF(A29='Données projet'!$A$270,'Données projet'!$B$270,GU28+GT29-HC28)))</f>
        <v>98.799999999999969</v>
      </c>
      <c r="GV29" s="17">
        <f>GU29*VLOOKUP('Données projet'!$B$18,Paramètres!$A$1:$I$89,3,0)*VLOOKUP('Données projet'!$B$18,Paramètres!$A$1:$I$89,5,0)</f>
        <v>64.73375999999999</v>
      </c>
      <c r="GW29" s="13">
        <f t="shared" si="51"/>
        <v>18.359771390246543</v>
      </c>
      <c r="GX29" s="20">
        <f t="shared" si="28"/>
        <v>144.72123383801272</v>
      </c>
      <c r="GY29" s="59">
        <f t="shared" si="29"/>
        <v>408.73943151645034</v>
      </c>
      <c r="GZ29" s="59">
        <f ca="1">AVERAGE(OFFSET($GY$3,0,0,'Données projet'!$E$18+1,1))-AVERAGE(OFFSET($H$3,0,0,'Données projet'!$E$18+1,1))</f>
        <v>262.62914256200031</v>
      </c>
      <c r="HA29" s="59">
        <f t="shared" si="52"/>
        <v>256.45129229594409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projet'!$B$18,Paramètres!$A$1:$I$89,3,0)*0.475*44/12</f>
        <v>0</v>
      </c>
      <c r="HH29" s="21">
        <f>EXP(-LN(2)/25)*HH28+(1-EXP(-LN(2)/25))/(LN(2)/25)*Calculateur!HC29*Calculateur!HE29*VLOOKUP('Données projet'!$B$18,Paramètres!$A$1:$I$89,3,0)*0.475*44/12</f>
        <v>0</v>
      </c>
      <c r="HI29" s="21">
        <f>EXP(-LN(2)/2)*HI28+(1-EXP(-LN(2)/2))/(LN(2)/2)*HC29*HF29*VLOOKUP('Données projet'!$B$18,Paramètres!$A$1:$I$89,3,0)*0.475*44/12</f>
        <v>0</v>
      </c>
      <c r="HJ29" s="22">
        <f t="shared" si="30"/>
        <v>0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2.1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7.7</v>
      </c>
      <c r="H30" s="67">
        <f t="shared" si="1"/>
        <v>225.86666666666665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63.45386200176636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9.4</v>
      </c>
      <c r="N30" s="13">
        <f>IF('Données projet'!$A$36&gt;35,N29+M30-V29,IF(A30&lt;'Données projet'!$A$36,$K$205^A30,IF(A30='Données projet'!$A$36,'Données projet'!$B$36,N29+M30-V29)))</f>
        <v>87.800000000000011</v>
      </c>
      <c r="O30" s="13">
        <f>N30*VLOOKUP('Données projet'!$B$9,Paramètres!$A$1:$I$89,3,0)*VLOOKUP('Données projet'!$B$9,Paramètres!$A$1:$I$89,5,0)</f>
        <v>75.332400000000021</v>
      </c>
      <c r="P30" s="13">
        <f t="shared" si="33"/>
        <v>20.991969498724234</v>
      </c>
      <c r="Q30" s="20">
        <f t="shared" si="2"/>
        <v>167.76494354361139</v>
      </c>
      <c r="R30" s="59">
        <f t="shared" si="0"/>
        <v>433.42910421675481</v>
      </c>
      <c r="S30" s="59">
        <f ca="1">AVERAGE(OFFSET($R$3,0,0,'Données projet'!$E$9+1,1))-AVERAGE(OFFSET($H$3,0,0,'Données projet'!$E$9+1,1))</f>
        <v>476.79071915271794</v>
      </c>
      <c r="T30" s="59">
        <f t="shared" si="34"/>
        <v>264.79929759351762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63.45386200176636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5.4</v>
      </c>
      <c r="AI30" s="13">
        <f>IF('Données projet'!$A$62&gt;35,AI29+AH30-AQ29,IF(A30&lt;'Données projet'!$A$62,$AF$205^A30,IF(A30='Données projet'!$A$62,'Données projet'!$B$62,AI29+AH30-AQ29)))</f>
        <v>80.800000000000011</v>
      </c>
      <c r="AJ30" s="13">
        <f>AI30*VLOOKUP('Données projet'!$B$10,Paramètres!$A$1:$I$89,3,0)*VLOOKUP('Données projet'!$B$10,Paramètres!$A$1:$I$89,5,0)</f>
        <v>68.06592000000002</v>
      </c>
      <c r="AK30" s="13">
        <f t="shared" si="35"/>
        <v>19.192376936002429</v>
      </c>
      <c r="AL30" s="20">
        <f t="shared" si="4"/>
        <v>151.9748671635376</v>
      </c>
      <c r="AM30" s="59">
        <f t="shared" si="5"/>
        <v>417.63902783668095</v>
      </c>
      <c r="AN30" s="59">
        <f ca="1">AVERAGE(OFFSET($AM$3,0,0,'Données projet'!$E$10+1,1))-AVERAGE(OFFSET($H$3,0,0,'Données projet'!$E$10+1,1))</f>
        <v>365.104658862176</v>
      </c>
      <c r="AO30" s="59">
        <f t="shared" si="36"/>
        <v>226.29232910286325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63.45386200176636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5.4</v>
      </c>
      <c r="BD30" s="12">
        <f>IF('Données projet'!$A$88&gt;35,BD29+BC30-BL29,IF(A30&lt;'Données projet'!$A$88,$BA$205^A30,IF(A30='Données projet'!$A$88,'Données projet'!$B$88,BD29+BC30-BL29)))</f>
        <v>80.800000000000011</v>
      </c>
      <c r="BE30" s="13">
        <f>BD30*VLOOKUP('Données projet'!$B$11,Paramètres!$A$1:$I$89,3,0)*VLOOKUP('Données projet'!$B$11,Paramètres!$A$1:$I$89,5,0)</f>
        <v>73.10784000000001</v>
      </c>
      <c r="BF30" s="13">
        <f t="shared" si="37"/>
        <v>20.443281718403117</v>
      </c>
      <c r="BG30" s="20">
        <f t="shared" si="7"/>
        <v>162.93487032621877</v>
      </c>
      <c r="BH30" s="59">
        <f t="shared" si="8"/>
        <v>428.59903099936218</v>
      </c>
      <c r="BI30" s="59">
        <f ca="1">AVERAGE(OFFSET($BH$3,0,0,'Données projet'!$E$11+1,1))-AVERAGE(OFFSET($H$3,0,0,'Données projet'!$E$11+1,1))</f>
        <v>388.12494342575195</v>
      </c>
      <c r="BJ30" s="59">
        <f t="shared" si="38"/>
        <v>239.39471445648454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63.45386200176636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5.4</v>
      </c>
      <c r="BY30" s="12">
        <f>IF('Données projet'!$A$114&gt;35,BY29+BX30-CG29,IF(A30&lt;'Données projet'!$A$114,$BV$205^A30,IF(A30='Données projet'!$A$114,'Données projet'!$B$114,BY29+BX30-CG29)))</f>
        <v>80.800000000000011</v>
      </c>
      <c r="BZ30" s="13">
        <f>BY30*VLOOKUP('Données projet'!$B$12,Paramètres!$A$1:$I$89,3,0)*VLOOKUP('Données projet'!$B$12,Paramètres!$A$1:$I$89,5,0)</f>
        <v>81.931200000000018</v>
      </c>
      <c r="CA30" s="13">
        <f t="shared" si="39"/>
        <v>22.608715052719766</v>
      </c>
      <c r="CB30" s="20">
        <f t="shared" si="10"/>
        <v>182.07368538348692</v>
      </c>
      <c r="CC30" s="59">
        <f t="shared" si="11"/>
        <v>447.7378460566303</v>
      </c>
      <c r="CD30" s="59">
        <f ca="1">AVERAGE(OFFSET($CC$3,0,0,'Données projet'!$E$12+1,1))-AVERAGE(OFFSET($H$3,0,0,'Données projet'!$E$12+1,1))</f>
        <v>428.33148932885132</v>
      </c>
      <c r="CE30" s="59">
        <f t="shared" si="40"/>
        <v>262.27548054534373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63.45386200176636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4.8</v>
      </c>
      <c r="CT30" s="12">
        <f>IF('Données projet'!$A$140&gt;35,CT29+CS30-DB29,IF(A30&lt;'Données projet'!$A$140,$CQ$205^A30,IF(A30='Données projet'!$A$140,'Données projet'!$B$140,CT29+CS30-DB29)))</f>
        <v>39.599999999999994</v>
      </c>
      <c r="CU30" s="17">
        <f>CT30*VLOOKUP('Données projet'!$B$13,Paramètres!$A$1:$I$89,3,0)*VLOOKUP('Données projet'!$B$13,Paramètres!$A$1:$I$89,5,0)</f>
        <v>37.683359999999993</v>
      </c>
      <c r="CV30" s="13">
        <f t="shared" si="41"/>
        <v>11.382505490682499</v>
      </c>
      <c r="CW30" s="20">
        <f t="shared" si="13"/>
        <v>85.456382396271991</v>
      </c>
      <c r="CX30" s="59">
        <f t="shared" si="14"/>
        <v>351.12054306941536</v>
      </c>
      <c r="CY30" s="59">
        <f ca="1">AVERAGE(OFFSET($CX$3,0,0,'Données projet'!$E$13+1,1))-AVERAGE(OFFSET($H$3,0,0,'Données projet'!$E$13+1,1))</f>
        <v>307.62549820830162</v>
      </c>
      <c r="CZ30" s="59">
        <f t="shared" si="42"/>
        <v>160.26466014910304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63.45386200176636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11.8</v>
      </c>
      <c r="DO30" s="12">
        <f>IF('Données projet'!$A$166&gt;35,DO29+DN30-DW29,IF(A30&lt;'Données projet'!$A$166,$DL$205^A30,IF(A30='Données projet'!$A$166,'Données projet'!$B$166,DO29+DN30-DW29)))</f>
        <v>110.59999999999997</v>
      </c>
      <c r="DP30" s="17">
        <f>DO30*VLOOKUP('Données projet'!$B$14,Paramètres!$A$1:$I$89,3,0)*VLOOKUP('Données projet'!$B$14,Paramètres!$A$1:$I$89,5,0)</f>
        <v>87.993359999999981</v>
      </c>
      <c r="DQ30" s="13">
        <f t="shared" si="43"/>
        <v>24.080638481970816</v>
      </c>
      <c r="DR30" s="20">
        <f t="shared" si="16"/>
        <v>195.19554735609913</v>
      </c>
      <c r="DS30" s="59">
        <f t="shared" si="17"/>
        <v>460.85970802924248</v>
      </c>
      <c r="DT30" s="59">
        <f ca="1">AVERAGE(OFFSET($DS$3,0,0,'Données projet'!$E$14+1,1))-AVERAGE(OFFSET($H$3,0,0,'Données projet'!$E$14+1,1))</f>
        <v>309.14579005132464</v>
      </c>
      <c r="DU30" s="59">
        <f t="shared" si="44"/>
        <v>300.60311050289533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63.45386200176636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14.2</v>
      </c>
      <c r="EJ30" s="12">
        <f>IF('Données projet'!$A$192&gt;35,EJ29+EI30-ER29,IF(A30&lt;'Données projet'!$A$192,$EG$205^A30,IF(A30='Données projet'!$A$192,'Données projet'!$B$192,EJ29+EI30-ER29)))</f>
        <v>134.39999999999995</v>
      </c>
      <c r="EK30" s="17">
        <f>EJ30*VLOOKUP('Données projet'!$B$15,Paramètres!$A$1:$I$89,3,0)*VLOOKUP('Données projet'!$B$15,Paramètres!$A$1:$I$89,5,0)</f>
        <v>98.542079999999956</v>
      </c>
      <c r="EL30" s="13">
        <f t="shared" si="45"/>
        <v>26.614371888975242</v>
      </c>
      <c r="EM30" s="20">
        <f t="shared" si="19"/>
        <v>217.98082037329846</v>
      </c>
      <c r="EN30" s="59">
        <f t="shared" si="20"/>
        <v>483.64498104644184</v>
      </c>
      <c r="EO30" s="59">
        <f ca="1">AVERAGE(OFFSET($EN$3,0,0,'Données projet'!$E$15+1,1))-AVERAGE(OFFSET($H$3,0,0,'Données projet'!$E$15+1,1))</f>
        <v>338.59243085476896</v>
      </c>
      <c r="EP30" s="59">
        <f t="shared" si="46"/>
        <v>329.8393445823275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2.3449541105717717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2.3449541105717717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63.45386200176636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14.2</v>
      </c>
      <c r="FE30" s="12">
        <f>IF('Données projet'!$A$218&gt;35,FE29+FD30-FM29,IF(A30&lt;'Données projet'!$A$218,$FB$205^A30,IF(A30='Données projet'!$A$218,'Données projet'!$B$218,FE29+FD30-FM29)))</f>
        <v>134.39999999999995</v>
      </c>
      <c r="FF30" s="17">
        <f>FE30*VLOOKUP('Données projet'!$B$16,Paramètres!$A$1:$I$89,3,0)*VLOOKUP('Données projet'!$B$16,Paramètres!$A$1:$I$89,5,0)</f>
        <v>88.058879999999974</v>
      </c>
      <c r="FG30" s="13">
        <f t="shared" si="47"/>
        <v>24.096481170231179</v>
      </c>
      <c r="FH30" s="20">
        <f t="shared" si="22"/>
        <v>195.33725403815257</v>
      </c>
      <c r="FI30" s="59">
        <f t="shared" si="23"/>
        <v>461.00141471129598</v>
      </c>
      <c r="FJ30" s="59">
        <f ca="1">AVERAGE(OFFSET($FI$3,0,0,'Données projet'!$E$16+1,1))-AVERAGE(OFFSET($H$3,0,0,'Données projet'!$E$16+1,1))</f>
        <v>307.50573770128085</v>
      </c>
      <c r="FK30" s="59">
        <f t="shared" si="48"/>
        <v>300.2007312562655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2.0954909073194559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2.0954909073194559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63.45386200176636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14.2</v>
      </c>
      <c r="FZ30" s="12">
        <f>IF('Données projet'!$A$244&gt;35,FZ29+FY30-GH29,IF(A30&lt;'Données projet'!$A$244,$FW$205^A30,IF(A30='Données projet'!$A$244,'Données projet'!$B$244,FZ29+FY30-GH29)))</f>
        <v>134.39999999999995</v>
      </c>
      <c r="GA30" s="17">
        <f>FZ30*VLOOKUP('Données projet'!$B$17,Paramètres!$A$1:$I$89,3,0)*VLOOKUP('Données projet'!$B$17,Paramètres!$A$1:$I$89,5,0)</f>
        <v>109.02527999999997</v>
      </c>
      <c r="GB30" s="13">
        <f t="shared" si="49"/>
        <v>29.101214110737224</v>
      </c>
      <c r="GC30" s="20">
        <f t="shared" si="25"/>
        <v>240.57031057620057</v>
      </c>
      <c r="GD30" s="59">
        <f t="shared" si="26"/>
        <v>506.23447124934398</v>
      </c>
      <c r="GE30" s="59">
        <f ca="1">AVERAGE(OFFSET($GD$3,0,0,'Données projet'!$E$17+1,1))-AVERAGE(OFFSET($H$3,0,0,'Données projet'!$E$17+1,1))</f>
        <v>369.60865427618342</v>
      </c>
      <c r="GF30" s="59">
        <f t="shared" si="50"/>
        <v>359.40898775279197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2.5944173138240885</v>
      </c>
      <c r="GM30" s="21">
        <f>EXP(-LN(2)/25)*GM29+(1-EXP(-LN(2)/25))/(LN(2)/25)*Calculateur!GH30*Calculateur!GJ30*VLOOKUP('Données projet'!$B$17,Paramètres!$A$1:$I$89,3,0)*0.475*44/12</f>
        <v>0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2.5944173138240885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63.45386200176636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11.8</v>
      </c>
      <c r="GU30" s="12">
        <f>IF('Données projet'!$A$270&gt;35,GU29+GT30-HC29,IF(A30&lt;'Données projet'!$A$270,$GR$205^A30,IF(A30='Données projet'!$A$270,'Données projet'!$B$270,GU29+GT30-HC29)))</f>
        <v>110.59999999999997</v>
      </c>
      <c r="GV30" s="17">
        <f>GU30*VLOOKUP('Données projet'!$B$18,Paramètres!$A$1:$I$89,3,0)*VLOOKUP('Données projet'!$B$18,Paramètres!$A$1:$I$89,5,0)</f>
        <v>72.46511999999997</v>
      </c>
      <c r="GW30" s="13">
        <f t="shared" si="51"/>
        <v>20.284395193539197</v>
      </c>
      <c r="GX30" s="20">
        <f t="shared" si="28"/>
        <v>161.53873896208071</v>
      </c>
      <c r="GY30" s="59">
        <f t="shared" si="29"/>
        <v>427.20289963522407</v>
      </c>
      <c r="GZ30" s="59">
        <f ca="1">AVERAGE(OFFSET($GY$3,0,0,'Données projet'!$E$18+1,1))-AVERAGE(OFFSET($H$3,0,0,'Données projet'!$E$18+1,1))</f>
        <v>262.62914256200031</v>
      </c>
      <c r="HA30" s="59">
        <f t="shared" si="52"/>
        <v>256.45129229594409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projet'!$B$18,Paramètres!$A$1:$I$89,3,0)*0.475*44/12</f>
        <v>0</v>
      </c>
      <c r="HH30" s="21">
        <f>EXP(-LN(2)/25)*HH29+(1-EXP(-LN(2)/25))/(LN(2)/25)*Calculateur!HC30*Calculateur!HE30*VLOOKUP('Données projet'!$B$18,Paramètres!$A$1:$I$89,3,0)*0.475*44/12</f>
        <v>0</v>
      </c>
      <c r="HI30" s="21">
        <f>EXP(-LN(2)/2)*HI29+(1-EXP(-LN(2)/2))/(LN(2)/2)*HC30*HF30*VLOOKUP('Données projet'!$B$18,Paramètres!$A$1:$I$89,3,0)*0.475*44/12</f>
        <v>0</v>
      </c>
      <c r="HJ30" s="22">
        <f t="shared" si="30"/>
        <v>0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2.1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7.7</v>
      </c>
      <c r="H31" s="67">
        <f t="shared" si="1"/>
        <v>225.86666666666665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63.567422861063626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9.4</v>
      </c>
      <c r="N31" s="13">
        <f>IF('Données projet'!$A$36&gt;35,N30+M31-V30,IF(A31&lt;'Données projet'!$A$36,$K$205^A31,IF(A31='Données projet'!$A$36,'Données projet'!$B$36,N30+M31-V30)))</f>
        <v>97.200000000000017</v>
      </c>
      <c r="O31" s="13">
        <f>N31*VLOOKUP('Données projet'!$B$9,Paramètres!$A$1:$I$89,3,0)*VLOOKUP('Données projet'!$B$9,Paramètres!$A$1:$I$89,5,0)</f>
        <v>83.397600000000025</v>
      </c>
      <c r="P31" s="13">
        <f t="shared" si="33"/>
        <v>22.965893371329315</v>
      </c>
      <c r="Q31" s="20">
        <f t="shared" si="2"/>
        <v>185.24975095506525</v>
      </c>
      <c r="R31" s="59">
        <f t="shared" si="0"/>
        <v>452.55252366785408</v>
      </c>
      <c r="S31" s="59">
        <f ca="1">AVERAGE(OFFSET($R$3,0,0,'Données projet'!$E$9+1,1))-AVERAGE(OFFSET($H$3,0,0,'Données projet'!$E$9+1,1))</f>
        <v>476.79071915271794</v>
      </c>
      <c r="T31" s="59">
        <f t="shared" si="34"/>
        <v>264.79929759351762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63.567422861063626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5.4</v>
      </c>
      <c r="AI31" s="13">
        <f>IF('Données projet'!$A$62&gt;35,AI30+AH31-AQ30,IF(A31&lt;'Données projet'!$A$62,$AF$205^A31,IF(A31='Données projet'!$A$62,'Données projet'!$B$62,AI30+AH31-AQ30)))</f>
        <v>86.200000000000017</v>
      </c>
      <c r="AJ31" s="13">
        <f>AI31*VLOOKUP('Données projet'!$B$10,Paramètres!$A$1:$I$89,3,0)*VLOOKUP('Données projet'!$B$10,Paramètres!$A$1:$I$89,5,0)</f>
        <v>72.614880000000014</v>
      </c>
      <c r="AK31" s="13">
        <f t="shared" si="35"/>
        <v>20.321431902304099</v>
      </c>
      <c r="AL31" s="20">
        <f t="shared" si="4"/>
        <v>161.86407656317965</v>
      </c>
      <c r="AM31" s="59">
        <f t="shared" si="5"/>
        <v>429.1668492759685</v>
      </c>
      <c r="AN31" s="59">
        <f ca="1">AVERAGE(OFFSET($AM$3,0,0,'Données projet'!$E$10+1,1))-AVERAGE(OFFSET($H$3,0,0,'Données projet'!$E$10+1,1))</f>
        <v>365.104658862176</v>
      </c>
      <c r="AO31" s="59">
        <f t="shared" si="36"/>
        <v>226.29232910286325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63.567422861063626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5.4</v>
      </c>
      <c r="BD31" s="12">
        <f>IF('Données projet'!$A$88&gt;35,BD30+BC31-BL30,IF(A31&lt;'Données projet'!$A$88,$BA$205^A31,IF(A31='Données projet'!$A$88,'Données projet'!$B$88,BD30+BC31-BL30)))</f>
        <v>86.200000000000017</v>
      </c>
      <c r="BE31" s="13">
        <f>BD31*VLOOKUP('Données projet'!$B$11,Paramètres!$A$1:$I$89,3,0)*VLOOKUP('Données projet'!$B$11,Paramètres!$A$1:$I$89,5,0)</f>
        <v>77.993760000000023</v>
      </c>
      <c r="BF31" s="13">
        <f t="shared" si="37"/>
        <v>21.645925290308433</v>
      </c>
      <c r="BG31" s="20">
        <f t="shared" si="7"/>
        <v>173.53911854728722</v>
      </c>
      <c r="BH31" s="59">
        <f t="shared" si="8"/>
        <v>440.84189126007607</v>
      </c>
      <c r="BI31" s="59">
        <f ca="1">AVERAGE(OFFSET($BH$3,0,0,'Données projet'!$E$11+1,1))-AVERAGE(OFFSET($H$3,0,0,'Données projet'!$E$11+1,1))</f>
        <v>388.12494342575195</v>
      </c>
      <c r="BJ31" s="59">
        <f t="shared" si="38"/>
        <v>239.39471445648454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63.567422861063626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5.4</v>
      </c>
      <c r="BY31" s="12">
        <f>IF('Données projet'!$A$114&gt;35,BY30+BX31-CG30,IF(A31&lt;'Données projet'!$A$114,$BV$205^A31,IF(A31='Données projet'!$A$114,'Données projet'!$B$114,BY30+BX31-CG30)))</f>
        <v>86.200000000000017</v>
      </c>
      <c r="BZ31" s="13">
        <f>BY31*VLOOKUP('Données projet'!$B$12,Paramètres!$A$1:$I$89,3,0)*VLOOKUP('Données projet'!$B$12,Paramètres!$A$1:$I$89,5,0)</f>
        <v>87.406800000000032</v>
      </c>
      <c r="CA31" s="13">
        <f t="shared" si="39"/>
        <v>23.938747393012555</v>
      </c>
      <c r="CB31" s="20">
        <f t="shared" si="10"/>
        <v>193.9268283761636</v>
      </c>
      <c r="CC31" s="59">
        <f t="shared" si="11"/>
        <v>461.22960108895245</v>
      </c>
      <c r="CD31" s="59">
        <f ca="1">AVERAGE(OFFSET($CC$3,0,0,'Données projet'!$E$12+1,1))-AVERAGE(OFFSET($H$3,0,0,'Données projet'!$E$12+1,1))</f>
        <v>428.33148932885132</v>
      </c>
      <c r="CE31" s="59">
        <f t="shared" si="40"/>
        <v>262.27548054534373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63.567422861063626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4.8</v>
      </c>
      <c r="CT31" s="12">
        <f>IF('Données projet'!$A$140&gt;35,CT30+CS31-DB30,IF(A31&lt;'Données projet'!$A$140,$CQ$205^A31,IF(A31='Données projet'!$A$140,'Données projet'!$B$140,CT30+CS31-DB30)))</f>
        <v>44.399999999999991</v>
      </c>
      <c r="CU31" s="17">
        <f>CT31*VLOOKUP('Données projet'!$B$13,Paramètres!$A$1:$I$89,3,0)*VLOOKUP('Données projet'!$B$13,Paramètres!$A$1:$I$89,5,0)</f>
        <v>42.251039999999989</v>
      </c>
      <c r="CV31" s="13">
        <f t="shared" si="41"/>
        <v>12.593370905616945</v>
      </c>
      <c r="CW31" s="20">
        <f t="shared" si="13"/>
        <v>95.520682327282813</v>
      </c>
      <c r="CX31" s="59">
        <f t="shared" si="14"/>
        <v>362.82345504007168</v>
      </c>
      <c r="CY31" s="59">
        <f ca="1">AVERAGE(OFFSET($CX$3,0,0,'Données projet'!$E$13+1,1))-AVERAGE(OFFSET($H$3,0,0,'Données projet'!$E$13+1,1))</f>
        <v>307.62549820830162</v>
      </c>
      <c r="CZ31" s="59">
        <f t="shared" si="42"/>
        <v>160.26466014910304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63.567422861063626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11.8</v>
      </c>
      <c r="DO31" s="12">
        <f>IF('Données projet'!$A$166&gt;35,DO30+DN31-DW30,IF(A31&lt;'Données projet'!$A$166,$DL$205^A31,IF(A31='Données projet'!$A$166,'Données projet'!$B$166,DO30+DN31-DW30)))</f>
        <v>122.39999999999996</v>
      </c>
      <c r="DP31" s="17">
        <f>DO31*VLOOKUP('Données projet'!$B$14,Paramètres!$A$1:$I$89,3,0)*VLOOKUP('Données projet'!$B$14,Paramètres!$A$1:$I$89,5,0)</f>
        <v>97.381439999999984</v>
      </c>
      <c r="DQ31" s="13">
        <f t="shared" si="43"/>
        <v>26.337201615555198</v>
      </c>
      <c r="DR31" s="20">
        <f t="shared" si="16"/>
        <v>215.47663414709197</v>
      </c>
      <c r="DS31" s="59">
        <f t="shared" si="17"/>
        <v>482.77940685988085</v>
      </c>
      <c r="DT31" s="59">
        <f ca="1">AVERAGE(OFFSET($DS$3,0,0,'Données projet'!$E$14+1,1))-AVERAGE(OFFSET($H$3,0,0,'Données projet'!$E$14+1,1))</f>
        <v>309.14579005132464</v>
      </c>
      <c r="DU31" s="59">
        <f t="shared" si="44"/>
        <v>300.60311050289533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63.567422861063626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14.2</v>
      </c>
      <c r="EJ31" s="12">
        <f>IF('Données projet'!$A$192&gt;35,EJ30+EI31-ER30,IF(A31&lt;'Données projet'!$A$192,$EG$205^A31,IF(A31='Données projet'!$A$192,'Données projet'!$B$192,EJ30+EI31-ER30)))</f>
        <v>148.59999999999994</v>
      </c>
      <c r="EK31" s="17">
        <f>EJ31*VLOOKUP('Données projet'!$B$15,Paramètres!$A$1:$I$89,3,0)*VLOOKUP('Données projet'!$B$15,Paramètres!$A$1:$I$89,5,0)</f>
        <v>108.95351999999995</v>
      </c>
      <c r="EL31" s="13">
        <f t="shared" si="45"/>
        <v>29.084288721109843</v>
      </c>
      <c r="EM31" s="20">
        <f t="shared" si="19"/>
        <v>240.41585018926619</v>
      </c>
      <c r="EN31" s="59">
        <f t="shared" si="20"/>
        <v>507.71862290205502</v>
      </c>
      <c r="EO31" s="59">
        <f ca="1">AVERAGE(OFFSET($EN$3,0,0,'Données projet'!$E$15+1,1))-AVERAGE(OFFSET($H$3,0,0,'Données projet'!$E$15+1,1))</f>
        <v>338.59243085476896</v>
      </c>
      <c r="EP31" s="59">
        <f t="shared" si="46"/>
        <v>329.8393445823275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2.2989709907442384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2.2989709907442384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63.567422861063626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14.2</v>
      </c>
      <c r="FE31" s="12">
        <f>IF('Données projet'!$A$218&gt;35,FE30+FD31-FM30,IF(A31&lt;'Données projet'!$A$218,$FB$205^A31,IF(A31='Données projet'!$A$218,'Données projet'!$B$218,FE30+FD31-FM30)))</f>
        <v>148.59999999999994</v>
      </c>
      <c r="FF31" s="17">
        <f>FE31*VLOOKUP('Données projet'!$B$16,Paramètres!$A$1:$I$89,3,0)*VLOOKUP('Données projet'!$B$16,Paramètres!$A$1:$I$89,5,0)</f>
        <v>97.362719999999953</v>
      </c>
      <c r="FG31" s="13">
        <f t="shared" si="47"/>
        <v>26.332727987771989</v>
      </c>
      <c r="FH31" s="20">
        <f t="shared" si="22"/>
        <v>215.43623857870276</v>
      </c>
      <c r="FI31" s="59">
        <f t="shared" si="23"/>
        <v>482.73901129149158</v>
      </c>
      <c r="FJ31" s="59">
        <f ca="1">AVERAGE(OFFSET($FI$3,0,0,'Données projet'!$E$16+1,1))-AVERAGE(OFFSET($H$3,0,0,'Données projet'!$E$16+1,1))</f>
        <v>307.50573770128085</v>
      </c>
      <c r="FK31" s="59">
        <f t="shared" si="48"/>
        <v>300.2007312562655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2.0543996087501708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2.0543996087501708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63.567422861063626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14.2</v>
      </c>
      <c r="FZ31" s="12">
        <f>IF('Données projet'!$A$244&gt;35,FZ30+FY31-GH30,IF(A31&lt;'Données projet'!$A$244,$FW$205^A31,IF(A31='Données projet'!$A$244,'Données projet'!$B$244,FZ30+FY31-GH30)))</f>
        <v>148.59999999999994</v>
      </c>
      <c r="GA31" s="17">
        <f>FZ31*VLOOKUP('Données projet'!$B$17,Paramètres!$A$1:$I$89,3,0)*VLOOKUP('Données projet'!$B$17,Paramètres!$A$1:$I$89,5,0)</f>
        <v>120.54431999999997</v>
      </c>
      <c r="GB31" s="13">
        <f t="shared" si="49"/>
        <v>31.80191953664422</v>
      </c>
      <c r="GC31" s="20">
        <f t="shared" si="25"/>
        <v>265.33636719298863</v>
      </c>
      <c r="GD31" s="59">
        <f t="shared" si="26"/>
        <v>532.63913990577748</v>
      </c>
      <c r="GE31" s="59">
        <f ca="1">AVERAGE(OFFSET($GD$3,0,0,'Données projet'!$E$17+1,1))-AVERAGE(OFFSET($H$3,0,0,'Données projet'!$E$17+1,1))</f>
        <v>369.60865427618342</v>
      </c>
      <c r="GF31" s="59">
        <f t="shared" si="50"/>
        <v>359.40898775279197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2.5435423727383069</v>
      </c>
      <c r="GM31" s="21">
        <f>EXP(-LN(2)/25)*GM30+(1-EXP(-LN(2)/25))/(LN(2)/25)*Calculateur!GH31*Calculateur!GJ31*VLOOKUP('Données projet'!$B$17,Paramètres!$A$1:$I$89,3,0)*0.475*44/12</f>
        <v>0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2.5435423727383069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63.567422861063626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11.8</v>
      </c>
      <c r="GU31" s="12">
        <f>IF('Données projet'!$A$270&gt;35,GU30+GT31-HC30,IF(A31&lt;'Données projet'!$A$270,$GR$205^A31,IF(A31='Données projet'!$A$270,'Données projet'!$B$270,GU30+GT31-HC30)))</f>
        <v>122.39999999999996</v>
      </c>
      <c r="GV31" s="17">
        <f>GU31*VLOOKUP('Données projet'!$B$18,Paramètres!$A$1:$I$89,3,0)*VLOOKUP('Données projet'!$B$18,Paramètres!$A$1:$I$89,5,0)</f>
        <v>80.196479999999966</v>
      </c>
      <c r="GW31" s="13">
        <f t="shared" si="51"/>
        <v>22.185217649516314</v>
      </c>
      <c r="GX31" s="20">
        <f t="shared" si="28"/>
        <v>178.31479007290753</v>
      </c>
      <c r="GY31" s="59">
        <f t="shared" si="29"/>
        <v>445.61756278569635</v>
      </c>
      <c r="GZ31" s="59">
        <f ca="1">AVERAGE(OFFSET($GY$3,0,0,'Données projet'!$E$18+1,1))-AVERAGE(OFFSET($H$3,0,0,'Données projet'!$E$18+1,1))</f>
        <v>262.62914256200031</v>
      </c>
      <c r="HA31" s="59">
        <f t="shared" si="52"/>
        <v>256.45129229594409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>
        <f>EXP(-LN(2)/35)*HG30+(1-EXP(-LN(2)/35))/(LN(2)/35)*HC31*HD31*VLOOKUP('Données projet'!$B$18,Paramètres!$A$1:$I$89,3,0)*0.475*44/12</f>
        <v>0</v>
      </c>
      <c r="HH31" s="21">
        <f>EXP(-LN(2)/25)*HH30+(1-EXP(-LN(2)/25))/(LN(2)/25)*Calculateur!HC31*Calculateur!HE31*VLOOKUP('Données projet'!$B$18,Paramètres!$A$1:$I$89,3,0)*0.475*44/12</f>
        <v>0</v>
      </c>
      <c r="HI31" s="21">
        <f>EXP(-LN(2)/2)*HI30+(1-EXP(-LN(2)/2))/(LN(2)/2)*HC31*HF31*VLOOKUP('Données projet'!$B$18,Paramètres!$A$1:$I$89,3,0)*0.475*44/12</f>
        <v>0</v>
      </c>
      <c r="HJ31" s="22">
        <f t="shared" si="30"/>
        <v>0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2.1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7.7</v>
      </c>
      <c r="H32" s="67">
        <f t="shared" si="1"/>
        <v>225.86666666666665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63.679013693336131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9.4</v>
      </c>
      <c r="N32" s="13">
        <f>IF('Données projet'!$A$36&gt;35,N31+M32-V31,IF(A32&lt;'Données projet'!$A$36,$K$205^A32,IF(A32='Données projet'!$A$36,'Données projet'!$B$36,N31+M32-V31)))</f>
        <v>106.60000000000002</v>
      </c>
      <c r="O32" s="13">
        <f>N32*VLOOKUP('Données projet'!$B$9,Paramètres!$A$1:$I$89,3,0)*VLOOKUP('Données projet'!$B$9,Paramètres!$A$1:$I$89,5,0)</f>
        <v>91.46280000000003</v>
      </c>
      <c r="P32" s="13">
        <f t="shared" si="33"/>
        <v>24.917685409456144</v>
      </c>
      <c r="Q32" s="20">
        <f t="shared" si="2"/>
        <v>202.69601208813617</v>
      </c>
      <c r="R32" s="59">
        <f t="shared" si="0"/>
        <v>471.63017340814645</v>
      </c>
      <c r="S32" s="59">
        <f ca="1">AVERAGE(OFFSET($R$3,0,0,'Données projet'!$E$9+1,1))-AVERAGE(OFFSET($H$3,0,0,'Données projet'!$E$9+1,1))</f>
        <v>476.79071915271794</v>
      </c>
      <c r="T32" s="59">
        <f t="shared" si="34"/>
        <v>264.79929759351762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63.679013693336131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5.4</v>
      </c>
      <c r="AI32" s="13">
        <f>IF('Données projet'!$A$62&gt;35,AI31+AH32-AQ31,IF(A32&lt;'Données projet'!$A$62,$AF$205^A32,IF(A32='Données projet'!$A$62,'Données projet'!$B$62,AI31+AH32-AQ31)))</f>
        <v>91.600000000000023</v>
      </c>
      <c r="AJ32" s="13">
        <f>AI32*VLOOKUP('Données projet'!$B$10,Paramètres!$A$1:$I$89,3,0)*VLOOKUP('Données projet'!$B$10,Paramètres!$A$1:$I$89,5,0)</f>
        <v>77.163840000000022</v>
      </c>
      <c r="AK32" s="13">
        <f t="shared" si="35"/>
        <v>21.442278213774838</v>
      </c>
      <c r="AL32" s="20">
        <f t="shared" si="4"/>
        <v>171.73898922232456</v>
      </c>
      <c r="AM32" s="59">
        <f t="shared" si="5"/>
        <v>440.67315054233484</v>
      </c>
      <c r="AN32" s="59">
        <f ca="1">AVERAGE(OFFSET($AM$3,0,0,'Données projet'!$E$10+1,1))-AVERAGE(OFFSET($H$3,0,0,'Données projet'!$E$10+1,1))</f>
        <v>365.104658862176</v>
      </c>
      <c r="AO32" s="59">
        <f t="shared" si="36"/>
        <v>226.29232910286325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63.679013693336131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5.4</v>
      </c>
      <c r="BD32" s="12">
        <f>IF('Données projet'!$A$88&gt;35,BD31+BC32-BL31,IF(A32&lt;'Données projet'!$A$88,$BA$205^A32,IF(A32='Données projet'!$A$88,'Données projet'!$B$88,BD31+BC32-BL31)))</f>
        <v>91.600000000000023</v>
      </c>
      <c r="BE32" s="13">
        <f>BD32*VLOOKUP('Données projet'!$B$11,Paramètres!$A$1:$I$89,3,0)*VLOOKUP('Données projet'!$B$11,Paramètres!$A$1:$I$89,5,0)</f>
        <v>82.879680000000008</v>
      </c>
      <c r="BF32" s="13">
        <f t="shared" si="37"/>
        <v>22.83982519050506</v>
      </c>
      <c r="BG32" s="20">
        <f t="shared" si="7"/>
        <v>184.12813820679631</v>
      </c>
      <c r="BH32" s="59">
        <f t="shared" si="8"/>
        <v>453.06229952680656</v>
      </c>
      <c r="BI32" s="59">
        <f ca="1">AVERAGE(OFFSET($BH$3,0,0,'Données projet'!$E$11+1,1))-AVERAGE(OFFSET($H$3,0,0,'Données projet'!$E$11+1,1))</f>
        <v>388.12494342575195</v>
      </c>
      <c r="BJ32" s="59">
        <f t="shared" si="38"/>
        <v>239.39471445648454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63.679013693336131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5.4</v>
      </c>
      <c r="BY32" s="12">
        <f>IF('Données projet'!$A$114&gt;35,BY31+BX32-CG31,IF(A32&lt;'Données projet'!$A$114,$BV$205^A32,IF(A32='Données projet'!$A$114,'Données projet'!$B$114,BY31+BX32-CG31)))</f>
        <v>91.600000000000023</v>
      </c>
      <c r="BZ32" s="13">
        <f>BY32*VLOOKUP('Données projet'!$B$12,Paramètres!$A$1:$I$89,3,0)*VLOOKUP('Données projet'!$B$12,Paramètres!$A$1:$I$89,5,0)</f>
        <v>92.882400000000018</v>
      </c>
      <c r="CA32" s="13">
        <f t="shared" si="39"/>
        <v>25.259109897273174</v>
      </c>
      <c r="CB32" s="20">
        <f t="shared" si="10"/>
        <v>205.7631297377508</v>
      </c>
      <c r="CC32" s="59">
        <f t="shared" si="11"/>
        <v>474.69729105776105</v>
      </c>
      <c r="CD32" s="59">
        <f ca="1">AVERAGE(OFFSET($CC$3,0,0,'Données projet'!$E$12+1,1))-AVERAGE(OFFSET($H$3,0,0,'Données projet'!$E$12+1,1))</f>
        <v>428.33148932885132</v>
      </c>
      <c r="CE32" s="59">
        <f t="shared" si="40"/>
        <v>262.27548054534373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63.679013693336131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4.8</v>
      </c>
      <c r="CT32" s="12">
        <f>IF('Données projet'!$A$140&gt;35,CT31+CS32-DB31,IF(A32&lt;'Données projet'!$A$140,$CQ$205^A32,IF(A32='Données projet'!$A$140,'Données projet'!$B$140,CT31+CS32-DB31)))</f>
        <v>49.199999999999989</v>
      </c>
      <c r="CU32" s="17">
        <f>CT32*VLOOKUP('Données projet'!$B$13,Paramètres!$A$1:$I$89,3,0)*VLOOKUP('Données projet'!$B$13,Paramètres!$A$1:$I$89,5,0)</f>
        <v>46.818719999999992</v>
      </c>
      <c r="CV32" s="13">
        <f t="shared" si="41"/>
        <v>13.789063354733791</v>
      </c>
      <c r="CW32" s="20">
        <f t="shared" si="13"/>
        <v>105.55855600949467</v>
      </c>
      <c r="CX32" s="59">
        <f t="shared" si="14"/>
        <v>374.49271732950496</v>
      </c>
      <c r="CY32" s="59">
        <f ca="1">AVERAGE(OFFSET($CX$3,0,0,'Données projet'!$E$13+1,1))-AVERAGE(OFFSET($H$3,0,0,'Données projet'!$E$13+1,1))</f>
        <v>307.62549820830162</v>
      </c>
      <c r="CZ32" s="59">
        <f t="shared" si="42"/>
        <v>160.26466014910304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63.679013693336131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11.8</v>
      </c>
      <c r="DO32" s="12">
        <f>IF('Données projet'!$A$166&gt;35,DO31+DN32-DW31,IF(A32&lt;'Données projet'!$A$166,$DL$205^A32,IF(A32='Données projet'!$A$166,'Données projet'!$B$166,DO31+DN32-DW31)))</f>
        <v>134.19999999999996</v>
      </c>
      <c r="DP32" s="17">
        <f>DO32*VLOOKUP('Données projet'!$B$14,Paramètres!$A$1:$I$89,3,0)*VLOOKUP('Données projet'!$B$14,Paramètres!$A$1:$I$89,5,0)</f>
        <v>106.76951999999997</v>
      </c>
      <c r="DQ32" s="13">
        <f t="shared" si="43"/>
        <v>28.568542914630683</v>
      </c>
      <c r="DR32" s="20">
        <f t="shared" si="16"/>
        <v>235.71379290964839</v>
      </c>
      <c r="DS32" s="59">
        <f t="shared" si="17"/>
        <v>504.64795422965869</v>
      </c>
      <c r="DT32" s="59">
        <f ca="1">AVERAGE(OFFSET($DS$3,0,0,'Données projet'!$E$14+1,1))-AVERAGE(OFFSET($H$3,0,0,'Données projet'!$E$14+1,1))</f>
        <v>309.14579005132464</v>
      </c>
      <c r="DU32" s="59">
        <f t="shared" si="44"/>
        <v>300.60311050289533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63.679013693336131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14.2</v>
      </c>
      <c r="EJ32" s="12">
        <f>IF('Données projet'!$A$192&gt;35,EJ31+EI32-ER31,IF(A32&lt;'Données projet'!$A$192,$EG$205^A32,IF(A32='Données projet'!$A$192,'Données projet'!$B$192,EJ31+EI32-ER31)))</f>
        <v>162.79999999999993</v>
      </c>
      <c r="EK32" s="17">
        <f>EJ32*VLOOKUP('Données projet'!$B$15,Paramètres!$A$1:$I$89,3,0)*VLOOKUP('Données projet'!$B$15,Paramètres!$A$1:$I$89,5,0)</f>
        <v>119.36495999999994</v>
      </c>
      <c r="EL32" s="13">
        <f t="shared" si="45"/>
        <v>31.526840934707504</v>
      </c>
      <c r="EM32" s="20">
        <f t="shared" si="19"/>
        <v>262.80321996128214</v>
      </c>
      <c r="EN32" s="59">
        <f t="shared" si="20"/>
        <v>531.73738128129241</v>
      </c>
      <c r="EO32" s="59">
        <f ca="1">AVERAGE(OFFSET($EN$3,0,0,'Données projet'!$E$15+1,1))-AVERAGE(OFFSET($H$3,0,0,'Données projet'!$E$15+1,1))</f>
        <v>338.59243085476896</v>
      </c>
      <c r="EP32" s="59">
        <f t="shared" si="46"/>
        <v>329.8393445823275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2.253889571849589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2.253889571849589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63.679013693336131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14.2</v>
      </c>
      <c r="FE32" s="12">
        <f>IF('Données projet'!$A$218&gt;35,FE31+FD32-FM31,IF(A32&lt;'Données projet'!$A$218,$FB$205^A32,IF(A32='Données projet'!$A$218,'Données projet'!$B$218,FE31+FD32-FM31)))</f>
        <v>162.79999999999993</v>
      </c>
      <c r="FF32" s="17">
        <f>FE32*VLOOKUP('Données projet'!$B$16,Paramètres!$A$1:$I$89,3,0)*VLOOKUP('Données projet'!$B$16,Paramètres!$A$1:$I$89,5,0)</f>
        <v>106.66655999999995</v>
      </c>
      <c r="FG32" s="13">
        <f t="shared" si="47"/>
        <v>28.544199055651799</v>
      </c>
      <c r="FH32" s="20">
        <f t="shared" si="22"/>
        <v>235.49207202192679</v>
      </c>
      <c r="FI32" s="59">
        <f t="shared" si="23"/>
        <v>504.42623334193706</v>
      </c>
      <c r="FJ32" s="59">
        <f ca="1">AVERAGE(OFFSET($FI$3,0,0,'Données projet'!$E$16+1,1))-AVERAGE(OFFSET($H$3,0,0,'Données projet'!$E$16+1,1))</f>
        <v>307.50573770128085</v>
      </c>
      <c r="FK32" s="59">
        <f t="shared" si="48"/>
        <v>300.2007312562655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2.0141140854826118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2.0141140854826118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63.679013693336131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14.2</v>
      </c>
      <c r="FZ32" s="12">
        <f>IF('Données projet'!$A$244&gt;35,FZ31+FY32-GH31,IF(A32&lt;'Données projet'!$A$244,$FW$205^A32,IF(A32='Données projet'!$A$244,'Données projet'!$B$244,FZ31+FY32-GH31)))</f>
        <v>162.79999999999993</v>
      </c>
      <c r="GA32" s="17">
        <f>FZ32*VLOOKUP('Données projet'!$B$17,Paramètres!$A$1:$I$89,3,0)*VLOOKUP('Données projet'!$B$17,Paramètres!$A$1:$I$89,5,0)</f>
        <v>132.06335999999996</v>
      </c>
      <c r="GB32" s="13">
        <f t="shared" si="49"/>
        <v>34.472703398877925</v>
      </c>
      <c r="GC32" s="20">
        <f t="shared" si="25"/>
        <v>290.05031041971233</v>
      </c>
      <c r="GD32" s="59">
        <f t="shared" si="26"/>
        <v>558.98447173972261</v>
      </c>
      <c r="GE32" s="59">
        <f ca="1">AVERAGE(OFFSET($GD$3,0,0,'Données projet'!$E$17+1,1))-AVERAGE(OFFSET($H$3,0,0,'Données projet'!$E$17+1,1))</f>
        <v>369.60865427618342</v>
      </c>
      <c r="GF32" s="59">
        <f t="shared" si="50"/>
        <v>359.40898775279197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2.4936650582165671</v>
      </c>
      <c r="GM32" s="21">
        <f>EXP(-LN(2)/25)*GM31+(1-EXP(-LN(2)/25))/(LN(2)/25)*Calculateur!GH32*Calculateur!GJ32*VLOOKUP('Données projet'!$B$17,Paramètres!$A$1:$I$89,3,0)*0.475*44/12</f>
        <v>0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2.4936650582165671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63.679013693336131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11.8</v>
      </c>
      <c r="GU32" s="12">
        <f>IF('Données projet'!$A$270&gt;35,GU31+GT32-HC31,IF(A32&lt;'Données projet'!$A$270,$GR$205^A32,IF(A32='Données projet'!$A$270,'Données projet'!$B$270,GU31+GT32-HC31)))</f>
        <v>134.19999999999996</v>
      </c>
      <c r="GV32" s="17">
        <f>GU32*VLOOKUP('Données projet'!$B$18,Paramètres!$A$1:$I$89,3,0)*VLOOKUP('Données projet'!$B$18,Paramètres!$A$1:$I$89,5,0)</f>
        <v>87.927839999999975</v>
      </c>
      <c r="GW32" s="13">
        <f t="shared" si="51"/>
        <v>24.064794420539194</v>
      </c>
      <c r="GX32" s="20">
        <f t="shared" si="28"/>
        <v>195.05383828243905</v>
      </c>
      <c r="GY32" s="59">
        <f t="shared" si="29"/>
        <v>463.98799960244935</v>
      </c>
      <c r="GZ32" s="59">
        <f ca="1">AVERAGE(OFFSET($GY$3,0,0,'Données projet'!$E$18+1,1))-AVERAGE(OFFSET($H$3,0,0,'Données projet'!$E$18+1,1))</f>
        <v>262.62914256200031</v>
      </c>
      <c r="HA32" s="59">
        <f t="shared" si="52"/>
        <v>256.45129229594409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>
        <f>EXP(-LN(2)/35)*HG31+(1-EXP(-LN(2)/35))/(LN(2)/35)*HC32*HD32*VLOOKUP('Données projet'!$B$18,Paramètres!$A$1:$I$89,3,0)*0.475*44/12</f>
        <v>0</v>
      </c>
      <c r="HH32" s="21">
        <f>EXP(-LN(2)/25)*HH31+(1-EXP(-LN(2)/25))/(LN(2)/25)*Calculateur!HC32*Calculateur!HE32*VLOOKUP('Données projet'!$B$18,Paramètres!$A$1:$I$89,3,0)*0.475*44/12</f>
        <v>0</v>
      </c>
      <c r="HI32" s="21">
        <f>EXP(-LN(2)/2)*HI31+(1-EXP(-LN(2)/2))/(LN(2)/2)*HC32*HF32*VLOOKUP('Données projet'!$B$18,Paramètres!$A$1:$I$89,3,0)*0.475*44/12</f>
        <v>0</v>
      </c>
      <c r="HJ32" s="22">
        <f t="shared" si="30"/>
        <v>0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2.1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7.7</v>
      </c>
      <c r="H33" s="67">
        <f t="shared" si="1"/>
        <v>225.86666666666665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63.78866867414844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116</v>
      </c>
      <c r="L33" s="12">
        <f>VLOOKUP(A33,'Données projet'!$A$35:$I$55,9,0)</f>
        <v>9.4</v>
      </c>
      <c r="M33" s="12">
        <f t="array" ref="M33">INDEX(L:L,MIN(IF(ISNUMBER(L33:L229),ROW(L33:L229),"")))</f>
        <v>9.4</v>
      </c>
      <c r="N33" s="13">
        <f>IF('Données projet'!$A$36&gt;35,N32+M33-V32,IF(A33&lt;'Données projet'!$A$36,$K$205^A33,IF(A33='Données projet'!$A$36,'Données projet'!$B$36,N32+M33-V32)))</f>
        <v>116.00000000000003</v>
      </c>
      <c r="O33" s="13">
        <f>N33*VLOOKUP('Données projet'!$B$9,Paramètres!$A$1:$I$89,3,0)*VLOOKUP('Données projet'!$B$9,Paramètres!$A$1:$I$89,5,0)</f>
        <v>99.528000000000034</v>
      </c>
      <c r="P33" s="13">
        <f t="shared" si="33"/>
        <v>26.849519112903323</v>
      </c>
      <c r="Q33" s="20">
        <f t="shared" si="2"/>
        <v>220.10751245497332</v>
      </c>
      <c r="R33" s="59">
        <f t="shared" si="0"/>
        <v>490.6659642601843</v>
      </c>
      <c r="S33" s="59">
        <f ca="1">AVERAGE(OFFSET($R$3,0,0,'Données projet'!$E$9+1,1))-AVERAGE(OFFSET($H$3,0,0,'Données projet'!$E$9+1,1))</f>
        <v>476.79071915271794</v>
      </c>
      <c r="T33" s="59">
        <f t="shared" si="34"/>
        <v>264.79929759351762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28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63.78866867414844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97</v>
      </c>
      <c r="AG33" s="12">
        <f>VLOOKUP(A33,'Données projet'!$A$61:$I$81,9,0)</f>
        <v>5.4</v>
      </c>
      <c r="AH33" s="12">
        <f t="array" ref="AH33">INDEX(AG:AG,MIN(IF(ISNUMBER(AG33:AG229),ROW(AG33:AG229),"")))</f>
        <v>5.4</v>
      </c>
      <c r="AI33" s="13">
        <f>IF('Données projet'!$A$62&gt;35,AI32+AH33-AQ32,IF(A33&lt;'Données projet'!$A$62,$AF$205^A33,IF(A33='Données projet'!$A$62,'Données projet'!$B$62,AI32+AH33-AQ32)))</f>
        <v>97.000000000000028</v>
      </c>
      <c r="AJ33" s="13">
        <f>AI33*VLOOKUP('Données projet'!$B$10,Paramètres!$A$1:$I$89,3,0)*VLOOKUP('Données projet'!$B$10,Paramètres!$A$1:$I$89,5,0)</f>
        <v>81.71280000000003</v>
      </c>
      <c r="AK33" s="13">
        <f t="shared" si="35"/>
        <v>22.55545490774292</v>
      </c>
      <c r="AL33" s="20">
        <f t="shared" si="4"/>
        <v>181.60054396431894</v>
      </c>
      <c r="AM33" s="59">
        <f t="shared" si="5"/>
        <v>452.15899576952989</v>
      </c>
      <c r="AN33" s="59">
        <f ca="1">AVERAGE(OFFSET($AM$3,0,0,'Données projet'!$E$10+1,1))-AVERAGE(OFFSET($H$3,0,0,'Données projet'!$E$10+1,1))</f>
        <v>365.104658862176</v>
      </c>
      <c r="AO33" s="59">
        <f t="shared" si="36"/>
        <v>226.29232910286325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21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63.78866867414844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97</v>
      </c>
      <c r="BB33" s="12">
        <f>VLOOKUP(A33,'Données projet'!$A$87:$I$107,9,0)</f>
        <v>5.4</v>
      </c>
      <c r="BC33" s="12">
        <f t="array" ref="BC33">INDEX(BB:BB,MIN(IF(ISNUMBER(BB33:BB229),ROW(BB33:BB229),"")))</f>
        <v>5.4</v>
      </c>
      <c r="BD33" s="12">
        <f>IF('Données projet'!$A$88&gt;35,BD32+BC33-BL32,IF(A33&lt;'Données projet'!$A$88,$BA$205^A33,IF(A33='Données projet'!$A$88,'Données projet'!$B$88,BD32+BC33-BL32)))</f>
        <v>97.000000000000028</v>
      </c>
      <c r="BE33" s="13">
        <f>BD33*VLOOKUP('Données projet'!$B$11,Paramètres!$A$1:$I$89,3,0)*VLOOKUP('Données projet'!$B$11,Paramètres!$A$1:$I$89,5,0)</f>
        <v>87.76560000000002</v>
      </c>
      <c r="BF33" s="13">
        <f t="shared" si="37"/>
        <v>24.025555589247954</v>
      </c>
      <c r="BG33" s="20">
        <f t="shared" si="7"/>
        <v>194.7029293179402</v>
      </c>
      <c r="BH33" s="59">
        <f t="shared" si="8"/>
        <v>465.26138112315118</v>
      </c>
      <c r="BI33" s="59">
        <f ca="1">AVERAGE(OFFSET($BH$3,0,0,'Données projet'!$E$11+1,1))-AVERAGE(OFFSET($H$3,0,0,'Données projet'!$E$11+1,1))</f>
        <v>388.12494342575195</v>
      </c>
      <c r="BJ33" s="59">
        <f t="shared" si="38"/>
        <v>239.39471445648454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21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63.78866867414844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97</v>
      </c>
      <c r="BW33" s="12">
        <f>VLOOKUP(A33,'Données projet'!$A$113:$I$133,9,0)</f>
        <v>5.4</v>
      </c>
      <c r="BX33" s="12">
        <f t="array" ref="BX33">INDEX(BW:BW,MIN(IF(ISNUMBER(BW33:BW229),ROW(BW33:BW229),"")))</f>
        <v>5.4</v>
      </c>
      <c r="BY33" s="12">
        <f>IF('Données projet'!$A$114&gt;35,BY32+BX33-CG32,IF(A33&lt;'Données projet'!$A$114,$BV$205^A33,IF(A33='Données projet'!$A$114,'Données projet'!$B$114,BY32+BX33-CG32)))</f>
        <v>97.000000000000028</v>
      </c>
      <c r="BZ33" s="13">
        <f>BY33*VLOOKUP('Données projet'!$B$12,Paramètres!$A$1:$I$89,3,0)*VLOOKUP('Données projet'!$B$12,Paramètres!$A$1:$I$89,5,0)</f>
        <v>98.358000000000033</v>
      </c>
      <c r="CA33" s="13">
        <f t="shared" si="39"/>
        <v>26.570437554143147</v>
      </c>
      <c r="CB33" s="20">
        <f t="shared" si="10"/>
        <v>217.58369540679939</v>
      </c>
      <c r="CC33" s="59">
        <f t="shared" si="11"/>
        <v>488.14214721201034</v>
      </c>
      <c r="CD33" s="59">
        <f ca="1">AVERAGE(OFFSET($CC$3,0,0,'Données projet'!$E$12+1,1))-AVERAGE(OFFSET($H$3,0,0,'Données projet'!$E$12+1,1))</f>
        <v>428.33148932885132</v>
      </c>
      <c r="CE33" s="59">
        <f t="shared" si="40"/>
        <v>262.27548054534373</v>
      </c>
      <c r="CF33" s="15">
        <f>IF(ISNA(VLOOKUP(A33,'Données projet'!$A$113:$I$133,3,0)),0,VLOOKUP(A33,'Données projet'!$A$113:$I$133,3,0))</f>
        <v>3</v>
      </c>
      <c r="CG33" s="15">
        <f>IF(ISNA(VLOOKUP(A33,'Données projet'!$A$113:$I$133,4,0)),0,VLOOKUP(A33,'Données projet'!$A$113:$I$133,4,0))</f>
        <v>21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63.78866867414844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54</v>
      </c>
      <c r="CR33" s="12">
        <f>VLOOKUP(A33,'Données projet'!$A$139:$I$159,9,0)</f>
        <v>4.8</v>
      </c>
      <c r="CS33" s="12">
        <f t="array" ref="CS33">INDEX(CR:CR,MIN(IF(ISNUMBER(CR33:CR229),ROW(CR33:CR229),"")))</f>
        <v>4.8</v>
      </c>
      <c r="CT33" s="12">
        <f>IF('Données projet'!$A$140&gt;35,CT32+CS33-DB32,IF(A33&lt;'Données projet'!$A$140,$CQ$205^A33,IF(A33='Données projet'!$A$140,'Données projet'!$B$140,CT32+CS33-DB32)))</f>
        <v>53.999999999999986</v>
      </c>
      <c r="CU33" s="17">
        <f>CT33*VLOOKUP('Données projet'!$B$13,Paramètres!$A$1:$I$89,3,0)*VLOOKUP('Données projet'!$B$13,Paramètres!$A$1:$I$89,5,0)</f>
        <v>51.386399999999988</v>
      </c>
      <c r="CV33" s="13">
        <f t="shared" si="41"/>
        <v>14.971231585009825</v>
      </c>
      <c r="CW33" s="20">
        <f t="shared" si="13"/>
        <v>115.57287501055875</v>
      </c>
      <c r="CX33" s="59">
        <f t="shared" si="14"/>
        <v>386.13132681576968</v>
      </c>
      <c r="CY33" s="59">
        <f ca="1">AVERAGE(OFFSET($CX$3,0,0,'Données projet'!$E$13+1,1))-AVERAGE(OFFSET($H$3,0,0,'Données projet'!$E$13+1,1))</f>
        <v>307.62549820830162</v>
      </c>
      <c r="CZ33" s="59">
        <f t="shared" si="42"/>
        <v>160.26466014910304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63.78866867414844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146</v>
      </c>
      <c r="DM33" s="12">
        <f>VLOOKUP(A33,'Données projet'!$A$165:$I$185,9,0)</f>
        <v>11.8</v>
      </c>
      <c r="DN33" s="12">
        <f t="array" ref="DN33">INDEX(DM:DM,MIN(IF(ISNUMBER(DM33:DM229),ROW(DM33:DM229),"")))</f>
        <v>11.8</v>
      </c>
      <c r="DO33" s="12">
        <f>IF('Données projet'!$A$166&gt;35,DO32+DN33-DW32,IF(A33&lt;'Données projet'!$A$166,$DL$205^A33,IF(A33='Données projet'!$A$166,'Données projet'!$B$166,DO32+DN33-DW32)))</f>
        <v>145.99999999999997</v>
      </c>
      <c r="DP33" s="17">
        <f>DO33*VLOOKUP('Données projet'!$B$14,Paramètres!$A$1:$I$89,3,0)*VLOOKUP('Données projet'!$B$14,Paramètres!$A$1:$I$89,5,0)</f>
        <v>116.15759999999999</v>
      </c>
      <c r="DQ33" s="13">
        <f t="shared" si="43"/>
        <v>30.777132266613055</v>
      </c>
      <c r="DR33" s="20">
        <f t="shared" si="16"/>
        <v>255.91132536435109</v>
      </c>
      <c r="DS33" s="59">
        <f t="shared" si="17"/>
        <v>526.46977716956201</v>
      </c>
      <c r="DT33" s="59">
        <f ca="1">AVERAGE(OFFSET($DS$3,0,0,'Données projet'!$E$14+1,1))-AVERAGE(OFFSET($H$3,0,0,'Données projet'!$E$14+1,1))</f>
        <v>309.14579005132464</v>
      </c>
      <c r="DU33" s="59">
        <f t="shared" si="44"/>
        <v>300.60311050289533</v>
      </c>
      <c r="DV33" s="15">
        <f>IF(ISNA(VLOOKUP(A33,'Données projet'!$A$165:$I$185,3,0)),0,VLOOKUP(A33,'Données projet'!$A$165:$I$185,3,0))</f>
        <v>4</v>
      </c>
      <c r="DW33" s="15">
        <f>IF(ISNA(VLOOKUP(A33,'Données projet'!$A$165:$I$185,4,0)),0,VLOOKUP(A33,'Données projet'!$A$165:$I$185,4,0))</f>
        <v>28</v>
      </c>
      <c r="DX33" s="16">
        <f>IF(ISNA(VLOOKUP(A33,'Données projet'!$A$165:$I$185,5,0)),0%,VLOOKUP(A33,'Données projet'!$A$165:$I$185,5,0)*VLOOKUP('Données projet'!$B$14,Paramètres!$A$1:$I$89,7,0))</f>
        <v>0.10600000000000001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2.6103923103826401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2.6103923103826401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63.78866867414844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177</v>
      </c>
      <c r="EH33" s="12">
        <f>VLOOKUP(A33,'Données projet'!$A$191:$I$211,9,0)</f>
        <v>14.2</v>
      </c>
      <c r="EI33" s="12">
        <f t="array" ref="EI33">INDEX(EH:EH,MIN(IF(ISNUMBER(EH33:EH229),ROW(EH33:EH229),"")))</f>
        <v>14.2</v>
      </c>
      <c r="EJ33" s="12">
        <f>IF('Données projet'!$A$192&gt;35,EJ32+EI33-ER32,IF(A33&lt;'Données projet'!$A$192,$EG$205^A33,IF(A33='Données projet'!$A$192,'Données projet'!$B$192,EJ32+EI33-ER32)))</f>
        <v>176.99999999999991</v>
      </c>
      <c r="EK33" s="17">
        <f>EJ33*VLOOKUP('Données projet'!$B$15,Paramètres!$A$1:$I$89,3,0)*VLOOKUP('Données projet'!$B$15,Paramètres!$A$1:$I$89,5,0)</f>
        <v>129.77639999999994</v>
      </c>
      <c r="EL33" s="13">
        <f t="shared" si="45"/>
        <v>33.94468676198089</v>
      </c>
      <c r="EM33" s="20">
        <f t="shared" si="19"/>
        <v>285.14755944378322</v>
      </c>
      <c r="EN33" s="59">
        <f t="shared" si="20"/>
        <v>555.70601124899417</v>
      </c>
      <c r="EO33" s="59">
        <f ca="1">AVERAGE(OFFSET($EN$3,0,0,'Données projet'!$E$15+1,1))-AVERAGE(OFFSET($H$3,0,0,'Données projet'!$E$15+1,1))</f>
        <v>338.59243085476896</v>
      </c>
      <c r="EP33" s="59">
        <f t="shared" si="46"/>
        <v>329.8393445823275</v>
      </c>
      <c r="EQ33" s="15">
        <f>IF(ISNA(VLOOKUP(A33,'Données projet'!$A$191:$I$211,3,0)),0,VLOOKUP(A33,'Données projet'!$A$191:$I$211,3,0))</f>
        <v>5</v>
      </c>
      <c r="ER33" s="15">
        <f>IF(ISNA(VLOOKUP(A33,'Données projet'!$A$191:$I$211,4,0)),0,VLOOKUP(A33,'Données projet'!$A$191:$I$211,4,0))</f>
        <v>35</v>
      </c>
      <c r="ES33" s="16">
        <f>IF(ISNA(VLOOKUP(A33,'Données projet'!$A$191:$I$211,5,0)),0%,VLOOKUP(A33,'Données projet'!$A$191:$I$211,5,0)*VLOOKUP('Données projet'!$B$15,Paramètres!$A$1:$I$89,7,0))</f>
        <v>8.6000000000000007E-2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4.6493901277259262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4.6493901277259262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63.78866867414844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177</v>
      </c>
      <c r="FC33" s="12">
        <f>VLOOKUP(A33,'Données projet'!$A$217:$I$237,9,0)</f>
        <v>14.2</v>
      </c>
      <c r="FD33" s="12">
        <f t="array" ref="FD33">INDEX(FC:FC,MIN(IF(ISNUMBER(FC33:FC229),ROW(FC33:FC229),"")))</f>
        <v>14.2</v>
      </c>
      <c r="FE33" s="12">
        <f>IF('Données projet'!$A$218&gt;35,FE32+FD33-FM32,IF(A33&lt;'Données projet'!$A$218,$FB$205^A33,IF(A33='Données projet'!$A$218,'Données projet'!$B$218,FE32+FD33-FM32)))</f>
        <v>176.99999999999991</v>
      </c>
      <c r="FF33" s="17">
        <f>FE33*VLOOKUP('Données projet'!$B$16,Paramètres!$A$1:$I$89,3,0)*VLOOKUP('Données projet'!$B$16,Paramètres!$A$1:$I$89,5,0)</f>
        <v>115.97039999999994</v>
      </c>
      <c r="FG33" s="13">
        <f t="shared" si="47"/>
        <v>30.733301120222766</v>
      </c>
      <c r="FH33" s="20">
        <f t="shared" si="22"/>
        <v>255.50894611772119</v>
      </c>
      <c r="FI33" s="59">
        <f t="shared" si="23"/>
        <v>526.06739792293217</v>
      </c>
      <c r="FJ33" s="59">
        <f ca="1">AVERAGE(OFFSET($FI$3,0,0,'Données projet'!$E$16+1,1))-AVERAGE(OFFSET($H$3,0,0,'Données projet'!$E$16+1,1))</f>
        <v>307.50573770128085</v>
      </c>
      <c r="FK33" s="59">
        <f t="shared" si="48"/>
        <v>300.2007312562655</v>
      </c>
      <c r="FL33" s="15">
        <f>IF(ISNA(VLOOKUP(A33,'Données projet'!$A$217:$I$237,3,0)),0,VLOOKUP(A33,'Données projet'!$A$217:$I$237,3,0))</f>
        <v>5</v>
      </c>
      <c r="FM33" s="15">
        <f>IF(ISNA(VLOOKUP(A33,'Données projet'!$A$217:$I$237,4,0)),0,VLOOKUP(A33,'Données projet'!$A$217:$I$237,4,0))</f>
        <v>35</v>
      </c>
      <c r="FN33" s="16">
        <f>IF(ISNA(VLOOKUP(A33,'Données projet'!$A$217:$I$237,5,0)),0%,VLOOKUP(A33,'Données projet'!$A$217:$I$237,5,0)*VLOOKUP('Données projet'!$B$16,Paramètres!$A$1:$I$89,7,0))</f>
        <v>8.6000000000000007E-2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4.1547741566912535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4.1547741566912535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63.78866867414844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177</v>
      </c>
      <c r="FX33" s="12">
        <f>VLOOKUP(A33,'Données projet'!$A$243:$I$263,9,0)</f>
        <v>14.2</v>
      </c>
      <c r="FY33" s="12">
        <f t="array" ref="FY33">INDEX(FX:FX,MIN(IF(ISNUMBER(FX33:FX229),ROW(FX33:FX229),"")))</f>
        <v>14.2</v>
      </c>
      <c r="FZ33" s="12">
        <f>IF('Données projet'!$A$244&gt;35,FZ32+FY33-GH32,IF(A33&lt;'Données projet'!$A$244,$FW$205^A33,IF(A33='Données projet'!$A$244,'Données projet'!$B$244,FZ32+FY33-GH32)))</f>
        <v>176.99999999999991</v>
      </c>
      <c r="GA33" s="17">
        <f>FZ33*VLOOKUP('Données projet'!$B$17,Paramètres!$A$1:$I$89,3,0)*VLOOKUP('Données projet'!$B$17,Paramètres!$A$1:$I$89,5,0)</f>
        <v>143.58239999999995</v>
      </c>
      <c r="GB33" s="13">
        <f t="shared" si="49"/>
        <v>37.116472314400653</v>
      </c>
      <c r="GC33" s="20">
        <f t="shared" si="25"/>
        <v>314.7172026142477</v>
      </c>
      <c r="GD33" s="59">
        <f t="shared" si="26"/>
        <v>585.27565441945865</v>
      </c>
      <c r="GE33" s="59">
        <f ca="1">AVERAGE(OFFSET($GD$3,0,0,'Données projet'!$E$17+1,1))-AVERAGE(OFFSET($H$3,0,0,'Données projet'!$E$17+1,1))</f>
        <v>369.60865427618342</v>
      </c>
      <c r="GF33" s="59">
        <f t="shared" si="50"/>
        <v>359.40898775279197</v>
      </c>
      <c r="GG33" s="15">
        <f>IF(ISNA(VLOOKUP(A33,'Données projet'!$A$243:$I$263,3,0)),0,VLOOKUP(A33,'Données projet'!$A$243:$I$263,3,0))</f>
        <v>5</v>
      </c>
      <c r="GH33" s="15">
        <f>IF(ISNA(VLOOKUP(A33,'Données projet'!$A$243:$I$263,4,0)),0,VLOOKUP(A33,'Données projet'!$A$243:$I$263,4,0))</f>
        <v>35</v>
      </c>
      <c r="GI33" s="16">
        <f>IF(ISNA(VLOOKUP(A33,'Données projet'!$A$243:$I$263,5,0)),0%,VLOOKUP(A33,'Données projet'!$A$243:$I$263,5,0)*VLOOKUP('Données projet'!$B$17,Paramètres!$A$1:$I$89,7,0))</f>
        <v>8.6000000000000007E-2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5.1440060987606007</v>
      </c>
      <c r="GM33" s="21">
        <f>EXP(-LN(2)/25)*GM32+(1-EXP(-LN(2)/25))/(LN(2)/25)*Calculateur!GH33*Calculateur!GJ33*VLOOKUP('Données projet'!$B$17,Paramètres!$A$1:$I$89,3,0)*0.475*44/12</f>
        <v>0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5.1440060987606007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63.78866867414844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>
        <f>VLOOKUP(A33,'Données projet'!$A$269:$I$289,2,0)</f>
        <v>146</v>
      </c>
      <c r="GS33" s="12">
        <f>VLOOKUP(A33,'Données projet'!$A$269:$I$289,9,0)</f>
        <v>11.8</v>
      </c>
      <c r="GT33" s="12">
        <f t="array" ref="GT33">INDEX(GS:GS,MIN(IF(ISNUMBER(GS33:GS229),ROW(GS33:GS229),"")))</f>
        <v>11.8</v>
      </c>
      <c r="GU33" s="12">
        <f>IF('Données projet'!$A$270&gt;35,GU32+GT33-HC32,IF(A33&lt;'Données projet'!$A$270,$GR$205^A33,IF(A33='Données projet'!$A$270,'Données projet'!$B$270,GU32+GT33-HC32)))</f>
        <v>145.99999999999997</v>
      </c>
      <c r="GV33" s="17">
        <f>GU33*VLOOKUP('Données projet'!$B$18,Paramètres!$A$1:$I$89,3,0)*VLOOKUP('Données projet'!$B$18,Paramètres!$A$1:$I$89,5,0)</f>
        <v>95.659199999999984</v>
      </c>
      <c r="GW33" s="13">
        <f t="shared" si="51"/>
        <v>25.92520602338745</v>
      </c>
      <c r="GX33" s="20">
        <f t="shared" si="28"/>
        <v>211.75950715739978</v>
      </c>
      <c r="GY33" s="59">
        <f t="shared" si="29"/>
        <v>482.31795896261076</v>
      </c>
      <c r="GZ33" s="59">
        <f ca="1">AVERAGE(OFFSET($GY$3,0,0,'Données projet'!$E$18+1,1))-AVERAGE(OFFSET($H$3,0,0,'Données projet'!$E$18+1,1))</f>
        <v>262.62914256200031</v>
      </c>
      <c r="HA33" s="59">
        <f t="shared" si="52"/>
        <v>256.45129229594409</v>
      </c>
      <c r="HB33" s="15">
        <f>IF(ISNA(VLOOKUP(A33,'Données projet'!$A$269:$I$289,3,0)),0,VLOOKUP(A33,'Données projet'!$A$269:$I$289,3,0))</f>
        <v>4</v>
      </c>
      <c r="HC33" s="15">
        <f>IF(ISNA(VLOOKUP(A33,'Données projet'!$A$269:$I$289,4,0)),0,VLOOKUP(A33,'Données projet'!$A$269:$I$289,4,0))</f>
        <v>28</v>
      </c>
      <c r="HD33" s="16">
        <f>IF(ISNA(VLOOKUP(A33,'Données projet'!$A$269:$I$289,5,0)),0%,VLOOKUP(A33,'Données projet'!$A$269:$I$289,5,0)*VLOOKUP('Données projet'!$B$18,Paramètres!$A$1:$I$89,7,0))</f>
        <v>8.6000000000000007E-2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>
        <f>EXP(-LN(2)/35)*HG32+(1-EXP(-LN(2)/35))/(LN(2)/35)*HC33*HD33*VLOOKUP('Données projet'!$B$18,Paramètres!$A$1:$I$89,3,0)*0.475*44/12</f>
        <v>1.7441244959493334</v>
      </c>
      <c r="HH33" s="21">
        <f>EXP(-LN(2)/25)*HH32+(1-EXP(-LN(2)/25))/(LN(2)/25)*Calculateur!HC33*Calculateur!HE33*VLOOKUP('Données projet'!$B$18,Paramètres!$A$1:$I$89,3,0)*0.475*44/12</f>
        <v>0</v>
      </c>
      <c r="HI33" s="21">
        <f>EXP(-LN(2)/2)*HI32+(1-EXP(-LN(2)/2))/(LN(2)/2)*HC33*HF33*VLOOKUP('Données projet'!$B$18,Paramètres!$A$1:$I$89,3,0)*0.475*44/12</f>
        <v>0</v>
      </c>
      <c r="HJ33" s="22">
        <f t="shared" si="30"/>
        <v>1.7441244959493334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2.1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7.7</v>
      </c>
      <c r="H34" s="67">
        <f t="shared" si="1"/>
        <v>225.86666666666665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63.896421386195456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10.199999999999999</v>
      </c>
      <c r="N34" s="13">
        <f>IF('Données projet'!$A$36&gt;35,N33+M34-V33,IF(A34&lt;'Données projet'!$A$36,$K$205^A34,IF(A34='Données projet'!$A$36,'Données projet'!$B$36,N33+M34-V33)))</f>
        <v>98.200000000000031</v>
      </c>
      <c r="O34" s="13">
        <f>N34*VLOOKUP('Données projet'!$B$9,Paramètres!$A$1:$I$89,3,0)*VLOOKUP('Données projet'!$B$9,Paramètres!$A$1:$I$89,5,0)</f>
        <v>84.25560000000003</v>
      </c>
      <c r="P34" s="13">
        <f t="shared" si="33"/>
        <v>23.174541098743855</v>
      </c>
      <c r="Q34" s="20">
        <f t="shared" si="2"/>
        <v>187.10749574697891</v>
      </c>
      <c r="R34" s="59">
        <f t="shared" si="0"/>
        <v>458.06104082969557</v>
      </c>
      <c r="S34" s="59">
        <f ca="1">AVERAGE(OFFSET($R$3,0,0,'Données projet'!$E$9+1,1))-AVERAGE(OFFSET($H$3,0,0,'Données projet'!$E$9+1,1))</f>
        <v>476.79071915271794</v>
      </c>
      <c r="T34" s="59">
        <f t="shared" si="34"/>
        <v>264.79929759351762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63.896421386195456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</v>
      </c>
      <c r="AI34" s="13">
        <f>IF('Données projet'!$A$62&gt;35,AI33+AH34-AQ33,IF(A34&lt;'Données projet'!$A$62,$AF$205^A34,IF(A34='Données projet'!$A$62,'Données projet'!$B$62,AI33+AH34-AQ33)))</f>
        <v>84.000000000000028</v>
      </c>
      <c r="AJ34" s="13">
        <f>AI34*VLOOKUP('Données projet'!$B$10,Paramètres!$A$1:$I$89,3,0)*VLOOKUP('Données projet'!$B$10,Paramètres!$A$1:$I$89,5,0)</f>
        <v>70.76160000000003</v>
      </c>
      <c r="AK34" s="13">
        <f t="shared" si="35"/>
        <v>19.862470414169785</v>
      </c>
      <c r="AL34" s="20">
        <f t="shared" si="4"/>
        <v>157.83692263801242</v>
      </c>
      <c r="AM34" s="59">
        <f t="shared" si="5"/>
        <v>428.79046772072911</v>
      </c>
      <c r="AN34" s="59">
        <f ca="1">AVERAGE(OFFSET($AM$3,0,0,'Données projet'!$E$10+1,1))-AVERAGE(OFFSET($H$3,0,0,'Données projet'!$E$10+1,1))</f>
        <v>365.104658862176</v>
      </c>
      <c r="AO34" s="59">
        <f t="shared" si="36"/>
        <v>226.29232910286325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63.896421386195456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8</v>
      </c>
      <c r="BD34" s="12">
        <f>IF('Données projet'!$A$88&gt;35,BD33+BC34-BL33,IF(A34&lt;'Données projet'!$A$88,$BA$205^A34,IF(A34='Données projet'!$A$88,'Données projet'!$B$88,BD33+BC34-BL33)))</f>
        <v>84.000000000000028</v>
      </c>
      <c r="BE34" s="13">
        <f>BD34*VLOOKUP('Données projet'!$B$11,Paramètres!$A$1:$I$89,3,0)*VLOOKUP('Données projet'!$B$11,Paramètres!$A$1:$I$89,5,0)</f>
        <v>76.003200000000021</v>
      </c>
      <c r="BF34" s="13">
        <f t="shared" si="37"/>
        <v>21.157049992000456</v>
      </c>
      <c r="BG34" s="20">
        <f t="shared" si="7"/>
        <v>169.2207687360675</v>
      </c>
      <c r="BH34" s="59">
        <f t="shared" si="8"/>
        <v>440.17431381878419</v>
      </c>
      <c r="BI34" s="59">
        <f ca="1">AVERAGE(OFFSET($BH$3,0,0,'Données projet'!$E$11+1,1))-AVERAGE(OFFSET($H$3,0,0,'Données projet'!$E$11+1,1))</f>
        <v>388.12494342575195</v>
      </c>
      <c r="BJ34" s="59">
        <f t="shared" si="38"/>
        <v>239.39471445648454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63.896421386195456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8</v>
      </c>
      <c r="BY34" s="12">
        <f>IF('Données projet'!$A$114&gt;35,BY33+BX34-CG33,IF(A34&lt;'Données projet'!$A$114,$BV$205^A34,IF(A34='Données projet'!$A$114,'Données projet'!$B$114,BY33+BX34-CG33)))</f>
        <v>84.000000000000028</v>
      </c>
      <c r="BZ34" s="13">
        <f>BY34*VLOOKUP('Données projet'!$B$12,Paramètres!$A$1:$I$89,3,0)*VLOOKUP('Données projet'!$B$12,Paramètres!$A$1:$I$89,5,0)</f>
        <v>85.176000000000045</v>
      </c>
      <c r="CA34" s="13">
        <f t="shared" si="39"/>
        <v>23.398088487656441</v>
      </c>
      <c r="CB34" s="20">
        <f t="shared" si="10"/>
        <v>189.09987078266838</v>
      </c>
      <c r="CC34" s="59">
        <f t="shared" si="11"/>
        <v>460.05341586538509</v>
      </c>
      <c r="CD34" s="59">
        <f ca="1">AVERAGE(OFFSET($CC$3,0,0,'Données projet'!$E$12+1,1))-AVERAGE(OFFSET($H$3,0,0,'Données projet'!$E$12+1,1))</f>
        <v>428.33148932885132</v>
      </c>
      <c r="CE34" s="59">
        <f t="shared" si="40"/>
        <v>262.27548054534373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63.896421386195456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5</v>
      </c>
      <c r="CT34" s="12">
        <f>IF('Données projet'!$A$140&gt;35,CT33+CS34-DB33,IF(A34&lt;'Données projet'!$A$140,$CQ$205^A34,IF(A34='Données projet'!$A$140,'Données projet'!$B$140,CT33+CS34-DB33)))</f>
        <v>58.999999999999986</v>
      </c>
      <c r="CU34" s="17">
        <f>CT34*VLOOKUP('Données projet'!$B$13,Paramètres!$A$1:$I$89,3,0)*VLOOKUP('Données projet'!$B$13,Paramètres!$A$1:$I$89,5,0)</f>
        <v>56.144399999999983</v>
      </c>
      <c r="CV34" s="13">
        <f t="shared" si="41"/>
        <v>16.189716344887636</v>
      </c>
      <c r="CW34" s="20">
        <f t="shared" si="13"/>
        <v>125.98191930067928</v>
      </c>
      <c r="CX34" s="59">
        <f t="shared" si="14"/>
        <v>396.93546438339598</v>
      </c>
      <c r="CY34" s="59">
        <f ca="1">AVERAGE(OFFSET($CX$3,0,0,'Données projet'!$E$13+1,1))-AVERAGE(OFFSET($H$3,0,0,'Données projet'!$E$13+1,1))</f>
        <v>307.62549820830162</v>
      </c>
      <c r="CZ34" s="59">
        <f t="shared" si="42"/>
        <v>160.26466014910304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63.896421386195456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10.8</v>
      </c>
      <c r="DO34" s="12">
        <f>IF('Données projet'!$A$166&gt;35,DO33+DN34-DW33,IF(A34&lt;'Données projet'!$A$166,$DL$205^A34,IF(A34='Données projet'!$A$166,'Données projet'!$B$166,DO33+DN34-DW33)))</f>
        <v>128.79999999999998</v>
      </c>
      <c r="DP34" s="17">
        <f>DO34*VLOOKUP('Données projet'!$B$14,Paramètres!$A$1:$I$89,3,0)*VLOOKUP('Données projet'!$B$14,Paramètres!$A$1:$I$89,5,0)</f>
        <v>102.47327999999999</v>
      </c>
      <c r="DQ34" s="13">
        <f t="shared" si="43"/>
        <v>27.550381949314474</v>
      </c>
      <c r="DR34" s="20">
        <f t="shared" si="16"/>
        <v>226.45787789505599</v>
      </c>
      <c r="DS34" s="59">
        <f t="shared" si="17"/>
        <v>497.41142297777265</v>
      </c>
      <c r="DT34" s="59">
        <f ca="1">AVERAGE(OFFSET($DS$3,0,0,'Données projet'!$E$14+1,1))-AVERAGE(OFFSET($H$3,0,0,'Données projet'!$E$14+1,1))</f>
        <v>309.14579005132464</v>
      </c>
      <c r="DU34" s="59">
        <f t="shared" si="44"/>
        <v>300.60311050289533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2.5592041093581308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2.5592041093581308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63.896421386195456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12.8</v>
      </c>
      <c r="EJ34" s="12">
        <f>IF('Données projet'!$A$192&gt;35,EJ33+EI34-ER33,IF(A34&lt;'Données projet'!$A$192,$EG$205^A34,IF(A34='Données projet'!$A$192,'Données projet'!$B$192,EJ33+EI34-ER33)))</f>
        <v>154.79999999999993</v>
      </c>
      <c r="EK34" s="17">
        <f>EJ34*VLOOKUP('Données projet'!$B$15,Paramètres!$A$1:$I$89,3,0)*VLOOKUP('Données projet'!$B$15,Paramètres!$A$1:$I$89,5,0)</f>
        <v>113.49935999999994</v>
      </c>
      <c r="EL34" s="13">
        <f t="shared" si="45"/>
        <v>30.153952354272999</v>
      </c>
      <c r="EM34" s="20">
        <f t="shared" si="19"/>
        <v>250.19618568369199</v>
      </c>
      <c r="EN34" s="59">
        <f t="shared" si="20"/>
        <v>521.14973076640865</v>
      </c>
      <c r="EO34" s="59">
        <f ca="1">AVERAGE(OFFSET($EN$3,0,0,'Données projet'!$E$15+1,1))-AVERAGE(OFFSET($H$3,0,0,'Données projet'!$E$15+1,1))</f>
        <v>338.59243085476896</v>
      </c>
      <c r="EP34" s="59">
        <f t="shared" si="46"/>
        <v>329.8393445823275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4.5582184231691816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4.5582184231691816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63.896421386195456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12.8</v>
      </c>
      <c r="FE34" s="12">
        <f>IF('Données projet'!$A$218&gt;35,FE33+FD34-FM33,IF(A34&lt;'Données projet'!$A$218,$FB$205^A34,IF(A34='Données projet'!$A$218,'Données projet'!$B$218,FE33+FD34-FM33)))</f>
        <v>154.79999999999993</v>
      </c>
      <c r="FF34" s="17">
        <f>FE34*VLOOKUP('Données projet'!$B$16,Paramètres!$A$1:$I$89,3,0)*VLOOKUP('Données projet'!$B$16,Paramètres!$A$1:$I$89,5,0)</f>
        <v>101.42495999999994</v>
      </c>
      <c r="FG34" s="13">
        <f t="shared" si="47"/>
        <v>27.301194562993881</v>
      </c>
      <c r="FH34" s="20">
        <f t="shared" si="22"/>
        <v>224.19805253054756</v>
      </c>
      <c r="FI34" s="59">
        <f t="shared" si="23"/>
        <v>495.15159761326424</v>
      </c>
      <c r="FJ34" s="59">
        <f ca="1">AVERAGE(OFFSET($FI$3,0,0,'Données projet'!$E$16+1,1))-AVERAGE(OFFSET($H$3,0,0,'Données projet'!$E$16+1,1))</f>
        <v>307.50573770128085</v>
      </c>
      <c r="FK34" s="59">
        <f t="shared" si="48"/>
        <v>300.2007312562655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4.0733015696405461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4.0733015696405461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63.896421386195456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12.8</v>
      </c>
      <c r="FZ34" s="12">
        <f>IF('Données projet'!$A$244&gt;35,FZ33+FY34-GH33,IF(A34&lt;'Données projet'!$A$244,$FW$205^A34,IF(A34='Données projet'!$A$244,'Données projet'!$B$244,FZ33+FY34-GH33)))</f>
        <v>154.79999999999993</v>
      </c>
      <c r="GA34" s="17">
        <f>FZ34*VLOOKUP('Données projet'!$B$17,Paramètres!$A$1:$I$89,3,0)*VLOOKUP('Données projet'!$B$17,Paramètres!$A$1:$I$89,5,0)</f>
        <v>125.57375999999995</v>
      </c>
      <c r="GB34" s="13">
        <f t="shared" si="49"/>
        <v>32.97153235129214</v>
      </c>
      <c r="GC34" s="20">
        <f t="shared" si="25"/>
        <v>276.13305084516702</v>
      </c>
      <c r="GD34" s="59">
        <f t="shared" si="26"/>
        <v>547.08659592788376</v>
      </c>
      <c r="GE34" s="59">
        <f ca="1">AVERAGE(OFFSET($GD$3,0,0,'Données projet'!$E$17+1,1))-AVERAGE(OFFSET($H$3,0,0,'Données projet'!$E$17+1,1))</f>
        <v>369.60865427618342</v>
      </c>
      <c r="GF34" s="59">
        <f t="shared" si="50"/>
        <v>359.40898775279197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5.0431352766978197</v>
      </c>
      <c r="GM34" s="21">
        <f>EXP(-LN(2)/25)*GM33+(1-EXP(-LN(2)/25))/(LN(2)/25)*Calculateur!GH34*Calculateur!GJ34*VLOOKUP('Données projet'!$B$17,Paramètres!$A$1:$I$89,3,0)*0.475*44/12</f>
        <v>0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5.0431352766978197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63.896421386195456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10.8</v>
      </c>
      <c r="GU34" s="12">
        <f>IF('Données projet'!$A$270&gt;35,GU33+GT34-HC33,IF(A34&lt;'Données projet'!$A$270,$GR$205^A34,IF(A34='Données projet'!$A$270,'Données projet'!$B$270,GU33+GT34-HC33)))</f>
        <v>128.79999999999998</v>
      </c>
      <c r="GV34" s="17">
        <f>GU34*VLOOKUP('Données projet'!$B$18,Paramètres!$A$1:$I$89,3,0)*VLOOKUP('Données projet'!$B$18,Paramètres!$A$1:$I$89,5,0)</f>
        <v>84.389759999999981</v>
      </c>
      <c r="GW34" s="13">
        <f t="shared" si="51"/>
        <v>23.207143598424498</v>
      </c>
      <c r="GX34" s="20">
        <f t="shared" si="28"/>
        <v>187.3979404339226</v>
      </c>
      <c r="GY34" s="59">
        <f t="shared" si="29"/>
        <v>458.35148551663929</v>
      </c>
      <c r="GZ34" s="59">
        <f ca="1">AVERAGE(OFFSET($GY$3,0,0,'Données projet'!$E$18+1,1))-AVERAGE(OFFSET($H$3,0,0,'Données projet'!$E$18+1,1))</f>
        <v>262.62914256200031</v>
      </c>
      <c r="HA34" s="59">
        <f t="shared" si="52"/>
        <v>256.45129229594409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>
        <f>EXP(-LN(2)/35)*HG33+(1-EXP(-LN(2)/35))/(LN(2)/35)*HC34*HD34*VLOOKUP('Données projet'!$B$18,Paramètres!$A$1:$I$89,3,0)*0.475*44/12</f>
        <v>1.709923278394667</v>
      </c>
      <c r="HH34" s="21">
        <f>EXP(-LN(2)/25)*HH33+(1-EXP(-LN(2)/25))/(LN(2)/25)*Calculateur!HC34*Calculateur!HE34*VLOOKUP('Données projet'!$B$18,Paramètres!$A$1:$I$89,3,0)*0.475*44/12</f>
        <v>0</v>
      </c>
      <c r="HI34" s="21">
        <f>EXP(-LN(2)/2)*HI33+(1-EXP(-LN(2)/2))/(LN(2)/2)*HC34*HF34*VLOOKUP('Données projet'!$B$18,Paramètres!$A$1:$I$89,3,0)*0.475*44/12</f>
        <v>0</v>
      </c>
      <c r="HJ34" s="22">
        <f t="shared" si="30"/>
        <v>1.709923278394667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2.1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7.7</v>
      </c>
      <c r="H35" s="67">
        <f t="shared" si="1"/>
        <v>225.86666666666665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64.002304829587445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10.199999999999999</v>
      </c>
      <c r="N35" s="13">
        <f>IF('Données projet'!$A$36&gt;35,N34+M35-V34,IF(A35&lt;'Données projet'!$A$36,$K$205^A35,IF(A35='Données projet'!$A$36,'Données projet'!$B$36,N34+M35-V34)))</f>
        <v>108.40000000000003</v>
      </c>
      <c r="O35" s="13">
        <f>N35*VLOOKUP('Données projet'!$B$9,Paramètres!$A$1:$I$89,3,0)*VLOOKUP('Données projet'!$B$9,Paramètres!$A$1:$I$89,5,0)</f>
        <v>93.00720000000004</v>
      </c>
      <c r="P35" s="13">
        <f t="shared" si="33"/>
        <v>25.289096064617418</v>
      </c>
      <c r="Q35" s="20">
        <f t="shared" ref="Q35:Q66" si="53">(O35+P35)*0.475*44/12</f>
        <v>206.03271564587536</v>
      </c>
      <c r="R35" s="59">
        <f t="shared" si="0"/>
        <v>477.37450002102935</v>
      </c>
      <c r="S35" s="59">
        <f ca="1">AVERAGE(OFFSET($R$3,0,0,'Données projet'!$E$9+1,1))-AVERAGE(OFFSET($H$3,0,0,'Données projet'!$E$9+1,1))</f>
        <v>476.79071915271794</v>
      </c>
      <c r="T35" s="59">
        <f t="shared" si="34"/>
        <v>264.79929759351762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64.002304829587445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</v>
      </c>
      <c r="AI35" s="13">
        <f>IF('Données projet'!$A$62&gt;35,AI34+AH35-AQ34,IF(A35&lt;'Données projet'!$A$62,$AF$205^A35,IF(A35='Données projet'!$A$62,'Données projet'!$B$62,AI34+AH35-AQ34)))</f>
        <v>92.000000000000028</v>
      </c>
      <c r="AJ35" s="13">
        <f>AI35*VLOOKUP('Données projet'!$B$10,Paramètres!$A$1:$I$89,3,0)*VLOOKUP('Données projet'!$B$10,Paramètres!$A$1:$I$89,5,0)</f>
        <v>77.500800000000041</v>
      </c>
      <c r="AK35" s="13">
        <f t="shared" si="35"/>
        <v>21.524992579009275</v>
      </c>
      <c r="AL35" s="20">
        <f t="shared" si="4"/>
        <v>172.46992207510789</v>
      </c>
      <c r="AM35" s="59">
        <f t="shared" si="5"/>
        <v>443.81170645026185</v>
      </c>
      <c r="AN35" s="59">
        <f ca="1">AVERAGE(OFFSET($AM$3,0,0,'Données projet'!$E$10+1,1))-AVERAGE(OFFSET($H$3,0,0,'Données projet'!$E$10+1,1))</f>
        <v>365.104658862176</v>
      </c>
      <c r="AO35" s="59">
        <f t="shared" si="36"/>
        <v>226.29232910286325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64.002304829587445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8</v>
      </c>
      <c r="BD35" s="12">
        <f>IF('Données projet'!$A$88&gt;35,BD34+BC35-BL34,IF(A35&lt;'Données projet'!$A$88,$BA$205^A35,IF(A35='Données projet'!$A$88,'Données projet'!$B$88,BD34+BC35-BL34)))</f>
        <v>92.000000000000028</v>
      </c>
      <c r="BE35" s="13">
        <f>BD35*VLOOKUP('Données projet'!$B$11,Paramètres!$A$1:$I$89,3,0)*VLOOKUP('Données projet'!$B$11,Paramètres!$A$1:$I$89,5,0)</f>
        <v>83.24160000000002</v>
      </c>
      <c r="BF35" s="13">
        <f t="shared" si="37"/>
        <v>22.927930643846508</v>
      </c>
      <c r="BG35" s="20">
        <f t="shared" si="7"/>
        <v>184.91193253803272</v>
      </c>
      <c r="BH35" s="59">
        <f t="shared" si="8"/>
        <v>456.25371691318668</v>
      </c>
      <c r="BI35" s="59">
        <f ca="1">AVERAGE(OFFSET($BH$3,0,0,'Données projet'!$E$11+1,1))-AVERAGE(OFFSET($H$3,0,0,'Données projet'!$E$11+1,1))</f>
        <v>388.12494342575195</v>
      </c>
      <c r="BJ35" s="59">
        <f t="shared" si="38"/>
        <v>239.39471445648454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64.002304829587445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8</v>
      </c>
      <c r="BY35" s="12">
        <f>IF('Données projet'!$A$114&gt;35,BY34+BX35-CG34,IF(A35&lt;'Données projet'!$A$114,$BV$205^A35,IF(A35='Données projet'!$A$114,'Données projet'!$B$114,BY34+BX35-CG34)))</f>
        <v>92.000000000000028</v>
      </c>
      <c r="BZ35" s="13">
        <f>BY35*VLOOKUP('Données projet'!$B$12,Paramètres!$A$1:$I$89,3,0)*VLOOKUP('Données projet'!$B$12,Paramètres!$A$1:$I$89,5,0)</f>
        <v>93.288000000000025</v>
      </c>
      <c r="CA35" s="13">
        <f t="shared" si="39"/>
        <v>25.356547829040977</v>
      </c>
      <c r="CB35" s="20">
        <f t="shared" si="10"/>
        <v>206.63925413557971</v>
      </c>
      <c r="CC35" s="59">
        <f t="shared" si="11"/>
        <v>477.9810385107337</v>
      </c>
      <c r="CD35" s="59">
        <f ca="1">AVERAGE(OFFSET($CC$3,0,0,'Données projet'!$E$12+1,1))-AVERAGE(OFFSET($H$3,0,0,'Données projet'!$E$12+1,1))</f>
        <v>428.33148932885132</v>
      </c>
      <c r="CE35" s="59">
        <f t="shared" si="40"/>
        <v>262.27548054534373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64.002304829587445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5</v>
      </c>
      <c r="CT35" s="12">
        <f>IF('Données projet'!$A$140&gt;35,CT34+CS35-DB34,IF(A35&lt;'Données projet'!$A$140,$CQ$205^A35,IF(A35='Données projet'!$A$140,'Données projet'!$B$140,CT34+CS35-DB34)))</f>
        <v>63.999999999999986</v>
      </c>
      <c r="CU35" s="17">
        <f>CT35*VLOOKUP('Données projet'!$B$13,Paramètres!$A$1:$I$89,3,0)*VLOOKUP('Données projet'!$B$13,Paramètres!$A$1:$I$89,5,0)</f>
        <v>60.902399999999993</v>
      </c>
      <c r="CV35" s="13">
        <f t="shared" si="41"/>
        <v>17.396225443744882</v>
      </c>
      <c r="CW35" s="20">
        <f t="shared" si="13"/>
        <v>136.37010598118897</v>
      </c>
      <c r="CX35" s="59">
        <f t="shared" si="14"/>
        <v>407.71189035634291</v>
      </c>
      <c r="CY35" s="59">
        <f ca="1">AVERAGE(OFFSET($CX$3,0,0,'Données projet'!$E$13+1,1))-AVERAGE(OFFSET($H$3,0,0,'Données projet'!$E$13+1,1))</f>
        <v>307.62549820830162</v>
      </c>
      <c r="CZ35" s="59">
        <f t="shared" si="42"/>
        <v>160.26466014910304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64.002304829587445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10.8</v>
      </c>
      <c r="DO35" s="12">
        <f>IF('Données projet'!$A$166&gt;35,DO34+DN35-DW34,IF(A35&lt;'Données projet'!$A$166,$DL$205^A35,IF(A35='Données projet'!$A$166,'Données projet'!$B$166,DO34+DN35-DW34)))</f>
        <v>139.6</v>
      </c>
      <c r="DP35" s="17">
        <f>DO35*VLOOKUP('Données projet'!$B$14,Paramètres!$A$1:$I$89,3,0)*VLOOKUP('Données projet'!$B$14,Paramètres!$A$1:$I$89,5,0)</f>
        <v>111.06576</v>
      </c>
      <c r="DQ35" s="13">
        <f t="shared" si="43"/>
        <v>29.581944857062648</v>
      </c>
      <c r="DR35" s="20">
        <f t="shared" si="16"/>
        <v>244.96141929271744</v>
      </c>
      <c r="DS35" s="59">
        <f t="shared" si="17"/>
        <v>516.30320366787146</v>
      </c>
      <c r="DT35" s="59">
        <f ca="1">AVERAGE(OFFSET($DS$3,0,0,'Données projet'!$E$14+1,1))-AVERAGE(OFFSET($H$3,0,0,'Données projet'!$E$14+1,1))</f>
        <v>309.14579005132464</v>
      </c>
      <c r="DU35" s="59">
        <f t="shared" si="44"/>
        <v>300.60311050289533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2.5090196777339924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2.5090196777339924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64.002304829587445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12.8</v>
      </c>
      <c r="EJ35" s="12">
        <f>IF('Données projet'!$A$192&gt;35,EJ34+EI35-ER34,IF(A35&lt;'Données projet'!$A$192,$EG$205^A35,IF(A35='Données projet'!$A$192,'Données projet'!$B$192,EJ34+EI35-ER34)))</f>
        <v>167.59999999999994</v>
      </c>
      <c r="EK35" s="17">
        <f>EJ35*VLOOKUP('Données projet'!$B$15,Paramètres!$A$1:$I$89,3,0)*VLOOKUP('Données projet'!$B$15,Paramètres!$A$1:$I$89,5,0)</f>
        <v>122.88431999999995</v>
      </c>
      <c r="EL35" s="13">
        <f t="shared" si="45"/>
        <v>32.346786815026803</v>
      </c>
      <c r="EM35" s="20">
        <f t="shared" si="19"/>
        <v>270.36084436950489</v>
      </c>
      <c r="EN35" s="59">
        <f t="shared" si="20"/>
        <v>541.7026287446588</v>
      </c>
      <c r="EO35" s="59">
        <f ca="1">AVERAGE(OFFSET($EN$3,0,0,'Données projet'!$E$15+1,1))-AVERAGE(OFFSET($H$3,0,0,'Données projet'!$E$15+1,1))</f>
        <v>338.59243085476896</v>
      </c>
      <c r="EP35" s="59">
        <f t="shared" si="46"/>
        <v>329.8393445823275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4.4688345401295466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4.4688345401295466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64.002304829587445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12.8</v>
      </c>
      <c r="FE35" s="12">
        <f>IF('Données projet'!$A$218&gt;35,FE34+FD35-FM34,IF(A35&lt;'Données projet'!$A$218,$FB$205^A35,IF(A35='Données projet'!$A$218,'Données projet'!$B$218,FE34+FD35-FM34)))</f>
        <v>167.59999999999994</v>
      </c>
      <c r="FF35" s="17">
        <f>FE35*VLOOKUP('Données projet'!$B$16,Paramètres!$A$1:$I$89,3,0)*VLOOKUP('Données projet'!$B$16,Paramètres!$A$1:$I$89,5,0)</f>
        <v>109.81151999999996</v>
      </c>
      <c r="FG35" s="13">
        <f t="shared" si="47"/>
        <v>29.286572783205639</v>
      </c>
      <c r="FH35" s="20">
        <f t="shared" si="22"/>
        <v>242.26251159741642</v>
      </c>
      <c r="FI35" s="59">
        <f t="shared" si="23"/>
        <v>513.60429597257041</v>
      </c>
      <c r="FJ35" s="59">
        <f ca="1">AVERAGE(OFFSET($FI$3,0,0,'Données projet'!$E$16+1,1))-AVERAGE(OFFSET($H$3,0,0,'Données projet'!$E$16+1,1))</f>
        <v>307.50573770128085</v>
      </c>
      <c r="FK35" s="59">
        <f t="shared" si="48"/>
        <v>300.2007312562655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3.9934266103285316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3.9934266103285316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64.002304829587445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12.8</v>
      </c>
      <c r="FZ35" s="12">
        <f>IF('Données projet'!$A$244&gt;35,FZ34+FY35-GH34,IF(A35&lt;'Données projet'!$A$244,$FW$205^A35,IF(A35='Données projet'!$A$244,'Données projet'!$B$244,FZ34+FY35-GH34)))</f>
        <v>167.59999999999994</v>
      </c>
      <c r="GA35" s="17">
        <f>FZ35*VLOOKUP('Données projet'!$B$17,Paramètres!$A$1:$I$89,3,0)*VLOOKUP('Données projet'!$B$17,Paramètres!$A$1:$I$89,5,0)</f>
        <v>135.95711999999997</v>
      </c>
      <c r="GB35" s="13">
        <f t="shared" si="49"/>
        <v>35.369264877838596</v>
      </c>
      <c r="GC35" s="20">
        <f t="shared" si="25"/>
        <v>298.39345366223546</v>
      </c>
      <c r="GD35" s="59">
        <f t="shared" si="26"/>
        <v>569.73523803738942</v>
      </c>
      <c r="GE35" s="59">
        <f ca="1">AVERAGE(OFFSET($GD$3,0,0,'Données projet'!$E$17+1,1))-AVERAGE(OFFSET($H$3,0,0,'Données projet'!$E$17+1,1))</f>
        <v>369.60865427618342</v>
      </c>
      <c r="GF35" s="59">
        <f t="shared" si="50"/>
        <v>359.40898775279197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4.9442424699305638</v>
      </c>
      <c r="GM35" s="21">
        <f>EXP(-LN(2)/25)*GM34+(1-EXP(-LN(2)/25))/(LN(2)/25)*Calculateur!GH35*Calculateur!GJ35*VLOOKUP('Données projet'!$B$17,Paramètres!$A$1:$I$89,3,0)*0.475*44/12</f>
        <v>0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4.9442424699305638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64.002304829587445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10.8</v>
      </c>
      <c r="GU35" s="12">
        <f>IF('Données projet'!$A$270&gt;35,GU34+GT35-HC34,IF(A35&lt;'Données projet'!$A$270,$GR$205^A35,IF(A35='Données projet'!$A$270,'Données projet'!$B$270,GU34+GT35-HC34)))</f>
        <v>139.6</v>
      </c>
      <c r="GV35" s="17">
        <f>GU35*VLOOKUP('Données projet'!$B$18,Paramètres!$A$1:$I$89,3,0)*VLOOKUP('Données projet'!$B$18,Paramètres!$A$1:$I$89,5,0)</f>
        <v>91.465919999999997</v>
      </c>
      <c r="GW35" s="13">
        <f t="shared" si="51"/>
        <v>24.918436466018196</v>
      </c>
      <c r="GX35" s="20">
        <f t="shared" si="28"/>
        <v>202.70275417831499</v>
      </c>
      <c r="GY35" s="59">
        <f t="shared" si="29"/>
        <v>474.04453855346895</v>
      </c>
      <c r="GZ35" s="59">
        <f ca="1">AVERAGE(OFFSET($GY$3,0,0,'Données projet'!$E$18+1,1))-AVERAGE(OFFSET($H$3,0,0,'Données projet'!$E$18+1,1))</f>
        <v>262.62914256200031</v>
      </c>
      <c r="HA35" s="59">
        <f t="shared" si="52"/>
        <v>256.45129229594409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projet'!$B$18,Paramètres!$A$1:$I$89,3,0)*0.475*44/12</f>
        <v>1.6763927258555646</v>
      </c>
      <c r="HH35" s="21">
        <f>EXP(-LN(2)/25)*HH34+(1-EXP(-LN(2)/25))/(LN(2)/25)*Calculateur!HC35*Calculateur!HE35*VLOOKUP('Données projet'!$B$18,Paramètres!$A$1:$I$89,3,0)*0.475*44/12</f>
        <v>0</v>
      </c>
      <c r="HI35" s="21">
        <f>EXP(-LN(2)/2)*HI34+(1-EXP(-LN(2)/2))/(LN(2)/2)*HC35*HF35*VLOOKUP('Données projet'!$B$18,Paramètres!$A$1:$I$89,3,0)*0.475*44/12</f>
        <v>0</v>
      </c>
      <c r="HJ35" s="22">
        <f t="shared" si="30"/>
        <v>1.6763927258555646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2.1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7.7</v>
      </c>
      <c r="H36" s="67">
        <f t="shared" si="1"/>
        <v>225.86666666666665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64.106351431956483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10.199999999999999</v>
      </c>
      <c r="N36" s="13">
        <f>IF('Données projet'!$A$36&gt;35,N35+M36-V35,IF(A36&lt;'Données projet'!$A$36,$K$205^A36,IF(A36='Données projet'!$A$36,'Données projet'!$B$36,N35+M36-V35)))</f>
        <v>118.60000000000004</v>
      </c>
      <c r="O36" s="13">
        <f>N36*VLOOKUP('Données projet'!$B$9,Paramètres!$A$1:$I$89,3,0)*VLOOKUP('Données projet'!$B$9,Paramètres!$A$1:$I$89,5,0)</f>
        <v>101.75880000000005</v>
      </c>
      <c r="P36" s="13">
        <f t="shared" si="33"/>
        <v>27.380581268956313</v>
      </c>
      <c r="Q36" s="20">
        <f t="shared" si="53"/>
        <v>224.91775571009896</v>
      </c>
      <c r="R36" s="59">
        <f t="shared" si="0"/>
        <v>496.64104429393939</v>
      </c>
      <c r="S36" s="59">
        <f ca="1">AVERAGE(OFFSET($R$3,0,0,'Données projet'!$E$9+1,1))-AVERAGE(OFFSET($H$3,0,0,'Données projet'!$E$9+1,1))</f>
        <v>476.79071915271794</v>
      </c>
      <c r="T36" s="59">
        <f t="shared" si="34"/>
        <v>264.79929759351762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64.106351431956483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</v>
      </c>
      <c r="AI36" s="13">
        <f>IF('Données projet'!$A$62&gt;35,AI35+AH36-AQ35,IF(A36&lt;'Données projet'!$A$62,$AF$205^A36,IF(A36='Données projet'!$A$62,'Données projet'!$B$62,AI35+AH36-AQ35)))</f>
        <v>100.00000000000003</v>
      </c>
      <c r="AJ36" s="13">
        <f>AI36*VLOOKUP('Données projet'!$B$10,Paramètres!$A$1:$I$89,3,0)*VLOOKUP('Données projet'!$B$10,Paramètres!$A$1:$I$89,5,0)</f>
        <v>84.240000000000038</v>
      </c>
      <c r="AK36" s="13">
        <f t="shared" si="35"/>
        <v>23.170749718409478</v>
      </c>
      <c r="AL36" s="20">
        <f t="shared" si="4"/>
        <v>187.07372242622989</v>
      </c>
      <c r="AM36" s="59">
        <f t="shared" si="5"/>
        <v>458.79701101007032</v>
      </c>
      <c r="AN36" s="59">
        <f ca="1">AVERAGE(OFFSET($AM$3,0,0,'Données projet'!$E$10+1,1))-AVERAGE(OFFSET($H$3,0,0,'Données projet'!$E$10+1,1))</f>
        <v>365.104658862176</v>
      </c>
      <c r="AO36" s="59">
        <f t="shared" si="36"/>
        <v>226.29232910286325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64.106351431956483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8</v>
      </c>
      <c r="BD36" s="12">
        <f>IF('Données projet'!$A$88&gt;35,BD35+BC36-BL35,IF(A36&lt;'Données projet'!$A$88,$BA$205^A36,IF(A36='Données projet'!$A$88,'Données projet'!$B$88,BD35+BC36-BL35)))</f>
        <v>100.00000000000003</v>
      </c>
      <c r="BE36" s="13">
        <f>BD36*VLOOKUP('Données projet'!$B$11,Paramètres!$A$1:$I$89,3,0)*VLOOKUP('Données projet'!$B$11,Paramètres!$A$1:$I$89,5,0)</f>
        <v>90.480000000000018</v>
      </c>
      <c r="BF36" s="13">
        <f t="shared" si="37"/>
        <v>24.680953573367994</v>
      </c>
      <c r="BG36" s="20">
        <f t="shared" si="7"/>
        <v>200.57199414028261</v>
      </c>
      <c r="BH36" s="59">
        <f t="shared" si="8"/>
        <v>472.29528272412301</v>
      </c>
      <c r="BI36" s="59">
        <f ca="1">AVERAGE(OFFSET($BH$3,0,0,'Données projet'!$E$11+1,1))-AVERAGE(OFFSET($H$3,0,0,'Données projet'!$E$11+1,1))</f>
        <v>388.12494342575195</v>
      </c>
      <c r="BJ36" s="59">
        <f t="shared" si="38"/>
        <v>239.39471445648454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64.106351431956483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8</v>
      </c>
      <c r="BY36" s="12">
        <f>IF('Données projet'!$A$114&gt;35,BY35+BX36-CG35,IF(A36&lt;'Données projet'!$A$114,$BV$205^A36,IF(A36='Données projet'!$A$114,'Données projet'!$B$114,BY35+BX36-CG35)))</f>
        <v>100.00000000000003</v>
      </c>
      <c r="BZ36" s="13">
        <f>BY36*VLOOKUP('Données projet'!$B$12,Paramètres!$A$1:$I$89,3,0)*VLOOKUP('Données projet'!$B$12,Paramètres!$A$1:$I$89,5,0)</f>
        <v>101.40000000000002</v>
      </c>
      <c r="CA36" s="13">
        <f t="shared" si="39"/>
        <v>27.295257887453797</v>
      </c>
      <c r="CB36" s="20">
        <f t="shared" si="10"/>
        <v>224.14424082064872</v>
      </c>
      <c r="CC36" s="59">
        <f t="shared" si="11"/>
        <v>495.86752940448912</v>
      </c>
      <c r="CD36" s="59">
        <f ca="1">AVERAGE(OFFSET($CC$3,0,0,'Données projet'!$E$12+1,1))-AVERAGE(OFFSET($H$3,0,0,'Données projet'!$E$12+1,1))</f>
        <v>428.33148932885132</v>
      </c>
      <c r="CE36" s="59">
        <f t="shared" si="40"/>
        <v>262.27548054534373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64.106351431956483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5</v>
      </c>
      <c r="CT36" s="12">
        <f>IF('Données projet'!$A$140&gt;35,CT35+CS36-DB35,IF(A36&lt;'Données projet'!$A$140,$CQ$205^A36,IF(A36='Données projet'!$A$140,'Données projet'!$B$140,CT35+CS36-DB35)))</f>
        <v>68.999999999999986</v>
      </c>
      <c r="CU36" s="17">
        <f>CT36*VLOOKUP('Données projet'!$B$13,Paramètres!$A$1:$I$89,3,0)*VLOOKUP('Données projet'!$B$13,Paramètres!$A$1:$I$89,5,0)</f>
        <v>65.660399999999981</v>
      </c>
      <c r="CV36" s="13">
        <f t="shared" si="41"/>
        <v>18.591800852927584</v>
      </c>
      <c r="CW36" s="20">
        <f t="shared" si="13"/>
        <v>146.73924981884883</v>
      </c>
      <c r="CX36" s="59">
        <f t="shared" si="14"/>
        <v>418.46253840268923</v>
      </c>
      <c r="CY36" s="59">
        <f ca="1">AVERAGE(OFFSET($CX$3,0,0,'Données projet'!$E$13+1,1))-AVERAGE(OFFSET($H$3,0,0,'Données projet'!$E$13+1,1))</f>
        <v>307.62549820830162</v>
      </c>
      <c r="CZ36" s="59">
        <f t="shared" si="42"/>
        <v>160.26466014910304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64.106351431956483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10.8</v>
      </c>
      <c r="DO36" s="12">
        <f>IF('Données projet'!$A$166&gt;35,DO35+DN36-DW35,IF(A36&lt;'Données projet'!$A$166,$DL$205^A36,IF(A36='Données projet'!$A$166,'Données projet'!$B$166,DO35+DN36-DW35)))</f>
        <v>150.4</v>
      </c>
      <c r="DP36" s="17">
        <f>DO36*VLOOKUP('Données projet'!$B$14,Paramètres!$A$1:$I$89,3,0)*VLOOKUP('Données projet'!$B$14,Paramètres!$A$1:$I$89,5,0)</f>
        <v>119.65824000000002</v>
      </c>
      <c r="DQ36" s="13">
        <f t="shared" si="43"/>
        <v>31.595276160231336</v>
      </c>
      <c r="DR36" s="20">
        <f t="shared" si="16"/>
        <v>263.43320731240294</v>
      </c>
      <c r="DS36" s="59">
        <f t="shared" si="17"/>
        <v>535.15649589624331</v>
      </c>
      <c r="DT36" s="59">
        <f ca="1">AVERAGE(OFFSET($DS$3,0,0,'Données projet'!$E$14+1,1))-AVERAGE(OFFSET($H$3,0,0,'Données projet'!$E$14+1,1))</f>
        <v>309.14579005132464</v>
      </c>
      <c r="DU36" s="59">
        <f t="shared" si="44"/>
        <v>300.60311050289533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2.4598193322045225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2.4598193322045225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64.106351431956483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12.8</v>
      </c>
      <c r="EJ36" s="12">
        <f>IF('Données projet'!$A$192&gt;35,EJ35+EI36-ER35,IF(A36&lt;'Données projet'!$A$192,$EG$205^A36,IF(A36='Données projet'!$A$192,'Données projet'!$B$192,EJ35+EI36-ER35)))</f>
        <v>180.39999999999995</v>
      </c>
      <c r="EK36" s="17">
        <f>EJ36*VLOOKUP('Données projet'!$B$15,Paramètres!$A$1:$I$89,3,0)*VLOOKUP('Données projet'!$B$15,Paramètres!$A$1:$I$89,5,0)</f>
        <v>132.26927999999995</v>
      </c>
      <c r="EL36" s="13">
        <f t="shared" si="45"/>
        <v>34.520194019648734</v>
      </c>
      <c r="EM36" s="20">
        <f t="shared" si="19"/>
        <v>290.4916672508881</v>
      </c>
      <c r="EN36" s="59">
        <f t="shared" si="20"/>
        <v>562.21495583472847</v>
      </c>
      <c r="EO36" s="59">
        <f ca="1">AVERAGE(OFFSET($EN$3,0,0,'Données projet'!$E$15+1,1))-AVERAGE(OFFSET($H$3,0,0,'Données projet'!$E$15+1,1))</f>
        <v>338.59243085476896</v>
      </c>
      <c r="EP36" s="59">
        <f t="shared" si="46"/>
        <v>329.8393445823275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4.381203420517533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4.381203420517533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64.106351431956483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12.8</v>
      </c>
      <c r="FE36" s="12">
        <f>IF('Données projet'!$A$218&gt;35,FE35+FD36-FM35,IF(A36&lt;'Données projet'!$A$218,$FB$205^A36,IF(A36='Données projet'!$A$218,'Données projet'!$B$218,FE35+FD36-FM35)))</f>
        <v>180.39999999999995</v>
      </c>
      <c r="FF36" s="17">
        <f>FE36*VLOOKUP('Données projet'!$B$16,Paramètres!$A$1:$I$89,3,0)*VLOOKUP('Données projet'!$B$16,Paramètres!$A$1:$I$89,5,0)</f>
        <v>118.19807999999996</v>
      </c>
      <c r="FG36" s="13">
        <f t="shared" si="47"/>
        <v>31.254361690638479</v>
      </c>
      <c r="FH36" s="20">
        <f t="shared" si="22"/>
        <v>260.29633594452861</v>
      </c>
      <c r="FI36" s="59">
        <f t="shared" si="23"/>
        <v>532.01962452836904</v>
      </c>
      <c r="FJ36" s="59">
        <f ca="1">AVERAGE(OFFSET($FI$3,0,0,'Données projet'!$E$16+1,1))-AVERAGE(OFFSET($H$3,0,0,'Données projet'!$E$16+1,1))</f>
        <v>307.50573770128085</v>
      </c>
      <c r="FK36" s="59">
        <f t="shared" si="48"/>
        <v>300.2007312562655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3.9151179502497113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3.9151179502497113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64.106351431956483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12.8</v>
      </c>
      <c r="FZ36" s="12">
        <f>IF('Données projet'!$A$244&gt;35,FZ35+FY36-GH35,IF(A36&lt;'Données projet'!$A$244,$FW$205^A36,IF(A36='Données projet'!$A$244,'Données projet'!$B$244,FZ35+FY36-GH35)))</f>
        <v>180.39999999999995</v>
      </c>
      <c r="GA36" s="17">
        <f>FZ36*VLOOKUP('Données projet'!$B$17,Paramètres!$A$1:$I$89,3,0)*VLOOKUP('Données projet'!$B$17,Paramètres!$A$1:$I$89,5,0)</f>
        <v>146.34047999999999</v>
      </c>
      <c r="GB36" s="13">
        <f t="shared" si="49"/>
        <v>37.745754868861937</v>
      </c>
      <c r="GC36" s="20">
        <f t="shared" si="25"/>
        <v>320.6168590632679</v>
      </c>
      <c r="GD36" s="59">
        <f t="shared" si="26"/>
        <v>592.34014764710832</v>
      </c>
      <c r="GE36" s="59">
        <f ca="1">AVERAGE(OFFSET($GD$3,0,0,'Données projet'!$E$17+1,1))-AVERAGE(OFFSET($H$3,0,0,'Données projet'!$E$17+1,1))</f>
        <v>369.60865427618342</v>
      </c>
      <c r="GF36" s="59">
        <f t="shared" si="50"/>
        <v>359.40898775279197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4.8472888907853573</v>
      </c>
      <c r="GM36" s="21">
        <f>EXP(-LN(2)/25)*GM35+(1-EXP(-LN(2)/25))/(LN(2)/25)*Calculateur!GH36*Calculateur!GJ36*VLOOKUP('Données projet'!$B$17,Paramètres!$A$1:$I$89,3,0)*0.475*44/12</f>
        <v>0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4.8472888907853573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64.106351431956483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10.8</v>
      </c>
      <c r="GU36" s="12">
        <f>IF('Données projet'!$A$270&gt;35,GU35+GT36-HC35,IF(A36&lt;'Données projet'!$A$270,$GR$205^A36,IF(A36='Données projet'!$A$270,'Données projet'!$B$270,GU35+GT36-HC35)))</f>
        <v>150.4</v>
      </c>
      <c r="GV36" s="17">
        <f>GU36*VLOOKUP('Données projet'!$B$18,Paramètres!$A$1:$I$89,3,0)*VLOOKUP('Données projet'!$B$18,Paramètres!$A$1:$I$89,5,0)</f>
        <v>98.542079999999999</v>
      </c>
      <c r="GW36" s="13">
        <f t="shared" si="51"/>
        <v>26.614371888975242</v>
      </c>
      <c r="GX36" s="20">
        <f t="shared" si="28"/>
        <v>217.98082037329854</v>
      </c>
      <c r="GY36" s="59">
        <f t="shared" si="29"/>
        <v>489.70410895713894</v>
      </c>
      <c r="GZ36" s="59">
        <f ca="1">AVERAGE(OFFSET($GY$3,0,0,'Données projet'!$E$18+1,1))-AVERAGE(OFFSET($H$3,0,0,'Données projet'!$E$18+1,1))</f>
        <v>262.62914256200031</v>
      </c>
      <c r="HA36" s="59">
        <f t="shared" si="52"/>
        <v>256.45129229594409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projet'!$B$18,Paramètres!$A$1:$I$89,3,0)*0.475*44/12</f>
        <v>1.6435196870001365</v>
      </c>
      <c r="HH36" s="21">
        <f>EXP(-LN(2)/25)*HH35+(1-EXP(-LN(2)/25))/(LN(2)/25)*Calculateur!HC36*Calculateur!HE36*VLOOKUP('Données projet'!$B$18,Paramètres!$A$1:$I$89,3,0)*0.475*44/12</f>
        <v>0</v>
      </c>
      <c r="HI36" s="21">
        <f>EXP(-LN(2)/2)*HI35+(1-EXP(-LN(2)/2))/(LN(2)/2)*HC36*HF36*VLOOKUP('Données projet'!$B$18,Paramètres!$A$1:$I$89,3,0)*0.475*44/12</f>
        <v>0</v>
      </c>
      <c r="HJ36" s="22">
        <f t="shared" si="30"/>
        <v>1.6435196870001365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2.1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7.7</v>
      </c>
      <c r="H37" s="67">
        <f t="shared" si="1"/>
        <v>225.86666666666665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64.208593058387777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10.199999999999999</v>
      </c>
      <c r="N37" s="13">
        <f>IF('Données projet'!$A$36&gt;35,N36+M37-V36,IF(A37&lt;'Données projet'!$A$36,$K$205^A37,IF(A37='Données projet'!$A$36,'Données projet'!$B$36,N36+M37-V36)))</f>
        <v>128.80000000000004</v>
      </c>
      <c r="O37" s="13">
        <f>N37*VLOOKUP('Données projet'!$B$9,Paramètres!$A$1:$I$89,3,0)*VLOOKUP('Données projet'!$B$9,Paramètres!$A$1:$I$89,5,0)</f>
        <v>110.51040000000005</v>
      </c>
      <c r="P37" s="13">
        <f t="shared" si="33"/>
        <v>29.451206375056412</v>
      </c>
      <c r="Q37" s="20">
        <f t="shared" si="53"/>
        <v>243.76646443655662</v>
      </c>
      <c r="R37" s="59">
        <f t="shared" si="0"/>
        <v>515.86463898397847</v>
      </c>
      <c r="S37" s="59">
        <f ca="1">AVERAGE(OFFSET($R$3,0,0,'Données projet'!$E$9+1,1))-AVERAGE(OFFSET($H$3,0,0,'Données projet'!$E$9+1,1))</f>
        <v>476.79071915271794</v>
      </c>
      <c r="T37" s="59">
        <f t="shared" si="34"/>
        <v>264.79929759351762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64.208593058387777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</v>
      </c>
      <c r="AI37" s="13">
        <f>IF('Données projet'!$A$62&gt;35,AI36+AH37-AQ36,IF(A37&lt;'Données projet'!$A$62,$AF$205^A37,IF(A37='Données projet'!$A$62,'Données projet'!$B$62,AI36+AH37-AQ36)))</f>
        <v>108.00000000000003</v>
      </c>
      <c r="AJ37" s="13">
        <f>AI37*VLOOKUP('Données projet'!$B$10,Paramètres!$A$1:$I$89,3,0)*VLOOKUP('Données projet'!$B$10,Paramètres!$A$1:$I$89,5,0)</f>
        <v>90.979200000000034</v>
      </c>
      <c r="AK37" s="13">
        <f t="shared" si="35"/>
        <v>24.801235516871511</v>
      </c>
      <c r="AL37" s="20">
        <f t="shared" si="4"/>
        <v>201.65092519188462</v>
      </c>
      <c r="AM37" s="59">
        <f t="shared" si="5"/>
        <v>473.74909973930642</v>
      </c>
      <c r="AN37" s="59">
        <f ca="1">AVERAGE(OFFSET($AM$3,0,0,'Données projet'!$E$10+1,1))-AVERAGE(OFFSET($H$3,0,0,'Données projet'!$E$10+1,1))</f>
        <v>365.104658862176</v>
      </c>
      <c r="AO37" s="59">
        <f t="shared" si="36"/>
        <v>226.29232910286325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64.208593058387777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8</v>
      </c>
      <c r="BD37" s="12">
        <f>IF('Données projet'!$A$88&gt;35,BD36+BC37-BL36,IF(A37&lt;'Données projet'!$A$88,$BA$205^A37,IF(A37='Données projet'!$A$88,'Données projet'!$B$88,BD36+BC37-BL36)))</f>
        <v>108.00000000000003</v>
      </c>
      <c r="BE37" s="13">
        <f>BD37*VLOOKUP('Données projet'!$B$11,Paramètres!$A$1:$I$89,3,0)*VLOOKUP('Données projet'!$B$11,Paramètres!$A$1:$I$89,5,0)</f>
        <v>97.718400000000031</v>
      </c>
      <c r="BF37" s="13">
        <f t="shared" si="37"/>
        <v>26.417709819192194</v>
      </c>
      <c r="BG37" s="20">
        <f t="shared" si="7"/>
        <v>216.20372460175977</v>
      </c>
      <c r="BH37" s="59">
        <f t="shared" si="8"/>
        <v>488.30189914918162</v>
      </c>
      <c r="BI37" s="59">
        <f ca="1">AVERAGE(OFFSET($BH$3,0,0,'Données projet'!$E$11+1,1))-AVERAGE(OFFSET($H$3,0,0,'Données projet'!$E$11+1,1))</f>
        <v>388.12494342575195</v>
      </c>
      <c r="BJ37" s="59">
        <f t="shared" si="38"/>
        <v>239.39471445648454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64.208593058387777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8</v>
      </c>
      <c r="BY37" s="12">
        <f>IF('Données projet'!$A$114&gt;35,BY36+BX37-CG36,IF(A37&lt;'Données projet'!$A$114,$BV$205^A37,IF(A37='Données projet'!$A$114,'Données projet'!$B$114,BY36+BX37-CG36)))</f>
        <v>108.00000000000003</v>
      </c>
      <c r="BZ37" s="13">
        <f>BY37*VLOOKUP('Données projet'!$B$12,Paramètres!$A$1:$I$89,3,0)*VLOOKUP('Données projet'!$B$12,Paramètres!$A$1:$I$89,5,0)</f>
        <v>109.51200000000003</v>
      </c>
      <c r="CA37" s="13">
        <f t="shared" si="39"/>
        <v>29.215978230632555</v>
      </c>
      <c r="CB37" s="20">
        <f t="shared" si="10"/>
        <v>241.61789541835174</v>
      </c>
      <c r="CC37" s="59">
        <f t="shared" si="11"/>
        <v>513.71606996577361</v>
      </c>
      <c r="CD37" s="59">
        <f ca="1">AVERAGE(OFFSET($CC$3,0,0,'Données projet'!$E$12+1,1))-AVERAGE(OFFSET($H$3,0,0,'Données projet'!$E$12+1,1))</f>
        <v>428.33148932885132</v>
      </c>
      <c r="CE37" s="59">
        <f t="shared" si="40"/>
        <v>262.27548054534373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64.208593058387777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5</v>
      </c>
      <c r="CT37" s="12">
        <f>IF('Données projet'!$A$140&gt;35,CT36+CS37-DB36,IF(A37&lt;'Données projet'!$A$140,$CQ$205^A37,IF(A37='Données projet'!$A$140,'Données projet'!$B$140,CT36+CS37-DB36)))</f>
        <v>73.999999999999986</v>
      </c>
      <c r="CU37" s="17">
        <f>CT37*VLOOKUP('Données projet'!$B$13,Paramètres!$A$1:$I$89,3,0)*VLOOKUP('Données projet'!$B$13,Paramètres!$A$1:$I$89,5,0)</f>
        <v>70.418399999999991</v>
      </c>
      <c r="CV37" s="13">
        <f t="shared" si="41"/>
        <v>19.777324972922738</v>
      </c>
      <c r="CW37" s="20">
        <f t="shared" si="13"/>
        <v>157.09088766117375</v>
      </c>
      <c r="CX37" s="59">
        <f t="shared" si="14"/>
        <v>429.1890622085956</v>
      </c>
      <c r="CY37" s="59">
        <f ca="1">AVERAGE(OFFSET($CX$3,0,0,'Données projet'!$E$13+1,1))-AVERAGE(OFFSET($H$3,0,0,'Données projet'!$E$13+1,1))</f>
        <v>307.62549820830162</v>
      </c>
      <c r="CZ37" s="59">
        <f t="shared" si="42"/>
        <v>160.26466014910304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64.208593058387777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10.8</v>
      </c>
      <c r="DO37" s="12">
        <f>IF('Données projet'!$A$166&gt;35,DO36+DN37-DW36,IF(A37&lt;'Données projet'!$A$166,$DL$205^A37,IF(A37='Données projet'!$A$166,'Données projet'!$B$166,DO36+DN37-DW36)))</f>
        <v>161.20000000000002</v>
      </c>
      <c r="DP37" s="17">
        <f>DO37*VLOOKUP('Données projet'!$B$14,Paramètres!$A$1:$I$89,3,0)*VLOOKUP('Données projet'!$B$14,Paramètres!$A$1:$I$89,5,0)</f>
        <v>128.25072</v>
      </c>
      <c r="DQ37" s="13">
        <f t="shared" si="43"/>
        <v>33.591833937449593</v>
      </c>
      <c r="DR37" s="20">
        <f t="shared" si="16"/>
        <v>281.875781441058</v>
      </c>
      <c r="DS37" s="59">
        <f t="shared" si="17"/>
        <v>553.97395598847982</v>
      </c>
      <c r="DT37" s="59">
        <f ca="1">AVERAGE(OFFSET($DS$3,0,0,'Données projet'!$E$14+1,1))-AVERAGE(OFFSET($H$3,0,0,'Données projet'!$E$14+1,1))</f>
        <v>309.14579005132464</v>
      </c>
      <c r="DU37" s="59">
        <f t="shared" si="44"/>
        <v>300.60311050289533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2.4115837754416383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2.4115837754416383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64.208593058387777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12.8</v>
      </c>
      <c r="EJ37" s="12">
        <f>IF('Données projet'!$A$192&gt;35,EJ36+EI37-ER36,IF(A37&lt;'Données projet'!$A$192,$EG$205^A37,IF(A37='Données projet'!$A$192,'Données projet'!$B$192,EJ36+EI37-ER36)))</f>
        <v>193.19999999999996</v>
      </c>
      <c r="EK37" s="17">
        <f>EJ37*VLOOKUP('Données projet'!$B$15,Paramètres!$A$1:$I$89,3,0)*VLOOKUP('Données projet'!$B$15,Paramètres!$A$1:$I$89,5,0)</f>
        <v>141.65423999999996</v>
      </c>
      <c r="EL37" s="13">
        <f t="shared" si="45"/>
        <v>36.675709178601934</v>
      </c>
      <c r="EM37" s="20">
        <f t="shared" si="19"/>
        <v>310.59132815273165</v>
      </c>
      <c r="EN37" s="59">
        <f t="shared" si="20"/>
        <v>582.68950270015353</v>
      </c>
      <c r="EO37" s="59">
        <f ca="1">AVERAGE(OFFSET($EN$3,0,0,'Données projet'!$E$15+1,1))-AVERAGE(OFFSET($H$3,0,0,'Données projet'!$E$15+1,1))</f>
        <v>338.59243085476896</v>
      </c>
      <c r="EP37" s="59">
        <f t="shared" si="46"/>
        <v>329.8393445823275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4.2952906937114061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4.2952906937114061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64.208593058387777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12.8</v>
      </c>
      <c r="FE37" s="12">
        <f>IF('Données projet'!$A$218&gt;35,FE36+FD37-FM36,IF(A37&lt;'Données projet'!$A$218,$FB$205^A37,IF(A37='Données projet'!$A$218,'Données projet'!$B$218,FE36+FD37-FM36)))</f>
        <v>193.19999999999996</v>
      </c>
      <c r="FF37" s="17">
        <f>FE37*VLOOKUP('Données projet'!$B$16,Paramètres!$A$1:$I$89,3,0)*VLOOKUP('Données projet'!$B$16,Paramètres!$A$1:$I$89,5,0)</f>
        <v>126.58463999999996</v>
      </c>
      <c r="FG37" s="13">
        <f t="shared" si="47"/>
        <v>33.205951254973805</v>
      </c>
      <c r="FH37" s="20">
        <f t="shared" si="22"/>
        <v>278.301946435746</v>
      </c>
      <c r="FI37" s="59">
        <f t="shared" si="23"/>
        <v>550.40012098316788</v>
      </c>
      <c r="FJ37" s="59">
        <f ca="1">AVERAGE(OFFSET($FI$3,0,0,'Données projet'!$E$16+1,1))-AVERAGE(OFFSET($H$3,0,0,'Données projet'!$E$16+1,1))</f>
        <v>307.50573770128085</v>
      </c>
      <c r="FK37" s="59">
        <f t="shared" si="48"/>
        <v>300.2007312562655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3.8383448752314702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3.8383448752314702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64.208593058387777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12.8</v>
      </c>
      <c r="FZ37" s="12">
        <f>IF('Données projet'!$A$244&gt;35,FZ36+FY37-GH36,IF(A37&lt;'Données projet'!$A$244,$FW$205^A37,IF(A37='Données projet'!$A$244,'Données projet'!$B$244,FZ36+FY37-GH36)))</f>
        <v>193.19999999999996</v>
      </c>
      <c r="GA37" s="17">
        <f>FZ37*VLOOKUP('Données projet'!$B$17,Paramètres!$A$1:$I$89,3,0)*VLOOKUP('Données projet'!$B$17,Paramètres!$A$1:$I$89,5,0)</f>
        <v>156.72383999999997</v>
      </c>
      <c r="GB37" s="13">
        <f t="shared" si="49"/>
        <v>40.102680984620484</v>
      </c>
      <c r="GC37" s="20">
        <f t="shared" si="25"/>
        <v>342.80619071488059</v>
      </c>
      <c r="GD37" s="59">
        <f t="shared" si="26"/>
        <v>614.90436526230246</v>
      </c>
      <c r="GE37" s="59">
        <f ca="1">AVERAGE(OFFSET($GD$3,0,0,'Données projet'!$E$17+1,1))-AVERAGE(OFFSET($H$3,0,0,'Données projet'!$E$17+1,1))</f>
        <v>369.60865427618342</v>
      </c>
      <c r="GF37" s="59">
        <f t="shared" si="50"/>
        <v>359.40898775279197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4.7522365121913444</v>
      </c>
      <c r="GM37" s="21">
        <f>EXP(-LN(2)/25)*GM36+(1-EXP(-LN(2)/25))/(LN(2)/25)*Calculateur!GH37*Calculateur!GJ37*VLOOKUP('Données projet'!$B$17,Paramètres!$A$1:$I$89,3,0)*0.475*44/12</f>
        <v>0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4.7522365121913444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64.208593058387777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10.8</v>
      </c>
      <c r="GU37" s="12">
        <f>IF('Données projet'!$A$270&gt;35,GU36+GT37-HC36,IF(A37&lt;'Données projet'!$A$270,$GR$205^A37,IF(A37='Données projet'!$A$270,'Données projet'!$B$270,GU36+GT37-HC36)))</f>
        <v>161.20000000000002</v>
      </c>
      <c r="GV37" s="17">
        <f>GU37*VLOOKUP('Données projet'!$B$18,Paramètres!$A$1:$I$89,3,0)*VLOOKUP('Données projet'!$B$18,Paramètres!$A$1:$I$89,5,0)</f>
        <v>105.61824000000001</v>
      </c>
      <c r="GW37" s="13">
        <f t="shared" si="51"/>
        <v>28.296178084029062</v>
      </c>
      <c r="GX37" s="20">
        <f t="shared" si="28"/>
        <v>233.23427816301728</v>
      </c>
      <c r="GY37" s="59">
        <f t="shared" si="29"/>
        <v>505.3324527104391</v>
      </c>
      <c r="GZ37" s="59">
        <f ca="1">AVERAGE(OFFSET($GY$3,0,0,'Données projet'!$E$18+1,1))-AVERAGE(OFFSET($H$3,0,0,'Données projet'!$E$18+1,1))</f>
        <v>262.62914256200031</v>
      </c>
      <c r="HA37" s="59">
        <f t="shared" si="52"/>
        <v>256.45129229594409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projet'!$B$18,Paramètres!$A$1:$I$89,3,0)*0.475*44/12</f>
        <v>1.6112912683860894</v>
      </c>
      <c r="HH37" s="21">
        <f>EXP(-LN(2)/25)*HH36+(1-EXP(-LN(2)/25))/(LN(2)/25)*Calculateur!HC37*Calculateur!HE37*VLOOKUP('Données projet'!$B$18,Paramètres!$A$1:$I$89,3,0)*0.475*44/12</f>
        <v>0</v>
      </c>
      <c r="HI37" s="21">
        <f>EXP(-LN(2)/2)*HI36+(1-EXP(-LN(2)/2))/(LN(2)/2)*HC37*HF37*VLOOKUP('Données projet'!$B$18,Paramètres!$A$1:$I$89,3,0)*0.475*44/12</f>
        <v>0</v>
      </c>
      <c r="HJ37" s="22">
        <f t="shared" si="30"/>
        <v>1.6112912683860894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2.1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7.7</v>
      </c>
      <c r="H38" s="67">
        <f t="shared" si="1"/>
        <v>225.86666666666665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64.309061021178522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139</v>
      </c>
      <c r="L38" s="12">
        <f>VLOOKUP(A38,'Données projet'!$A$35:$I$55,9,0)</f>
        <v>10.199999999999999</v>
      </c>
      <c r="M38" s="12">
        <f t="array" ref="M38">INDEX(L:L,MIN(IF(ISNUMBER(L38:L234),ROW(L38:L234),"")))</f>
        <v>10.199999999999999</v>
      </c>
      <c r="N38" s="13">
        <f>IF('Données projet'!$A$36&gt;35,N37+M38-V37,IF(A38&lt;'Données projet'!$A$36,$K$205^A38,IF(A38='Données projet'!$A$36,'Données projet'!$B$36,N37+M38-V37)))</f>
        <v>139.00000000000003</v>
      </c>
      <c r="O38" s="13">
        <f>N38*VLOOKUP('Données projet'!$B$9,Paramètres!$A$1:$I$89,3,0)*VLOOKUP('Données projet'!$B$9,Paramètres!$A$1:$I$89,5,0)</f>
        <v>119.26200000000003</v>
      </c>
      <c r="P38" s="13">
        <f t="shared" si="33"/>
        <v>31.502811162802828</v>
      </c>
      <c r="Q38" s="20">
        <f t="shared" si="53"/>
        <v>262.58204610854824</v>
      </c>
      <c r="R38" s="59">
        <f t="shared" si="0"/>
        <v>535.04860318620285</v>
      </c>
      <c r="S38" s="59">
        <f ca="1">AVERAGE(OFFSET($R$3,0,0,'Données projet'!$E$9+1,1))-AVERAGE(OFFSET($H$3,0,0,'Données projet'!$E$9+1,1))</f>
        <v>476.79071915271794</v>
      </c>
      <c r="T38" s="59">
        <f t="shared" si="34"/>
        <v>264.79929759351762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28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64.309061021178522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116</v>
      </c>
      <c r="AG38" s="12">
        <f>VLOOKUP(A38,'Données projet'!$A$61:$I$81,9,0)</f>
        <v>8</v>
      </c>
      <c r="AH38" s="12">
        <f t="array" ref="AH38">INDEX(AG:AG,MIN(IF(ISNUMBER(AG38:AG234),ROW(AG38:AG234),"")))</f>
        <v>8</v>
      </c>
      <c r="AI38" s="13">
        <f>IF('Données projet'!$A$62&gt;35,AI37+AH38-AQ37,IF(A38&lt;'Données projet'!$A$62,$AF$205^A38,IF(A38='Données projet'!$A$62,'Données projet'!$B$62,AI37+AH38-AQ37)))</f>
        <v>116.00000000000003</v>
      </c>
      <c r="AJ38" s="13">
        <f>AI38*VLOOKUP('Données projet'!$B$10,Paramètres!$A$1:$I$89,3,0)*VLOOKUP('Données projet'!$B$10,Paramètres!$A$1:$I$89,5,0)</f>
        <v>97.718400000000031</v>
      </c>
      <c r="AK38" s="13">
        <f t="shared" si="35"/>
        <v>26.417709819192194</v>
      </c>
      <c r="AL38" s="20">
        <f t="shared" si="4"/>
        <v>216.20372460175977</v>
      </c>
      <c r="AM38" s="59">
        <f t="shared" si="5"/>
        <v>488.67028167941442</v>
      </c>
      <c r="AN38" s="59">
        <f ca="1">AVERAGE(OFFSET($AM$3,0,0,'Données projet'!$E$10+1,1))-AVERAGE(OFFSET($H$3,0,0,'Données projet'!$E$10+1,1))</f>
        <v>365.104658862176</v>
      </c>
      <c r="AO38" s="59">
        <f t="shared" si="36"/>
        <v>226.29232910286325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21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64.309061021178522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116</v>
      </c>
      <c r="BB38" s="12">
        <f>VLOOKUP(A38,'Données projet'!$A$87:$I$107,9,0)</f>
        <v>8</v>
      </c>
      <c r="BC38" s="12">
        <f t="array" ref="BC38">INDEX(BB:BB,MIN(IF(ISNUMBER(BB38:BB234),ROW(BB38:BB234),"")))</f>
        <v>8</v>
      </c>
      <c r="BD38" s="12">
        <f>IF('Données projet'!$A$88&gt;35,BD37+BC38-BL37,IF(A38&lt;'Données projet'!$A$88,$BA$205^A38,IF(A38='Données projet'!$A$88,'Données projet'!$B$88,BD37+BC38-BL37)))</f>
        <v>116.00000000000003</v>
      </c>
      <c r="BE38" s="13">
        <f>BD38*VLOOKUP('Données projet'!$B$11,Paramètres!$A$1:$I$89,3,0)*VLOOKUP('Données projet'!$B$11,Paramètres!$A$1:$I$89,5,0)</f>
        <v>104.95680000000003</v>
      </c>
      <c r="BF38" s="13">
        <f t="shared" si="37"/>
        <v>28.139541339232398</v>
      </c>
      <c r="BG38" s="20">
        <f t="shared" si="7"/>
        <v>231.80946116582979</v>
      </c>
      <c r="BH38" s="59">
        <f t="shared" si="8"/>
        <v>504.27601824348437</v>
      </c>
      <c r="BI38" s="59">
        <f ca="1">AVERAGE(OFFSET($BH$3,0,0,'Données projet'!$E$11+1,1))-AVERAGE(OFFSET($H$3,0,0,'Données projet'!$E$11+1,1))</f>
        <v>388.12494342575195</v>
      </c>
      <c r="BJ38" s="59">
        <f t="shared" si="38"/>
        <v>239.39471445648454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21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64.309061021178522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116</v>
      </c>
      <c r="BW38" s="12">
        <f>VLOOKUP(A38,'Données projet'!$A$113:$I$133,9,0)</f>
        <v>8</v>
      </c>
      <c r="BX38" s="12">
        <f t="array" ref="BX38">INDEX(BW:BW,MIN(IF(ISNUMBER(BW38:BW234),ROW(BW38:BW234),"")))</f>
        <v>8</v>
      </c>
      <c r="BY38" s="12">
        <f>IF('Données projet'!$A$114&gt;35,BY37+BX38-CG37,IF(A38&lt;'Données projet'!$A$114,$BV$205^A38,IF(A38='Données projet'!$A$114,'Données projet'!$B$114,BY37+BX38-CG37)))</f>
        <v>116.00000000000003</v>
      </c>
      <c r="BZ38" s="13">
        <f>BY38*VLOOKUP('Données projet'!$B$12,Paramètres!$A$1:$I$89,3,0)*VLOOKUP('Données projet'!$B$12,Paramètres!$A$1:$I$89,5,0)</f>
        <v>117.62400000000004</v>
      </c>
      <c r="CA38" s="13">
        <f t="shared" si="39"/>
        <v>31.120192961985413</v>
      </c>
      <c r="CB38" s="20">
        <f t="shared" si="10"/>
        <v>259.06280274212469</v>
      </c>
      <c r="CC38" s="59">
        <f t="shared" si="11"/>
        <v>531.5293598197793</v>
      </c>
      <c r="CD38" s="59">
        <f ca="1">AVERAGE(OFFSET($CC$3,0,0,'Données projet'!$E$12+1,1))-AVERAGE(OFFSET($H$3,0,0,'Données projet'!$E$12+1,1))</f>
        <v>428.33148932885132</v>
      </c>
      <c r="CE38" s="59">
        <f t="shared" si="40"/>
        <v>262.27548054534373</v>
      </c>
      <c r="CF38" s="15">
        <f>IF(ISNA(VLOOKUP(A38,'Données projet'!$A$113:$I$133,3,0)),0,VLOOKUP(A38,'Données projet'!$A$113:$I$133,3,0))</f>
        <v>4</v>
      </c>
      <c r="CG38" s="15">
        <f>IF(ISNA(VLOOKUP(A38,'Données projet'!$A$113:$I$133,4,0)),0,VLOOKUP(A38,'Données projet'!$A$113:$I$133,4,0))</f>
        <v>21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64.309061021178522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79</v>
      </c>
      <c r="CR38" s="12">
        <f>VLOOKUP(A38,'Données projet'!$A$139:$I$159,9,0)</f>
        <v>5</v>
      </c>
      <c r="CS38" s="12">
        <f t="array" ref="CS38">INDEX(CR:CR,MIN(IF(ISNUMBER(CR38:CR234),ROW(CR38:CR234),"")))</f>
        <v>5</v>
      </c>
      <c r="CT38" s="12">
        <f>IF('Données projet'!$A$140&gt;35,CT37+CS38-DB37,IF(A38&lt;'Données projet'!$A$140,$CQ$205^A38,IF(A38='Données projet'!$A$140,'Données projet'!$B$140,CT37+CS38-DB37)))</f>
        <v>78.999999999999986</v>
      </c>
      <c r="CU38" s="17">
        <f>CT38*VLOOKUP('Données projet'!$B$13,Paramètres!$A$1:$I$89,3,0)*VLOOKUP('Données projet'!$B$13,Paramètres!$A$1:$I$89,5,0)</f>
        <v>75.176399999999987</v>
      </c>
      <c r="CV38" s="13">
        <f t="shared" si="41"/>
        <v>20.95355421300528</v>
      </c>
      <c r="CW38" s="20">
        <f t="shared" si="13"/>
        <v>167.42633692098417</v>
      </c>
      <c r="CX38" s="59">
        <f t="shared" si="14"/>
        <v>439.89289399863878</v>
      </c>
      <c r="CY38" s="59">
        <f ca="1">AVERAGE(OFFSET($CX$3,0,0,'Données projet'!$E$13+1,1))-AVERAGE(OFFSET($H$3,0,0,'Données projet'!$E$13+1,1))</f>
        <v>307.62549820830162</v>
      </c>
      <c r="CZ38" s="59">
        <f t="shared" si="42"/>
        <v>160.26466014910304</v>
      </c>
      <c r="DA38" s="15">
        <f>IF(ISNA(VLOOKUP(A38,'Données projet'!$A$139:$I$159,3,0)),0,VLOOKUP(A38,'Données projet'!$A$139:$I$159,3,0))</f>
        <v>3</v>
      </c>
      <c r="DB38" s="15">
        <f>IF(ISNA(VLOOKUP(A38,'Données projet'!$A$139:$I$159,4,0)),0,VLOOKUP(A38,'Données projet'!$A$139:$I$159,4,0))</f>
        <v>13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64.309061021178522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172</v>
      </c>
      <c r="DM38" s="12">
        <f>VLOOKUP(A38,'Données projet'!$A$165:$I$185,9,0)</f>
        <v>10.8</v>
      </c>
      <c r="DN38" s="12">
        <f t="array" ref="DN38">INDEX(DM:DM,MIN(IF(ISNUMBER(DM38:DM234),ROW(DM38:DM234),"")))</f>
        <v>10.8</v>
      </c>
      <c r="DO38" s="12">
        <f>IF('Données projet'!$A$166&gt;35,DO37+DN38-DW37,IF(A38&lt;'Données projet'!$A$166,$DL$205^A38,IF(A38='Données projet'!$A$166,'Données projet'!$B$166,DO37+DN38-DW37)))</f>
        <v>172.00000000000003</v>
      </c>
      <c r="DP38" s="17">
        <f>DO38*VLOOKUP('Données projet'!$B$14,Paramètres!$A$1:$I$89,3,0)*VLOOKUP('Données projet'!$B$14,Paramètres!$A$1:$I$89,5,0)</f>
        <v>136.84320000000002</v>
      </c>
      <c r="DQ38" s="13">
        <f t="shared" si="43"/>
        <v>35.572869837729648</v>
      </c>
      <c r="DR38" s="20">
        <f t="shared" si="16"/>
        <v>300.2913216340458</v>
      </c>
      <c r="DS38" s="59">
        <f t="shared" si="17"/>
        <v>572.75787871170041</v>
      </c>
      <c r="DT38" s="59">
        <f ca="1">AVERAGE(OFFSET($DS$3,0,0,'Données projet'!$E$14+1,1))-AVERAGE(OFFSET($H$3,0,0,'Données projet'!$E$14+1,1))</f>
        <v>309.14579005132464</v>
      </c>
      <c r="DU38" s="59">
        <f t="shared" si="44"/>
        <v>300.60311050289533</v>
      </c>
      <c r="DV38" s="15">
        <f>IF(ISNA(VLOOKUP(A38,'Données projet'!$A$165:$I$185,3,0)),0,VLOOKUP(A38,'Données projet'!$A$165:$I$185,3,0))</f>
        <v>5</v>
      </c>
      <c r="DW38" s="15">
        <f>IF(ISNA(VLOOKUP(A38,'Données projet'!$A$165:$I$185,4,0)),0,VLOOKUP(A38,'Données projet'!$A$165:$I$185,4,0))</f>
        <v>28</v>
      </c>
      <c r="DX38" s="16">
        <f>IF(ISNA(VLOOKUP(A38,'Données projet'!$A$165:$I$185,5,0)),0%,VLOOKUP(A38,'Données projet'!$A$165:$I$185,5,0)*VLOOKUP('Données projet'!$B$14,Paramètres!$A$1:$I$89,7,0))</f>
        <v>0.10600000000000001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4.9746863989087293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4.9746863989087293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64.309061021178522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206</v>
      </c>
      <c r="EH38" s="12">
        <f>VLOOKUP(A38,'Données projet'!$A$191:$I$211,9,0)</f>
        <v>12.8</v>
      </c>
      <c r="EI38" s="12">
        <f t="array" ref="EI38">INDEX(EH:EH,MIN(IF(ISNUMBER(EH38:EH234),ROW(EH38:EH234),"")))</f>
        <v>12.8</v>
      </c>
      <c r="EJ38" s="12">
        <f>IF('Données projet'!$A$192&gt;35,EJ37+EI38-ER37,IF(A38&lt;'Données projet'!$A$192,$EG$205^A38,IF(A38='Données projet'!$A$192,'Données projet'!$B$192,EJ37+EI38-ER37)))</f>
        <v>205.99999999999997</v>
      </c>
      <c r="EK38" s="17">
        <f>EJ38*VLOOKUP('Données projet'!$B$15,Paramètres!$A$1:$I$89,3,0)*VLOOKUP('Données projet'!$B$15,Paramètres!$A$1:$I$89,5,0)</f>
        <v>151.03919999999997</v>
      </c>
      <c r="EL38" s="13">
        <f t="shared" si="45"/>
        <v>38.814652571726079</v>
      </c>
      <c r="EM38" s="20">
        <f t="shared" si="19"/>
        <v>330.66212656242288</v>
      </c>
      <c r="EN38" s="59">
        <f t="shared" si="20"/>
        <v>603.1286836400775</v>
      </c>
      <c r="EO38" s="59">
        <f ca="1">AVERAGE(OFFSET($EN$3,0,0,'Données projet'!$E$15+1,1))-AVERAGE(OFFSET($H$3,0,0,'Données projet'!$E$15+1,1))</f>
        <v>338.59243085476896</v>
      </c>
      <c r="EP38" s="59">
        <f t="shared" si="46"/>
        <v>329.8393445823275</v>
      </c>
      <c r="EQ38" s="15">
        <f>IF(ISNA(VLOOKUP(A38,'Données projet'!$A$191:$I$211,3,0)),0,VLOOKUP(A38,'Données projet'!$A$191:$I$211,3,0))</f>
        <v>6</v>
      </c>
      <c r="ER38" s="15">
        <f>IF(ISNA(VLOOKUP(A38,'Données projet'!$A$191:$I$211,4,0)),0,VLOOKUP(A38,'Données projet'!$A$191:$I$211,4,0))</f>
        <v>35</v>
      </c>
      <c r="ES38" s="16">
        <f>IF(ISNA(VLOOKUP(A38,'Données projet'!$A$191:$I$211,5,0)),0%,VLOOKUP(A38,'Données projet'!$A$191:$I$211,5,0)*VLOOKUP('Données projet'!$B$15,Paramètres!$A$1:$I$89,7,0))</f>
        <v>8.6000000000000007E-2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6.6507606187197714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6.6507606187197714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64.309061021178522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206</v>
      </c>
      <c r="FC38" s="12">
        <f>VLOOKUP(A38,'Données projet'!$A$217:$I$237,9,0)</f>
        <v>12.8</v>
      </c>
      <c r="FD38" s="12">
        <f t="array" ref="FD38">INDEX(FC:FC,MIN(IF(ISNUMBER(FC38:FC234),ROW(FC38:FC234),"")))</f>
        <v>12.8</v>
      </c>
      <c r="FE38" s="12">
        <f>IF('Données projet'!$A$218&gt;35,FE37+FD38-FM37,IF(A38&lt;'Données projet'!$A$218,$FB$205^A38,IF(A38='Données projet'!$A$218,'Données projet'!$B$218,FE37+FD38-FM37)))</f>
        <v>205.99999999999997</v>
      </c>
      <c r="FF38" s="17">
        <f>FE38*VLOOKUP('Données projet'!$B$16,Paramètres!$A$1:$I$89,3,0)*VLOOKUP('Données projet'!$B$16,Paramètres!$A$1:$I$89,5,0)</f>
        <v>134.97119999999998</v>
      </c>
      <c r="FG38" s="13">
        <f t="shared" si="47"/>
        <v>35.142536849088657</v>
      </c>
      <c r="FH38" s="20">
        <f t="shared" si="22"/>
        <v>296.28142501216269</v>
      </c>
      <c r="FI38" s="59">
        <f t="shared" si="23"/>
        <v>568.74798208981724</v>
      </c>
      <c r="FJ38" s="59">
        <f ca="1">AVERAGE(OFFSET($FI$3,0,0,'Données projet'!$E$16+1,1))-AVERAGE(OFFSET($H$3,0,0,'Données projet'!$E$16+1,1))</f>
        <v>307.50573770128085</v>
      </c>
      <c r="FK38" s="59">
        <f t="shared" si="48"/>
        <v>300.2007312562655</v>
      </c>
      <c r="FL38" s="15">
        <f>IF(ISNA(VLOOKUP(A38,'Données projet'!$A$217:$I$237,3,0)),0,VLOOKUP(A38,'Données projet'!$A$217:$I$237,3,0))</f>
        <v>6</v>
      </c>
      <c r="FM38" s="15">
        <f>IF(ISNA(VLOOKUP(A38,'Données projet'!$A$217:$I$237,4,0)),0,VLOOKUP(A38,'Données projet'!$A$217:$I$237,4,0))</f>
        <v>35</v>
      </c>
      <c r="FN38" s="16">
        <f>IF(ISNA(VLOOKUP(A38,'Données projet'!$A$217:$I$237,5,0)),0%,VLOOKUP(A38,'Données projet'!$A$217:$I$237,5,0)*VLOOKUP('Données projet'!$B$16,Paramètres!$A$1:$I$89,7,0))</f>
        <v>8.6000000000000007E-2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5.9432328933240512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5.9432328933240512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64.309061021178522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>
        <f>VLOOKUP(A38,'Données projet'!$A$243:$I$263,2,0)</f>
        <v>206</v>
      </c>
      <c r="FX38" s="12">
        <f>VLOOKUP(A38,'Données projet'!$A$243:$I$263,9,0)</f>
        <v>12.8</v>
      </c>
      <c r="FY38" s="12">
        <f t="array" ref="FY38">INDEX(FX:FX,MIN(IF(ISNUMBER(FX38:FX234),ROW(FX38:FX234),"")))</f>
        <v>12.8</v>
      </c>
      <c r="FZ38" s="12">
        <f>IF('Données projet'!$A$244&gt;35,FZ37+FY38-GH37,IF(A38&lt;'Données projet'!$A$244,$FW$205^A38,IF(A38='Données projet'!$A$244,'Données projet'!$B$244,FZ37+FY38-GH37)))</f>
        <v>205.99999999999997</v>
      </c>
      <c r="GA38" s="17">
        <f>FZ38*VLOOKUP('Données projet'!$B$17,Paramètres!$A$1:$I$89,3,0)*VLOOKUP('Données projet'!$B$17,Paramètres!$A$1:$I$89,5,0)</f>
        <v>167.10719999999998</v>
      </c>
      <c r="GB38" s="13">
        <f t="shared" si="49"/>
        <v>42.44148687166966</v>
      </c>
      <c r="GC38" s="20">
        <f t="shared" si="25"/>
        <v>364.96396296815789</v>
      </c>
      <c r="GD38" s="59">
        <f t="shared" si="26"/>
        <v>637.4305200458125</v>
      </c>
      <c r="GE38" s="59">
        <f ca="1">AVERAGE(OFFSET($GD$3,0,0,'Données projet'!$E$17+1,1))-AVERAGE(OFFSET($H$3,0,0,'Données projet'!$E$17+1,1))</f>
        <v>369.60865427618342</v>
      </c>
      <c r="GF38" s="59">
        <f t="shared" si="50"/>
        <v>359.40898775279197</v>
      </c>
      <c r="GG38" s="15">
        <f>IF(ISNA(VLOOKUP(A38,'Données projet'!$A$243:$I$263,3,0)),0,VLOOKUP(A38,'Données projet'!$A$243:$I$263,3,0))</f>
        <v>6</v>
      </c>
      <c r="GH38" s="15">
        <f>IF(ISNA(VLOOKUP(A38,'Données projet'!$A$243:$I$263,4,0)),0,VLOOKUP(A38,'Données projet'!$A$243:$I$263,4,0))</f>
        <v>35</v>
      </c>
      <c r="GI38" s="16">
        <f>IF(ISNA(VLOOKUP(A38,'Données projet'!$A$243:$I$263,5,0)),0%,VLOOKUP(A38,'Données projet'!$A$243:$I$263,5,0)*VLOOKUP('Données projet'!$B$17,Paramètres!$A$1:$I$89,7,0))</f>
        <v>8.6000000000000007E-2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7.3582883441154934</v>
      </c>
      <c r="GM38" s="21">
        <f>EXP(-LN(2)/25)*GM37+(1-EXP(-LN(2)/25))/(LN(2)/25)*Calculateur!GH38*Calculateur!GJ38*VLOOKUP('Données projet'!$B$17,Paramètres!$A$1:$I$89,3,0)*0.475*44/12</f>
        <v>0</v>
      </c>
      <c r="GN38" s="21">
        <f>EXP(-LN(2)/2)*GN37+(1-EXP(-LN(2)/2))/(LN(2)/2)*GH38*GK38*VLOOKUP('Données projet'!$B$17,Paramètres!$A$1:$I$89,3,0)*0.475*44/12</f>
        <v>0</v>
      </c>
      <c r="GO38" s="21">
        <f t="shared" si="27"/>
        <v>7.3582883441154934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64.309061021178522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>
        <f>VLOOKUP(A38,'Données projet'!$A$269:$I$289,2,0)</f>
        <v>172</v>
      </c>
      <c r="GS38" s="12">
        <f>VLOOKUP(A38,'Données projet'!$A$269:$I$289,9,0)</f>
        <v>10.8</v>
      </c>
      <c r="GT38" s="12">
        <f t="array" ref="GT38">INDEX(GS:GS,MIN(IF(ISNUMBER(GS38:GS234),ROW(GS38:GS234),"")))</f>
        <v>10.8</v>
      </c>
      <c r="GU38" s="12">
        <f>IF('Données projet'!$A$270&gt;35,GU37+GT38-HC37,IF(A38&lt;'Données projet'!$A$270,$GR$205^A38,IF(A38='Données projet'!$A$270,'Données projet'!$B$270,GU37+GT38-HC37)))</f>
        <v>172.00000000000003</v>
      </c>
      <c r="GV38" s="17">
        <f>GU38*VLOOKUP('Données projet'!$B$18,Paramètres!$A$1:$I$89,3,0)*VLOOKUP('Données projet'!$B$18,Paramètres!$A$1:$I$89,5,0)</f>
        <v>112.69440000000002</v>
      </c>
      <c r="GW38" s="13">
        <f t="shared" si="51"/>
        <v>29.964909381330632</v>
      </c>
      <c r="GX38" s="20">
        <f t="shared" si="28"/>
        <v>248.46496383915087</v>
      </c>
      <c r="GY38" s="59">
        <f t="shared" si="29"/>
        <v>520.93152091680554</v>
      </c>
      <c r="GZ38" s="59">
        <f ca="1">AVERAGE(OFFSET($GY$3,0,0,'Données projet'!$E$18+1,1))-AVERAGE(OFFSET($H$3,0,0,'Données projet'!$E$18+1,1))</f>
        <v>262.62914256200031</v>
      </c>
      <c r="HA38" s="59">
        <f t="shared" si="52"/>
        <v>256.45129229594409</v>
      </c>
      <c r="HB38" s="15">
        <f>IF(ISNA(VLOOKUP(A38,'Données projet'!$A$269:$I$289,3,0)),0,VLOOKUP(A38,'Données projet'!$A$269:$I$289,3,0))</f>
        <v>5</v>
      </c>
      <c r="HC38" s="15">
        <f>IF(ISNA(VLOOKUP(A38,'Données projet'!$A$269:$I$289,4,0)),0,VLOOKUP(A38,'Données projet'!$A$269:$I$289,4,0))</f>
        <v>28</v>
      </c>
      <c r="HD38" s="16">
        <f>IF(ISNA(VLOOKUP(A38,'Données projet'!$A$269:$I$289,5,0)),0%,VLOOKUP(A38,'Données projet'!$A$269:$I$289,5,0)*VLOOKUP('Données projet'!$B$18,Paramètres!$A$1:$I$89,7,0))</f>
        <v>8.6000000000000007E-2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>
        <f>EXP(-LN(2)/35)*HG37+(1-EXP(-LN(2)/35))/(LN(2)/35)*HC38*HD38*VLOOKUP('Données projet'!$B$18,Paramètres!$A$1:$I$89,3,0)*0.475*44/12</f>
        <v>3.3238193253530026</v>
      </c>
      <c r="HH38" s="21">
        <f>EXP(-LN(2)/25)*HH37+(1-EXP(-LN(2)/25))/(LN(2)/25)*Calculateur!HC38*Calculateur!HE38*VLOOKUP('Données projet'!$B$18,Paramètres!$A$1:$I$89,3,0)*0.475*44/12</f>
        <v>0</v>
      </c>
      <c r="HI38" s="21">
        <f>EXP(-LN(2)/2)*HI37+(1-EXP(-LN(2)/2))/(LN(2)/2)*HC38*HF38*VLOOKUP('Données projet'!$B$18,Paramètres!$A$1:$I$89,3,0)*0.475*44/12</f>
        <v>0</v>
      </c>
      <c r="HJ38" s="22">
        <f t="shared" si="30"/>
        <v>3.3238193253530026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2.1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7.7</v>
      </c>
      <c r="H39" s="67">
        <f t="shared" si="1"/>
        <v>225.86666666666665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64.407786089427574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10.4</v>
      </c>
      <c r="N39" s="13">
        <f>IF('Données projet'!$A$36&gt;35,N38+M39-V38,IF(A39&lt;'Données projet'!$A$36,$K$205^A39,IF(A39='Données projet'!$A$36,'Données projet'!$B$36,N38+M39-V38)))</f>
        <v>121.40000000000003</v>
      </c>
      <c r="O39" s="13">
        <f>N39*VLOOKUP('Données projet'!$B$9,Paramètres!$A$1:$I$89,3,0)*VLOOKUP('Données projet'!$B$9,Paramètres!$A$1:$I$89,5,0)</f>
        <v>104.16120000000004</v>
      </c>
      <c r="P39" s="13">
        <f t="shared" si="33"/>
        <v>27.95098158074293</v>
      </c>
      <c r="Q39" s="20">
        <f t="shared" si="53"/>
        <v>230.09538291979402</v>
      </c>
      <c r="R39" s="59">
        <f t="shared" si="0"/>
        <v>502.92393191436179</v>
      </c>
      <c r="S39" s="59">
        <f ca="1">AVERAGE(OFFSET($R$3,0,0,'Données projet'!$E$9+1,1))-AVERAGE(OFFSET($H$3,0,0,'Données projet'!$E$9+1,1))</f>
        <v>476.79071915271794</v>
      </c>
      <c r="T39" s="59">
        <f t="shared" si="34"/>
        <v>264.79929759351762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64.407786089427574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8.4</v>
      </c>
      <c r="AI39" s="13">
        <f>IF('Données projet'!$A$62&gt;35,AI38+AH39-AQ38,IF(A39&lt;'Données projet'!$A$62,$AF$205^A39,IF(A39='Données projet'!$A$62,'Données projet'!$B$62,AI38+AH39-AQ38)))</f>
        <v>103.40000000000003</v>
      </c>
      <c r="AJ39" s="13">
        <f>AI39*VLOOKUP('Données projet'!$B$10,Paramètres!$A$1:$I$89,3,0)*VLOOKUP('Données projet'!$B$10,Paramètres!$A$1:$I$89,5,0)</f>
        <v>87.104160000000036</v>
      </c>
      <c r="AK39" s="13">
        <f t="shared" si="35"/>
        <v>23.865494318543401</v>
      </c>
      <c r="AL39" s="20">
        <f t="shared" si="4"/>
        <v>193.27214793812982</v>
      </c>
      <c r="AM39" s="59">
        <f t="shared" si="5"/>
        <v>466.10069693269759</v>
      </c>
      <c r="AN39" s="59">
        <f ca="1">AVERAGE(OFFSET($AM$3,0,0,'Données projet'!$E$10+1,1))-AVERAGE(OFFSET($H$3,0,0,'Données projet'!$E$10+1,1))</f>
        <v>365.104658862176</v>
      </c>
      <c r="AO39" s="59">
        <f t="shared" si="36"/>
        <v>226.29232910286325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64.407786089427574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8.4</v>
      </c>
      <c r="BD39" s="12">
        <f>IF('Données projet'!$A$88&gt;35,BD38+BC39-BL38,IF(A39&lt;'Données projet'!$A$88,$BA$205^A39,IF(A39='Données projet'!$A$88,'Données projet'!$B$88,BD38+BC39-BL38)))</f>
        <v>103.40000000000003</v>
      </c>
      <c r="BE39" s="13">
        <f>BD39*VLOOKUP('Données projet'!$B$11,Paramètres!$A$1:$I$89,3,0)*VLOOKUP('Données projet'!$B$11,Paramètres!$A$1:$I$89,5,0)</f>
        <v>93.556320000000028</v>
      </c>
      <c r="BF39" s="13">
        <f t="shared" si="37"/>
        <v>25.420979659258094</v>
      </c>
      <c r="BG39" s="20">
        <f t="shared" si="7"/>
        <v>207.21879690654123</v>
      </c>
      <c r="BH39" s="59">
        <f t="shared" si="8"/>
        <v>480.047345901109</v>
      </c>
      <c r="BI39" s="59">
        <f ca="1">AVERAGE(OFFSET($BH$3,0,0,'Données projet'!$E$11+1,1))-AVERAGE(OFFSET($H$3,0,0,'Données projet'!$E$11+1,1))</f>
        <v>388.12494342575195</v>
      </c>
      <c r="BJ39" s="59">
        <f t="shared" si="38"/>
        <v>239.39471445648454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64.407786089427574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8.4</v>
      </c>
      <c r="BY39" s="12">
        <f>IF('Données projet'!$A$114&gt;35,BY38+BX39-CG38,IF(A39&lt;'Données projet'!$A$114,$BV$205^A39,IF(A39='Données projet'!$A$114,'Données projet'!$B$114,BY38+BX39-CG38)))</f>
        <v>103.40000000000003</v>
      </c>
      <c r="BZ39" s="13">
        <f>BY39*VLOOKUP('Données projet'!$B$12,Paramètres!$A$1:$I$89,3,0)*VLOOKUP('Données projet'!$B$12,Paramètres!$A$1:$I$89,5,0)</f>
        <v>104.84760000000004</v>
      </c>
      <c r="CA39" s="13">
        <f t="shared" si="39"/>
        <v>28.113670466115643</v>
      </c>
      <c r="CB39" s="20">
        <f t="shared" si="10"/>
        <v>231.57421272848478</v>
      </c>
      <c r="CC39" s="59">
        <f t="shared" si="11"/>
        <v>504.40276172305255</v>
      </c>
      <c r="CD39" s="59">
        <f ca="1">AVERAGE(OFFSET($CC$3,0,0,'Données projet'!$E$12+1,1))-AVERAGE(OFFSET($H$3,0,0,'Données projet'!$E$12+1,1))</f>
        <v>428.33148932885132</v>
      </c>
      <c r="CE39" s="59">
        <f t="shared" si="40"/>
        <v>262.27548054534373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64.407786089427574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5.4</v>
      </c>
      <c r="CT39" s="12">
        <f>IF('Données projet'!$A$140&gt;35,CT38+CS39-DB38,IF(A39&lt;'Données projet'!$A$140,$CQ$205^A39,IF(A39='Données projet'!$A$140,'Données projet'!$B$140,CT38+CS39-DB38)))</f>
        <v>71.399999999999991</v>
      </c>
      <c r="CU39" s="17">
        <f>CT39*VLOOKUP('Données projet'!$B$13,Paramètres!$A$1:$I$89,3,0)*VLOOKUP('Données projet'!$B$13,Paramètres!$A$1:$I$89,5,0)</f>
        <v>67.944239999999994</v>
      </c>
      <c r="CV39" s="13">
        <f t="shared" si="41"/>
        <v>19.162057636242221</v>
      </c>
      <c r="CW39" s="20">
        <f t="shared" si="13"/>
        <v>151.71013504978851</v>
      </c>
      <c r="CX39" s="59">
        <f t="shared" si="14"/>
        <v>424.53868404435627</v>
      </c>
      <c r="CY39" s="59">
        <f ca="1">AVERAGE(OFFSET($CX$3,0,0,'Données projet'!$E$13+1,1))-AVERAGE(OFFSET($H$3,0,0,'Données projet'!$E$13+1,1))</f>
        <v>307.62549820830162</v>
      </c>
      <c r="CZ39" s="59">
        <f t="shared" si="42"/>
        <v>160.26466014910304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64.407786089427574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9.6</v>
      </c>
      <c r="DO39" s="12">
        <f>IF('Données projet'!$A$166&gt;35,DO38+DN39-DW38,IF(A39&lt;'Données projet'!$A$166,$DL$205^A39,IF(A39='Données projet'!$A$166,'Données projet'!$B$166,DO38+DN39-DW38)))</f>
        <v>153.60000000000002</v>
      </c>
      <c r="DP39" s="17">
        <f>DO39*VLOOKUP('Données projet'!$B$14,Paramètres!$A$1:$I$89,3,0)*VLOOKUP('Données projet'!$B$14,Paramètres!$A$1:$I$89,5,0)</f>
        <v>122.20416000000003</v>
      </c>
      <c r="DQ39" s="13">
        <f t="shared" si="43"/>
        <v>32.188537573102472</v>
      </c>
      <c r="DR39" s="20">
        <f t="shared" si="16"/>
        <v>268.90061493982017</v>
      </c>
      <c r="DS39" s="59">
        <f t="shared" si="17"/>
        <v>541.729163934388</v>
      </c>
      <c r="DT39" s="59">
        <f ca="1">AVERAGE(OFFSET($DS$3,0,0,'Données projet'!$E$14+1,1))-AVERAGE(OFFSET($H$3,0,0,'Données projet'!$E$14+1,1))</f>
        <v>309.14579005132464</v>
      </c>
      <c r="DU39" s="59">
        <f t="shared" si="44"/>
        <v>300.60311050289533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4.8771358328852239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4.8771358328852239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64.407786089427574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11.4</v>
      </c>
      <c r="EJ39" s="12">
        <f>IF('Données projet'!$A$192&gt;35,EJ38+EI39-ER38,IF(A39&lt;'Données projet'!$A$192,$EG$205^A39,IF(A39='Données projet'!$A$192,'Données projet'!$B$192,EJ38+EI39-ER38)))</f>
        <v>182.39999999999998</v>
      </c>
      <c r="EK39" s="17">
        <f>EJ39*VLOOKUP('Données projet'!$B$15,Paramètres!$A$1:$I$89,3,0)*VLOOKUP('Données projet'!$B$15,Paramètres!$A$1:$I$89,5,0)</f>
        <v>133.73567999999997</v>
      </c>
      <c r="EL39" s="13">
        <f t="shared" si="45"/>
        <v>34.858136849359212</v>
      </c>
      <c r="EM39" s="20">
        <f t="shared" si="19"/>
        <v>293.6342310126339</v>
      </c>
      <c r="EN39" s="59">
        <f t="shared" si="20"/>
        <v>566.46278000720167</v>
      </c>
      <c r="EO39" s="59">
        <f ca="1">AVERAGE(OFFSET($EN$3,0,0,'Données projet'!$E$15+1,1))-AVERAGE(OFFSET($H$3,0,0,'Données projet'!$E$15+1,1))</f>
        <v>338.59243085476896</v>
      </c>
      <c r="EP39" s="59">
        <f t="shared" si="46"/>
        <v>329.8393445823275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6.5203432595501019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6.5203432595501019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64.407786089427574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11.4</v>
      </c>
      <c r="FE39" s="12">
        <f>IF('Données projet'!$A$218&gt;35,FE38+FD39-FM38,IF(A39&lt;'Données projet'!$A$218,$FB$205^A39,IF(A39='Données projet'!$A$218,'Données projet'!$B$218,FE38+FD39-FM38)))</f>
        <v>182.39999999999998</v>
      </c>
      <c r="FF39" s="17">
        <f>FE39*VLOOKUP('Données projet'!$B$16,Paramètres!$A$1:$I$89,3,0)*VLOOKUP('Données projet'!$B$16,Paramètres!$A$1:$I$89,5,0)</f>
        <v>119.50847999999999</v>
      </c>
      <c r="FG39" s="13">
        <f t="shared" si="47"/>
        <v>31.560332955588962</v>
      </c>
      <c r="FH39" s="20">
        <f t="shared" si="22"/>
        <v>263.11151589765069</v>
      </c>
      <c r="FI39" s="59">
        <f t="shared" si="23"/>
        <v>535.94006489221852</v>
      </c>
      <c r="FJ39" s="59">
        <f ca="1">AVERAGE(OFFSET($FI$3,0,0,'Données projet'!$E$16+1,1))-AVERAGE(OFFSET($H$3,0,0,'Données projet'!$E$16+1,1))</f>
        <v>307.50573770128085</v>
      </c>
      <c r="FK39" s="59">
        <f t="shared" si="48"/>
        <v>300.2007312562655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5.8266897213000908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5.8266897213000908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64.407786089427574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11.4</v>
      </c>
      <c r="FZ39" s="12">
        <f>IF('Données projet'!$A$244&gt;35,FZ38+FY39-GH38,IF(A39&lt;'Données projet'!$A$244,$FW$205^A39,IF(A39='Données projet'!$A$244,'Données projet'!$B$244,FZ38+FY39-GH38)))</f>
        <v>182.39999999999998</v>
      </c>
      <c r="GA39" s="17">
        <f>FZ39*VLOOKUP('Données projet'!$B$17,Paramètres!$A$1:$I$89,3,0)*VLOOKUP('Données projet'!$B$17,Paramètres!$A$1:$I$89,5,0)</f>
        <v>147.96287999999998</v>
      </c>
      <c r="GB39" s="13">
        <f t="shared" si="49"/>
        <v>38.115275017059226</v>
      </c>
      <c r="GC39" s="20">
        <f t="shared" si="25"/>
        <v>324.08611998804474</v>
      </c>
      <c r="GD39" s="59">
        <f t="shared" si="26"/>
        <v>596.91466898261251</v>
      </c>
      <c r="GE39" s="59">
        <f ca="1">AVERAGE(OFFSET($GD$3,0,0,'Données projet'!$E$17+1,1))-AVERAGE(OFFSET($H$3,0,0,'Données projet'!$E$17+1,1))</f>
        <v>369.60865427618342</v>
      </c>
      <c r="GF39" s="59">
        <f t="shared" si="50"/>
        <v>359.40898775279197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7.2139967978001138</v>
      </c>
      <c r="GM39" s="21">
        <f>EXP(-LN(2)/25)*GM38+(1-EXP(-LN(2)/25))/(LN(2)/25)*Calculateur!GH39*Calculateur!GJ39*VLOOKUP('Données projet'!$B$17,Paramètres!$A$1:$I$89,3,0)*0.475*44/12</f>
        <v>0</v>
      </c>
      <c r="GN39" s="21">
        <f>EXP(-LN(2)/2)*GN38+(1-EXP(-LN(2)/2))/(LN(2)/2)*GH39*GK39*VLOOKUP('Données projet'!$B$17,Paramètres!$A$1:$I$89,3,0)*0.475*44/12</f>
        <v>0</v>
      </c>
      <c r="GO39" s="21">
        <f t="shared" si="27"/>
        <v>7.2139967978001138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64.407786089427574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9.6</v>
      </c>
      <c r="GU39" s="12">
        <f>IF('Données projet'!$A$270&gt;35,GU38+GT39-HC38,IF(A39&lt;'Données projet'!$A$270,$GR$205^A39,IF(A39='Données projet'!$A$270,'Données projet'!$B$270,GU38+GT39-HC38)))</f>
        <v>153.60000000000002</v>
      </c>
      <c r="GV39" s="17">
        <f>GU39*VLOOKUP('Données projet'!$B$18,Paramètres!$A$1:$I$89,3,0)*VLOOKUP('Données projet'!$B$18,Paramètres!$A$1:$I$89,5,0)</f>
        <v>100.63872000000001</v>
      </c>
      <c r="GW39" s="13">
        <f t="shared" si="51"/>
        <v>27.114107349094599</v>
      </c>
      <c r="GX39" s="20">
        <f t="shared" si="28"/>
        <v>222.50284096633973</v>
      </c>
      <c r="GY39" s="59">
        <f t="shared" si="29"/>
        <v>495.33138996090747</v>
      </c>
      <c r="GZ39" s="59">
        <f ca="1">AVERAGE(OFFSET($GY$3,0,0,'Données projet'!$E$18+1,1))-AVERAGE(OFFSET($H$3,0,0,'Données projet'!$E$18+1,1))</f>
        <v>262.62914256200031</v>
      </c>
      <c r="HA39" s="59">
        <f t="shared" si="52"/>
        <v>256.45129229594409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>
        <f>EXP(-LN(2)/35)*HG38+(1-EXP(-LN(2)/35))/(LN(2)/35)*HC39*HD39*VLOOKUP('Données projet'!$B$18,Paramètres!$A$1:$I$89,3,0)*0.475*44/12</f>
        <v>3.2586412557124365</v>
      </c>
      <c r="HH39" s="21">
        <f>EXP(-LN(2)/25)*HH38+(1-EXP(-LN(2)/25))/(LN(2)/25)*Calculateur!HC39*Calculateur!HE39*VLOOKUP('Données projet'!$B$18,Paramètres!$A$1:$I$89,3,0)*0.475*44/12</f>
        <v>0</v>
      </c>
      <c r="HI39" s="21">
        <f>EXP(-LN(2)/2)*HI38+(1-EXP(-LN(2)/2))/(LN(2)/2)*HC39*HF39*VLOOKUP('Données projet'!$B$18,Paramètres!$A$1:$I$89,3,0)*0.475*44/12</f>
        <v>0</v>
      </c>
      <c r="HJ39" s="22">
        <f t="shared" si="30"/>
        <v>3.2586412557124365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2.1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7.7</v>
      </c>
      <c r="H40" s="67">
        <f t="shared" si="1"/>
        <v>225.86666666666665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64.504798498458683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10.4</v>
      </c>
      <c r="N40" s="13">
        <f>IF('Données projet'!$A$36&gt;35,N39+M40-V39,IF(A40&lt;'Données projet'!$A$36,$K$205^A40,IF(A40='Données projet'!$A$36,'Données projet'!$B$36,N39+M40-V39)))</f>
        <v>131.80000000000004</v>
      </c>
      <c r="O40" s="13">
        <f>N40*VLOOKUP('Données projet'!$B$9,Paramètres!$A$1:$I$89,3,0)*VLOOKUP('Données projet'!$B$9,Paramètres!$A$1:$I$89,5,0)</f>
        <v>113.08440000000004</v>
      </c>
      <c r="P40" s="13">
        <f t="shared" si="33"/>
        <v>30.05651952806824</v>
      </c>
      <c r="Q40" s="20">
        <f t="shared" si="53"/>
        <v>249.30376817805222</v>
      </c>
      <c r="R40" s="59">
        <f t="shared" si="0"/>
        <v>522.48802933906745</v>
      </c>
      <c r="S40" s="59">
        <f ca="1">AVERAGE(OFFSET($R$3,0,0,'Données projet'!$E$9+1,1))-AVERAGE(OFFSET($H$3,0,0,'Données projet'!$E$9+1,1))</f>
        <v>476.79071915271794</v>
      </c>
      <c r="T40" s="59">
        <f t="shared" si="34"/>
        <v>264.79929759351762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64.504798498458683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8.4</v>
      </c>
      <c r="AI40" s="13">
        <f>IF('Données projet'!$A$62&gt;35,AI39+AH40-AQ39,IF(A40&lt;'Données projet'!$A$62,$AF$205^A40,IF(A40='Données projet'!$A$62,'Données projet'!$B$62,AI39+AH40-AQ39)))</f>
        <v>111.80000000000004</v>
      </c>
      <c r="AJ40" s="13">
        <f>AI40*VLOOKUP('Données projet'!$B$10,Paramètres!$A$1:$I$89,3,0)*VLOOKUP('Données projet'!$B$10,Paramètres!$A$1:$I$89,5,0)</f>
        <v>94.180320000000052</v>
      </c>
      <c r="AK40" s="13">
        <f t="shared" si="35"/>
        <v>25.570738079029233</v>
      </c>
      <c r="AL40" s="20">
        <f t="shared" si="4"/>
        <v>208.56642615430937</v>
      </c>
      <c r="AM40" s="59">
        <f t="shared" si="5"/>
        <v>481.75068731532451</v>
      </c>
      <c r="AN40" s="59">
        <f ca="1">AVERAGE(OFFSET($AM$3,0,0,'Données projet'!$E$10+1,1))-AVERAGE(OFFSET($H$3,0,0,'Données projet'!$E$10+1,1))</f>
        <v>365.104658862176</v>
      </c>
      <c r="AO40" s="59">
        <f t="shared" si="36"/>
        <v>226.29232910286325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64.504798498458683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8.4</v>
      </c>
      <c r="BD40" s="12">
        <f>IF('Données projet'!$A$88&gt;35,BD39+BC40-BL39,IF(A40&lt;'Données projet'!$A$88,$BA$205^A40,IF(A40='Données projet'!$A$88,'Données projet'!$B$88,BD39+BC40-BL39)))</f>
        <v>111.80000000000004</v>
      </c>
      <c r="BE40" s="13">
        <f>BD40*VLOOKUP('Données projet'!$B$11,Paramètres!$A$1:$I$89,3,0)*VLOOKUP('Données projet'!$B$11,Paramètres!$A$1:$I$89,5,0)</f>
        <v>101.15664000000004</v>
      </c>
      <c r="BF40" s="13">
        <f t="shared" si="37"/>
        <v>27.237366379381669</v>
      </c>
      <c r="BG40" s="20">
        <f t="shared" si="7"/>
        <v>223.61956111075651</v>
      </c>
      <c r="BH40" s="59">
        <f t="shared" si="8"/>
        <v>496.80382227177165</v>
      </c>
      <c r="BI40" s="59">
        <f ca="1">AVERAGE(OFFSET($BH$3,0,0,'Données projet'!$E$11+1,1))-AVERAGE(OFFSET($H$3,0,0,'Données projet'!$E$11+1,1))</f>
        <v>388.12494342575195</v>
      </c>
      <c r="BJ40" s="59">
        <f t="shared" si="38"/>
        <v>239.39471445648454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64.504798498458683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8.4</v>
      </c>
      <c r="BY40" s="12">
        <f>IF('Données projet'!$A$114&gt;35,BY39+BX40-CG39,IF(A40&lt;'Données projet'!$A$114,$BV$205^A40,IF(A40='Données projet'!$A$114,'Données projet'!$B$114,BY39+BX40-CG39)))</f>
        <v>111.80000000000004</v>
      </c>
      <c r="BZ40" s="13">
        <f>BY40*VLOOKUP('Données projet'!$B$12,Paramètres!$A$1:$I$89,3,0)*VLOOKUP('Données projet'!$B$12,Paramètres!$A$1:$I$89,5,0)</f>
        <v>113.36520000000004</v>
      </c>
      <c r="CA40" s="13">
        <f t="shared" si="39"/>
        <v>30.122456058687614</v>
      </c>
      <c r="CB40" s="20">
        <f t="shared" si="10"/>
        <v>249.90766763554768</v>
      </c>
      <c r="CC40" s="59">
        <f t="shared" si="11"/>
        <v>523.0919287965628</v>
      </c>
      <c r="CD40" s="59">
        <f ca="1">AVERAGE(OFFSET($CC$3,0,0,'Données projet'!$E$12+1,1))-AVERAGE(OFFSET($H$3,0,0,'Données projet'!$E$12+1,1))</f>
        <v>428.33148932885132</v>
      </c>
      <c r="CE40" s="59">
        <f t="shared" si="40"/>
        <v>262.27548054534373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64.504798498458683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5.4</v>
      </c>
      <c r="CT40" s="12">
        <f>IF('Données projet'!$A$140&gt;35,CT39+CS40-DB39,IF(A40&lt;'Données projet'!$A$140,$CQ$205^A40,IF(A40='Données projet'!$A$140,'Données projet'!$B$140,CT39+CS40-DB39)))</f>
        <v>76.8</v>
      </c>
      <c r="CU40" s="17">
        <f>CT40*VLOOKUP('Données projet'!$B$13,Paramètres!$A$1:$I$89,3,0)*VLOOKUP('Données projet'!$B$13,Paramètres!$A$1:$I$89,5,0)</f>
        <v>73.082880000000003</v>
      </c>
      <c r="CV40" s="13">
        <f t="shared" si="41"/>
        <v>20.437114411232702</v>
      </c>
      <c r="CW40" s="20">
        <f t="shared" si="13"/>
        <v>162.88065693289695</v>
      </c>
      <c r="CX40" s="59">
        <f t="shared" si="14"/>
        <v>436.06491809391213</v>
      </c>
      <c r="CY40" s="59">
        <f ca="1">AVERAGE(OFFSET($CX$3,0,0,'Données projet'!$E$13+1,1))-AVERAGE(OFFSET($H$3,0,0,'Données projet'!$E$13+1,1))</f>
        <v>307.62549820830162</v>
      </c>
      <c r="CZ40" s="59">
        <f t="shared" si="42"/>
        <v>160.26466014910304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64.504798498458683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9.6</v>
      </c>
      <c r="DO40" s="12">
        <f>IF('Données projet'!$A$166&gt;35,DO39+DN40-DW39,IF(A40&lt;'Données projet'!$A$166,$DL$205^A40,IF(A40='Données projet'!$A$166,'Données projet'!$B$166,DO39+DN40-DW39)))</f>
        <v>163.20000000000002</v>
      </c>
      <c r="DP40" s="17">
        <f>DO40*VLOOKUP('Données projet'!$B$14,Paramètres!$A$1:$I$89,3,0)*VLOOKUP('Données projet'!$B$14,Paramètres!$A$1:$I$89,5,0)</f>
        <v>129.84192000000002</v>
      </c>
      <c r="DQ40" s="13">
        <f t="shared" si="43"/>
        <v>33.959829099416851</v>
      </c>
      <c r="DR40" s="20">
        <f t="shared" si="16"/>
        <v>285.288046348151</v>
      </c>
      <c r="DS40" s="59">
        <f t="shared" si="17"/>
        <v>558.47230750916617</v>
      </c>
      <c r="DT40" s="59">
        <f ca="1">AVERAGE(OFFSET($DS$3,0,0,'Données projet'!$E$14+1,1))-AVERAGE(OFFSET($H$3,0,0,'Données projet'!$E$14+1,1))</f>
        <v>309.14579005132464</v>
      </c>
      <c r="DU40" s="59">
        <f t="shared" si="44"/>
        <v>300.60311050289533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4.7814981739614693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4.7814981739614693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64.504798498458683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11.4</v>
      </c>
      <c r="EJ40" s="12">
        <f>IF('Données projet'!$A$192&gt;35,EJ39+EI40-ER39,IF(A40&lt;'Données projet'!$A$192,$EG$205^A40,IF(A40='Données projet'!$A$192,'Données projet'!$B$192,EJ39+EI40-ER39)))</f>
        <v>193.79999999999998</v>
      </c>
      <c r="EK40" s="17">
        <f>EJ40*VLOOKUP('Données projet'!$B$15,Paramètres!$A$1:$I$89,3,0)*VLOOKUP('Données projet'!$B$15,Paramètres!$A$1:$I$89,5,0)</f>
        <v>142.09415999999999</v>
      </c>
      <c r="EL40" s="13">
        <f t="shared" si="45"/>
        <v>36.77633279983236</v>
      </c>
      <c r="EM40" s="20">
        <f t="shared" si="19"/>
        <v>311.53277495970798</v>
      </c>
      <c r="EN40" s="59">
        <f t="shared" si="20"/>
        <v>584.71703612072315</v>
      </c>
      <c r="EO40" s="59">
        <f ca="1">AVERAGE(OFFSET($EN$3,0,0,'Données projet'!$E$15+1,1))-AVERAGE(OFFSET($H$3,0,0,'Données projet'!$E$15+1,1))</f>
        <v>338.59243085476896</v>
      </c>
      <c r="EP40" s="59">
        <f t="shared" si="46"/>
        <v>329.8393445823275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6.3924833052470147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6.3924833052470147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64.504798498458683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11.4</v>
      </c>
      <c r="FE40" s="12">
        <f>IF('Données projet'!$A$218&gt;35,FE39+FD40-FM39,IF(A40&lt;'Données projet'!$A$218,$FB$205^A40,IF(A40='Données projet'!$A$218,'Données projet'!$B$218,FE39+FD40-FM39)))</f>
        <v>193.79999999999998</v>
      </c>
      <c r="FF40" s="17">
        <f>FE40*VLOOKUP('Données projet'!$B$16,Paramètres!$A$1:$I$89,3,0)*VLOOKUP('Données projet'!$B$16,Paramètres!$A$1:$I$89,5,0)</f>
        <v>126.97775999999999</v>
      </c>
      <c r="FG40" s="13">
        <f t="shared" si="47"/>
        <v>33.297055234597053</v>
      </c>
      <c r="FH40" s="20">
        <f t="shared" si="22"/>
        <v>279.14530320025654</v>
      </c>
      <c r="FI40" s="59">
        <f t="shared" si="23"/>
        <v>552.32956436127165</v>
      </c>
      <c r="FJ40" s="59">
        <f ca="1">AVERAGE(OFFSET($FI$3,0,0,'Données projet'!$E$16+1,1))-AVERAGE(OFFSET($H$3,0,0,'Données projet'!$E$16+1,1))</f>
        <v>307.50573770128085</v>
      </c>
      <c r="FK40" s="59">
        <f t="shared" si="48"/>
        <v>300.2007312562655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5.7124318897952042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5.7124318897952042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64.504798498458683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11.4</v>
      </c>
      <c r="FZ40" s="12">
        <f>IF('Données projet'!$A$244&gt;35,FZ39+FY40-GH39,IF(A40&lt;'Données projet'!$A$244,$FW$205^A40,IF(A40='Données projet'!$A$244,'Données projet'!$B$244,FZ39+FY40-GH39)))</f>
        <v>193.79999999999998</v>
      </c>
      <c r="GA40" s="17">
        <f>FZ40*VLOOKUP('Données projet'!$B$17,Paramètres!$A$1:$I$89,3,0)*VLOOKUP('Données projet'!$B$17,Paramètres!$A$1:$I$89,5,0)</f>
        <v>157.21055999999999</v>
      </c>
      <c r="GB40" s="13">
        <f t="shared" si="49"/>
        <v>40.212706859296013</v>
      </c>
      <c r="GC40" s="20">
        <f t="shared" si="25"/>
        <v>343.84552311327383</v>
      </c>
      <c r="GD40" s="59">
        <f t="shared" si="26"/>
        <v>617.029784274289</v>
      </c>
      <c r="GE40" s="59">
        <f ca="1">AVERAGE(OFFSET($GD$3,0,0,'Données projet'!$E$17+1,1))-AVERAGE(OFFSET($H$3,0,0,'Données projet'!$E$17+1,1))</f>
        <v>369.60865427618342</v>
      </c>
      <c r="GF40" s="59">
        <f t="shared" si="50"/>
        <v>359.40898775279197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7.072534720698826</v>
      </c>
      <c r="GM40" s="21">
        <f>EXP(-LN(2)/25)*GM39+(1-EXP(-LN(2)/25))/(LN(2)/25)*Calculateur!GH40*Calculateur!GJ40*VLOOKUP('Données projet'!$B$17,Paramètres!$A$1:$I$89,3,0)*0.475*44/12</f>
        <v>0</v>
      </c>
      <c r="GN40" s="21">
        <f>EXP(-LN(2)/2)*GN39+(1-EXP(-LN(2)/2))/(LN(2)/2)*GH40*GK40*VLOOKUP('Données projet'!$B$17,Paramètres!$A$1:$I$89,3,0)*0.475*44/12</f>
        <v>0</v>
      </c>
      <c r="GO40" s="21">
        <f t="shared" si="27"/>
        <v>7.072534720698826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64.504798498458683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9.6</v>
      </c>
      <c r="GU40" s="12">
        <f>IF('Données projet'!$A$270&gt;35,GU39+GT40-HC39,IF(A40&lt;'Données projet'!$A$270,$GR$205^A40,IF(A40='Données projet'!$A$270,'Données projet'!$B$270,GU39+GT40-HC39)))</f>
        <v>163.20000000000002</v>
      </c>
      <c r="GV40" s="17">
        <f>GU40*VLOOKUP('Données projet'!$B$18,Paramètres!$A$1:$I$89,3,0)*VLOOKUP('Données projet'!$B$18,Paramètres!$A$1:$I$89,5,0)</f>
        <v>106.92864000000002</v>
      </c>
      <c r="GW40" s="13">
        <f t="shared" si="51"/>
        <v>28.606159868782942</v>
      </c>
      <c r="GX40" s="20">
        <f t="shared" si="28"/>
        <v>236.05644310479695</v>
      </c>
      <c r="GY40" s="59">
        <f t="shared" si="29"/>
        <v>509.24070426581216</v>
      </c>
      <c r="GZ40" s="59">
        <f ca="1">AVERAGE(OFFSET($GY$3,0,0,'Données projet'!$E$18+1,1))-AVERAGE(OFFSET($H$3,0,0,'Données projet'!$E$18+1,1))</f>
        <v>262.62914256200031</v>
      </c>
      <c r="HA40" s="59">
        <f t="shared" si="52"/>
        <v>256.45129229594409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>
        <f>EXP(-LN(2)/35)*HG39+(1-EXP(-LN(2)/35))/(LN(2)/35)*HC40*HD40*VLOOKUP('Données projet'!$B$18,Paramètres!$A$1:$I$89,3,0)*0.475*44/12</f>
        <v>3.1947412882628248</v>
      </c>
      <c r="HH40" s="21">
        <f>EXP(-LN(2)/25)*HH39+(1-EXP(-LN(2)/25))/(LN(2)/25)*Calculateur!HC40*Calculateur!HE40*VLOOKUP('Données projet'!$B$18,Paramètres!$A$1:$I$89,3,0)*0.475*44/12</f>
        <v>0</v>
      </c>
      <c r="HI40" s="21">
        <f>EXP(-LN(2)/2)*HI39+(1-EXP(-LN(2)/2))/(LN(2)/2)*HC40*HF40*VLOOKUP('Données projet'!$B$18,Paramètres!$A$1:$I$89,3,0)*0.475*44/12</f>
        <v>0</v>
      </c>
      <c r="HJ40" s="22">
        <f t="shared" si="30"/>
        <v>3.1947412882628248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2.1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7.7</v>
      </c>
      <c r="H41" s="67">
        <f t="shared" si="1"/>
        <v>225.86666666666665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64.600127959080353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10.4</v>
      </c>
      <c r="N41" s="13">
        <f>IF('Données projet'!$A$36&gt;35,N40+M41-V40,IF(A41&lt;'Données projet'!$A$36,$K$205^A41,IF(A41='Données projet'!$A$36,'Données projet'!$B$36,N40+M41-V40)))</f>
        <v>142.20000000000005</v>
      </c>
      <c r="O41" s="13">
        <f>N41*VLOOKUP('Données projet'!$B$9,Paramètres!$A$1:$I$89,3,0)*VLOOKUP('Données projet'!$B$9,Paramètres!$A$1:$I$89,5,0)</f>
        <v>122.00760000000007</v>
      </c>
      <c r="P41" s="13">
        <f t="shared" si="33"/>
        <v>32.142785920703616</v>
      </c>
      <c r="Q41" s="20">
        <f t="shared" si="53"/>
        <v>268.47858881189222</v>
      </c>
      <c r="R41" s="59">
        <f t="shared" si="0"/>
        <v>542.01239132852015</v>
      </c>
      <c r="S41" s="59">
        <f ca="1">AVERAGE(OFFSET($R$3,0,0,'Données projet'!$E$9+1,1))-AVERAGE(OFFSET($H$3,0,0,'Données projet'!$E$9+1,1))</f>
        <v>476.79071915271794</v>
      </c>
      <c r="T41" s="59">
        <f t="shared" si="34"/>
        <v>264.79929759351762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64.600127959080353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8.4</v>
      </c>
      <c r="AI41" s="13">
        <f>IF('Données projet'!$A$62&gt;35,AI40+AH41-AQ40,IF(A41&lt;'Données projet'!$A$62,$AF$205^A41,IF(A41='Données projet'!$A$62,'Données projet'!$B$62,AI40+AH41-AQ40)))</f>
        <v>120.20000000000005</v>
      </c>
      <c r="AJ41" s="13">
        <f>AI41*VLOOKUP('Données projet'!$B$10,Paramètres!$A$1:$I$89,3,0)*VLOOKUP('Données projet'!$B$10,Paramètres!$A$1:$I$89,5,0)</f>
        <v>101.25648000000005</v>
      </c>
      <c r="AK41" s="13">
        <f t="shared" si="35"/>
        <v>27.261118700621168</v>
      </c>
      <c r="AL41" s="20">
        <f t="shared" si="4"/>
        <v>223.83481773691528</v>
      </c>
      <c r="AM41" s="59">
        <f t="shared" si="5"/>
        <v>497.36862025354327</v>
      </c>
      <c r="AN41" s="59">
        <f ca="1">AVERAGE(OFFSET($AM$3,0,0,'Données projet'!$E$10+1,1))-AVERAGE(OFFSET($H$3,0,0,'Données projet'!$E$10+1,1))</f>
        <v>365.104658862176</v>
      </c>
      <c r="AO41" s="59">
        <f t="shared" si="36"/>
        <v>226.29232910286325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64.600127959080353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8.4</v>
      </c>
      <c r="BD41" s="12">
        <f>IF('Données projet'!$A$88&gt;35,BD40+BC41-BL40,IF(A41&lt;'Données projet'!$A$88,$BA$205^A41,IF(A41='Données projet'!$A$88,'Données projet'!$B$88,BD40+BC41-BL40)))</f>
        <v>120.20000000000005</v>
      </c>
      <c r="BE41" s="13">
        <f>BD41*VLOOKUP('Données projet'!$B$11,Paramètres!$A$1:$I$89,3,0)*VLOOKUP('Données projet'!$B$11,Paramètres!$A$1:$I$89,5,0)</f>
        <v>108.75696000000003</v>
      </c>
      <c r="BF41" s="13">
        <f t="shared" si="37"/>
        <v>29.037921223305609</v>
      </c>
      <c r="BG41" s="20">
        <f t="shared" si="7"/>
        <v>239.99275146392401</v>
      </c>
      <c r="BH41" s="59">
        <f t="shared" si="8"/>
        <v>513.52655398055197</v>
      </c>
      <c r="BI41" s="59">
        <f ca="1">AVERAGE(OFFSET($BH$3,0,0,'Données projet'!$E$11+1,1))-AVERAGE(OFFSET($H$3,0,0,'Données projet'!$E$11+1,1))</f>
        <v>388.12494342575195</v>
      </c>
      <c r="BJ41" s="59">
        <f t="shared" si="38"/>
        <v>239.39471445648454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64.600127959080353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8.4</v>
      </c>
      <c r="BY41" s="12">
        <f>IF('Données projet'!$A$114&gt;35,BY40+BX41-CG40,IF(A41&lt;'Données projet'!$A$114,$BV$205^A41,IF(A41='Données projet'!$A$114,'Données projet'!$B$114,BY40+BX41-CG40)))</f>
        <v>120.20000000000005</v>
      </c>
      <c r="BZ41" s="13">
        <f>BY41*VLOOKUP('Données projet'!$B$12,Paramètres!$A$1:$I$89,3,0)*VLOOKUP('Données projet'!$B$12,Paramètres!$A$1:$I$89,5,0)</f>
        <v>121.88280000000006</v>
      </c>
      <c r="CA41" s="13">
        <f t="shared" si="39"/>
        <v>32.113732800054677</v>
      </c>
      <c r="CB41" s="20">
        <f t="shared" si="10"/>
        <v>268.21062796009534</v>
      </c>
      <c r="CC41" s="59">
        <f t="shared" si="11"/>
        <v>541.74443047672332</v>
      </c>
      <c r="CD41" s="59">
        <f ca="1">AVERAGE(OFFSET($CC$3,0,0,'Données projet'!$E$12+1,1))-AVERAGE(OFFSET($H$3,0,0,'Données projet'!$E$12+1,1))</f>
        <v>428.33148932885132</v>
      </c>
      <c r="CE41" s="59">
        <f t="shared" si="40"/>
        <v>262.27548054534373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64.600127959080353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5.4</v>
      </c>
      <c r="CT41" s="12">
        <f>IF('Données projet'!$A$140&gt;35,CT40+CS41-DB40,IF(A41&lt;'Données projet'!$A$140,$CQ$205^A41,IF(A41='Données projet'!$A$140,'Données projet'!$B$140,CT40+CS41-DB40)))</f>
        <v>82.2</v>
      </c>
      <c r="CU41" s="17">
        <f>CT41*VLOOKUP('Données projet'!$B$13,Paramètres!$A$1:$I$89,3,0)*VLOOKUP('Données projet'!$B$13,Paramètres!$A$1:$I$89,5,0)</f>
        <v>78.221520000000012</v>
      </c>
      <c r="CV41" s="13">
        <f t="shared" si="41"/>
        <v>21.701769187765223</v>
      </c>
      <c r="CW41" s="20">
        <f t="shared" si="13"/>
        <v>174.03306200202442</v>
      </c>
      <c r="CX41" s="59">
        <f t="shared" si="14"/>
        <v>447.56686451865244</v>
      </c>
      <c r="CY41" s="59">
        <f ca="1">AVERAGE(OFFSET($CX$3,0,0,'Données projet'!$E$13+1,1))-AVERAGE(OFFSET($H$3,0,0,'Données projet'!$E$13+1,1))</f>
        <v>307.62549820830162</v>
      </c>
      <c r="CZ41" s="59">
        <f t="shared" si="42"/>
        <v>160.26466014910304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64.600127959080353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9.6</v>
      </c>
      <c r="DO41" s="12">
        <f>IF('Données projet'!$A$166&gt;35,DO40+DN41-DW40,IF(A41&lt;'Données projet'!$A$166,$DL$205^A41,IF(A41='Données projet'!$A$166,'Données projet'!$B$166,DO40+DN41-DW40)))</f>
        <v>172.8</v>
      </c>
      <c r="DP41" s="17">
        <f>DO41*VLOOKUP('Données projet'!$B$14,Paramètres!$A$1:$I$89,3,0)*VLOOKUP('Données projet'!$B$14,Paramètres!$A$1:$I$89,5,0)</f>
        <v>137.47968000000003</v>
      </c>
      <c r="DQ41" s="13">
        <f t="shared" si="43"/>
        <v>35.719026553355249</v>
      </c>
      <c r="DR41" s="20">
        <f t="shared" si="16"/>
        <v>301.65441391376049</v>
      </c>
      <c r="DS41" s="59">
        <f t="shared" si="17"/>
        <v>575.18821643038848</v>
      </c>
      <c r="DT41" s="59">
        <f ca="1">AVERAGE(OFFSET($DS$3,0,0,'Données projet'!$E$14+1,1))-AVERAGE(OFFSET($H$3,0,0,'Données projet'!$E$14+1,1))</f>
        <v>309.14579005132464</v>
      </c>
      <c r="DU41" s="59">
        <f t="shared" si="44"/>
        <v>300.60311050289533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4.6877359111959978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4.6877359111959978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64.600127959080353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11.4</v>
      </c>
      <c r="EJ41" s="12">
        <f>IF('Données projet'!$A$192&gt;35,EJ40+EI41-ER40,IF(A41&lt;'Données projet'!$A$192,$EG$205^A41,IF(A41='Données projet'!$A$192,'Données projet'!$B$192,EJ40+EI41-ER40)))</f>
        <v>205.2</v>
      </c>
      <c r="EK41" s="17">
        <f>EJ41*VLOOKUP('Données projet'!$B$15,Paramètres!$A$1:$I$89,3,0)*VLOOKUP('Données projet'!$B$15,Paramètres!$A$1:$I$89,5,0)</f>
        <v>150.45263999999997</v>
      </c>
      <c r="EL41" s="13">
        <f t="shared" si="45"/>
        <v>38.681431639913605</v>
      </c>
      <c r="EM41" s="20">
        <f t="shared" si="19"/>
        <v>329.40850810618275</v>
      </c>
      <c r="EN41" s="59">
        <f t="shared" si="20"/>
        <v>602.94231062281074</v>
      </c>
      <c r="EO41" s="59">
        <f ca="1">AVERAGE(OFFSET($EN$3,0,0,'Données projet'!$E$15+1,1))-AVERAGE(OFFSET($H$3,0,0,'Données projet'!$E$15+1,1))</f>
        <v>338.59243085476896</v>
      </c>
      <c r="EP41" s="59">
        <f t="shared" si="46"/>
        <v>329.8393445823275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6.26713060666094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6.26713060666094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64.600127959080353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11.4</v>
      </c>
      <c r="FE41" s="12">
        <f>IF('Données projet'!$A$218&gt;35,FE40+FD41-FM40,IF(A41&lt;'Données projet'!$A$218,$FB$205^A41,IF(A41='Données projet'!$A$218,'Données projet'!$B$218,FE40+FD41-FM40)))</f>
        <v>205.2</v>
      </c>
      <c r="FF41" s="17">
        <f>FE41*VLOOKUP('Données projet'!$B$16,Paramètres!$A$1:$I$89,3,0)*VLOOKUP('Données projet'!$B$16,Paramètres!$A$1:$I$89,5,0)</f>
        <v>134.44703999999999</v>
      </c>
      <c r="FG41" s="13">
        <f t="shared" si="47"/>
        <v>35.021919474074494</v>
      </c>
      <c r="FH41" s="20">
        <f t="shared" si="22"/>
        <v>295.1584377506797</v>
      </c>
      <c r="FI41" s="59">
        <f t="shared" si="23"/>
        <v>568.69224026730762</v>
      </c>
      <c r="FJ41" s="59">
        <f ca="1">AVERAGE(OFFSET($FI$3,0,0,'Données projet'!$E$16+1,1))-AVERAGE(OFFSET($H$3,0,0,'Données projet'!$E$16+1,1))</f>
        <v>307.50573770128085</v>
      </c>
      <c r="FK41" s="59">
        <f t="shared" si="48"/>
        <v>300.2007312562655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5.6004145846757334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5.6004145846757334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64.600127959080353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11.4</v>
      </c>
      <c r="FZ41" s="12">
        <f>IF('Données projet'!$A$244&gt;35,FZ40+FY41-GH40,IF(A41&lt;'Données projet'!$A$244,$FW$205^A41,IF(A41='Données projet'!$A$244,'Données projet'!$B$244,FZ40+FY41-GH40)))</f>
        <v>205.2</v>
      </c>
      <c r="GA41" s="17">
        <f>FZ41*VLOOKUP('Données projet'!$B$17,Paramètres!$A$1:$I$89,3,0)*VLOOKUP('Données projet'!$B$17,Paramètres!$A$1:$I$89,5,0)</f>
        <v>166.45823999999999</v>
      </c>
      <c r="GB41" s="13">
        <f t="shared" si="49"/>
        <v>42.295817799452642</v>
      </c>
      <c r="GC41" s="20">
        <f t="shared" si="25"/>
        <v>363.5799840007133</v>
      </c>
      <c r="GD41" s="59">
        <f t="shared" si="26"/>
        <v>637.11378651734128</v>
      </c>
      <c r="GE41" s="59">
        <f ca="1">AVERAGE(OFFSET($GD$3,0,0,'Données projet'!$E$17+1,1))-AVERAGE(OFFSET($H$3,0,0,'Données projet'!$E$17+1,1))</f>
        <v>369.60865427618342</v>
      </c>
      <c r="GF41" s="59">
        <f t="shared" si="50"/>
        <v>359.40898775279197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6.9338466286461475</v>
      </c>
      <c r="GM41" s="21">
        <f>EXP(-LN(2)/25)*GM40+(1-EXP(-LN(2)/25))/(LN(2)/25)*Calculateur!GH41*Calculateur!GJ41*VLOOKUP('Données projet'!$B$17,Paramètres!$A$1:$I$89,3,0)*0.475*44/12</f>
        <v>0</v>
      </c>
      <c r="GN41" s="21">
        <f>EXP(-LN(2)/2)*GN40+(1-EXP(-LN(2)/2))/(LN(2)/2)*GH41*GK41*VLOOKUP('Données projet'!$B$17,Paramètres!$A$1:$I$89,3,0)*0.475*44/12</f>
        <v>0</v>
      </c>
      <c r="GO41" s="21">
        <f t="shared" si="27"/>
        <v>6.9338466286461475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64.600127959080353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9.6</v>
      </c>
      <c r="GU41" s="12">
        <f>IF('Données projet'!$A$270&gt;35,GU40+GT41-HC40,IF(A41&lt;'Données projet'!$A$270,$GR$205^A41,IF(A41='Données projet'!$A$270,'Données projet'!$B$270,GU40+GT41-HC40)))</f>
        <v>172.8</v>
      </c>
      <c r="GV41" s="17">
        <f>GU41*VLOOKUP('Données projet'!$B$18,Paramètres!$A$1:$I$89,3,0)*VLOOKUP('Données projet'!$B$18,Paramètres!$A$1:$I$89,5,0)</f>
        <v>113.21856000000001</v>
      </c>
      <c r="GW41" s="13">
        <f t="shared" si="51"/>
        <v>30.088024911766389</v>
      </c>
      <c r="GX41" s="20">
        <f t="shared" si="28"/>
        <v>249.59230205465977</v>
      </c>
      <c r="GY41" s="59">
        <f t="shared" si="29"/>
        <v>523.12610457128778</v>
      </c>
      <c r="GZ41" s="59">
        <f ca="1">AVERAGE(OFFSET($GY$3,0,0,'Données projet'!$E$18+1,1))-AVERAGE(OFFSET($H$3,0,0,'Données projet'!$E$18+1,1))</f>
        <v>262.62914256200031</v>
      </c>
      <c r="HA41" s="59">
        <f t="shared" si="52"/>
        <v>256.45129229594409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projet'!$B$18,Paramètres!$A$1:$I$89,3,0)*0.475*44/12</f>
        <v>3.1320943601997682</v>
      </c>
      <c r="HH41" s="21">
        <f>EXP(-LN(2)/25)*HH40+(1-EXP(-LN(2)/25))/(LN(2)/25)*Calculateur!HC41*Calculateur!HE41*VLOOKUP('Données projet'!$B$18,Paramètres!$A$1:$I$89,3,0)*0.475*44/12</f>
        <v>0</v>
      </c>
      <c r="HI41" s="21">
        <f>EXP(-LN(2)/2)*HI40+(1-EXP(-LN(2)/2))/(LN(2)/2)*HC41*HF41*VLOOKUP('Données projet'!$B$18,Paramètres!$A$1:$I$89,3,0)*0.475*44/12</f>
        <v>0</v>
      </c>
      <c r="HJ41" s="22">
        <f t="shared" si="30"/>
        <v>3.1320943601997682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2.1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7.7</v>
      </c>
      <c r="H42" s="67">
        <f t="shared" si="1"/>
        <v>225.86666666666665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64.693803666685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10.4</v>
      </c>
      <c r="N42" s="13">
        <f>IF('Données projet'!$A$36&gt;35,N41+M42-V41,IF(A42&lt;'Données projet'!$A$36,$K$205^A42,IF(A42='Données projet'!$A$36,'Données projet'!$B$36,N41+M42-V41)))</f>
        <v>152.60000000000005</v>
      </c>
      <c r="O42" s="13">
        <f>N42*VLOOKUP('Données projet'!$B$9,Paramètres!$A$1:$I$89,3,0)*VLOOKUP('Données projet'!$B$9,Paramètres!$A$1:$I$89,5,0)</f>
        <v>130.93080000000006</v>
      </c>
      <c r="P42" s="13">
        <f t="shared" si="33"/>
        <v>34.211350494649842</v>
      </c>
      <c r="Q42" s="20">
        <f t="shared" si="53"/>
        <v>287.62257877818189</v>
      </c>
      <c r="R42" s="59">
        <f t="shared" si="0"/>
        <v>561.49985888936021</v>
      </c>
      <c r="S42" s="59">
        <f ca="1">AVERAGE(OFFSET($R$3,0,0,'Données projet'!$E$9+1,1))-AVERAGE(OFFSET($H$3,0,0,'Données projet'!$E$9+1,1))</f>
        <v>476.79071915271794</v>
      </c>
      <c r="T42" s="59">
        <f t="shared" si="34"/>
        <v>264.79929759351762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64.693803666685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8.4</v>
      </c>
      <c r="AI42" s="13">
        <f>IF('Données projet'!$A$62&gt;35,AI41+AH42-AQ41,IF(A42&lt;'Données projet'!$A$62,$AF$205^A42,IF(A42='Données projet'!$A$62,'Données projet'!$B$62,AI41+AH42-AQ41)))</f>
        <v>128.60000000000005</v>
      </c>
      <c r="AJ42" s="13">
        <f>AI42*VLOOKUP('Données projet'!$B$10,Paramètres!$A$1:$I$89,3,0)*VLOOKUP('Données projet'!$B$10,Paramètres!$A$1:$I$89,5,0)</f>
        <v>108.33264000000005</v>
      </c>
      <c r="AK42" s="13">
        <f t="shared" si="35"/>
        <v>28.937793020723745</v>
      </c>
      <c r="AL42" s="20">
        <f t="shared" si="4"/>
        <v>239.07933751109394</v>
      </c>
      <c r="AM42" s="59">
        <f t="shared" si="5"/>
        <v>512.95661762227223</v>
      </c>
      <c r="AN42" s="59">
        <f ca="1">AVERAGE(OFFSET($AM$3,0,0,'Données projet'!$E$10+1,1))-AVERAGE(OFFSET($H$3,0,0,'Données projet'!$E$10+1,1))</f>
        <v>365.104658862176</v>
      </c>
      <c r="AO42" s="59">
        <f t="shared" si="36"/>
        <v>226.29232910286325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64.693803666685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8.4</v>
      </c>
      <c r="BD42" s="12">
        <f>IF('Données projet'!$A$88&gt;35,BD41+BC42-BL41,IF(A42&lt;'Données projet'!$A$88,$BA$205^A42,IF(A42='Données projet'!$A$88,'Données projet'!$B$88,BD41+BC42-BL41)))</f>
        <v>128.60000000000005</v>
      </c>
      <c r="BE42" s="13">
        <f>BD42*VLOOKUP('Données projet'!$B$11,Paramètres!$A$1:$I$89,3,0)*VLOOKUP('Données projet'!$B$11,Paramètres!$A$1:$I$89,5,0)</f>
        <v>116.35728000000005</v>
      </c>
      <c r="BF42" s="13">
        <f t="shared" si="37"/>
        <v>30.823876427820704</v>
      </c>
      <c r="BG42" s="20">
        <f t="shared" si="7"/>
        <v>256.3405141117878</v>
      </c>
      <c r="BH42" s="59">
        <f t="shared" si="8"/>
        <v>530.21779422296618</v>
      </c>
      <c r="BI42" s="59">
        <f ca="1">AVERAGE(OFFSET($BH$3,0,0,'Données projet'!$E$11+1,1))-AVERAGE(OFFSET($H$3,0,0,'Données projet'!$E$11+1,1))</f>
        <v>388.12494342575195</v>
      </c>
      <c r="BJ42" s="59">
        <f t="shared" si="38"/>
        <v>239.39471445648454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64.693803666685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8.4</v>
      </c>
      <c r="BY42" s="12">
        <f>IF('Données projet'!$A$114&gt;35,BY41+BX42-CG41,IF(A42&lt;'Données projet'!$A$114,$BV$205^A42,IF(A42='Données projet'!$A$114,'Données projet'!$B$114,BY41+BX42-CG41)))</f>
        <v>128.60000000000005</v>
      </c>
      <c r="BZ42" s="13">
        <f>BY42*VLOOKUP('Données projet'!$B$12,Paramètres!$A$1:$I$89,3,0)*VLOOKUP('Données projet'!$B$12,Paramètres!$A$1:$I$89,5,0)</f>
        <v>130.40040000000005</v>
      </c>
      <c r="CA42" s="13">
        <f t="shared" si="39"/>
        <v>34.088863450406919</v>
      </c>
      <c r="CB42" s="20">
        <f t="shared" si="10"/>
        <v>286.48546717612544</v>
      </c>
      <c r="CC42" s="59">
        <f t="shared" si="11"/>
        <v>560.36274728730382</v>
      </c>
      <c r="CD42" s="59">
        <f ca="1">AVERAGE(OFFSET($CC$3,0,0,'Données projet'!$E$12+1,1))-AVERAGE(OFFSET($H$3,0,0,'Données projet'!$E$12+1,1))</f>
        <v>428.33148932885132</v>
      </c>
      <c r="CE42" s="59">
        <f t="shared" si="40"/>
        <v>262.27548054534373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64.693803666685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5.4</v>
      </c>
      <c r="CT42" s="12">
        <f>IF('Données projet'!$A$140&gt;35,CT41+CS42-DB41,IF(A42&lt;'Données projet'!$A$140,$CQ$205^A42,IF(A42='Données projet'!$A$140,'Données projet'!$B$140,CT41+CS42-DB41)))</f>
        <v>87.600000000000009</v>
      </c>
      <c r="CU42" s="17">
        <f>CT42*VLOOKUP('Données projet'!$B$13,Paramètres!$A$1:$I$89,3,0)*VLOOKUP('Données projet'!$B$13,Paramètres!$A$1:$I$89,5,0)</f>
        <v>83.360160000000008</v>
      </c>
      <c r="CV42" s="13">
        <f t="shared" si="41"/>
        <v>22.956783071137561</v>
      </c>
      <c r="CW42" s="20">
        <f t="shared" si="13"/>
        <v>185.16867584889792</v>
      </c>
      <c r="CX42" s="59">
        <f t="shared" si="14"/>
        <v>459.04595596007624</v>
      </c>
      <c r="CY42" s="59">
        <f ca="1">AVERAGE(OFFSET($CX$3,0,0,'Données projet'!$E$13+1,1))-AVERAGE(OFFSET($H$3,0,0,'Données projet'!$E$13+1,1))</f>
        <v>307.62549820830162</v>
      </c>
      <c r="CZ42" s="59">
        <f t="shared" si="42"/>
        <v>160.26466014910304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64.693803666685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9.6</v>
      </c>
      <c r="DO42" s="12">
        <f>IF('Données projet'!$A$166&gt;35,DO41+DN42-DW41,IF(A42&lt;'Données projet'!$A$166,$DL$205^A42,IF(A42='Données projet'!$A$166,'Données projet'!$B$166,DO41+DN42-DW41)))</f>
        <v>182.4</v>
      </c>
      <c r="DP42" s="17">
        <f>DO42*VLOOKUP('Données projet'!$B$14,Paramètres!$A$1:$I$89,3,0)*VLOOKUP('Données projet'!$B$14,Paramètres!$A$1:$I$89,5,0)</f>
        <v>145.11744000000002</v>
      </c>
      <c r="DQ42" s="13">
        <f t="shared" si="43"/>
        <v>37.466878406916173</v>
      </c>
      <c r="DR42" s="20">
        <f t="shared" si="16"/>
        <v>318.00102122537902</v>
      </c>
      <c r="DS42" s="59">
        <f t="shared" si="17"/>
        <v>591.87830133655734</v>
      </c>
      <c r="DT42" s="59">
        <f ca="1">AVERAGE(OFFSET($DS$3,0,0,'Données projet'!$E$14+1,1))-AVERAGE(OFFSET($H$3,0,0,'Données projet'!$E$14+1,1))</f>
        <v>309.14579005132464</v>
      </c>
      <c r="DU42" s="59">
        <f t="shared" si="44"/>
        <v>300.60311050289533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4.595812269214024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4.595812269214024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64.693803666685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11.4</v>
      </c>
      <c r="EJ42" s="12">
        <f>IF('Données projet'!$A$192&gt;35,EJ41+EI42-ER41,IF(A42&lt;'Données projet'!$A$192,$EG$205^A42,IF(A42='Données projet'!$A$192,'Données projet'!$B$192,EJ41+EI42-ER41)))</f>
        <v>216.6</v>
      </c>
      <c r="EK42" s="17">
        <f>EJ42*VLOOKUP('Données projet'!$B$15,Paramètres!$A$1:$I$89,3,0)*VLOOKUP('Données projet'!$B$15,Paramètres!$A$1:$I$89,5,0)</f>
        <v>158.81111999999999</v>
      </c>
      <c r="EL42" s="13">
        <f t="shared" si="45"/>
        <v>40.57424391712447</v>
      </c>
      <c r="EM42" s="20">
        <f t="shared" si="19"/>
        <v>347.26284215565846</v>
      </c>
      <c r="EN42" s="59">
        <f t="shared" si="20"/>
        <v>621.14012226683678</v>
      </c>
      <c r="EO42" s="59">
        <f ca="1">AVERAGE(OFFSET($EN$3,0,0,'Données projet'!$E$15+1,1))-AVERAGE(OFFSET($H$3,0,0,'Données projet'!$E$15+1,1))</f>
        <v>338.59243085476896</v>
      </c>
      <c r="EP42" s="59">
        <f t="shared" si="46"/>
        <v>329.8393445823275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6.1442359980365415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6.1442359980365415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64.693803666685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11.4</v>
      </c>
      <c r="FE42" s="12">
        <f>IF('Données projet'!$A$218&gt;35,FE41+FD42-FM41,IF(A42&lt;'Données projet'!$A$218,$FB$205^A42,IF(A42='Données projet'!$A$218,'Données projet'!$B$218,FE41+FD42-FM41)))</f>
        <v>216.6</v>
      </c>
      <c r="FF42" s="17">
        <f>FE42*VLOOKUP('Données projet'!$B$16,Paramètres!$A$1:$I$89,3,0)*VLOOKUP('Données projet'!$B$16,Paramètres!$A$1:$I$89,5,0)</f>
        <v>141.91631999999998</v>
      </c>
      <c r="FG42" s="13">
        <f t="shared" si="47"/>
        <v>36.735659538535209</v>
      </c>
      <c r="FH42" s="20">
        <f t="shared" si="22"/>
        <v>311.15219769628214</v>
      </c>
      <c r="FI42" s="59">
        <f t="shared" si="23"/>
        <v>585.02947780746047</v>
      </c>
      <c r="FJ42" s="59">
        <f ca="1">AVERAGE(OFFSET($FI$3,0,0,'Données projet'!$E$16+1,1))-AVERAGE(OFFSET($H$3,0,0,'Données projet'!$E$16+1,1))</f>
        <v>307.50573770128085</v>
      </c>
      <c r="FK42" s="59">
        <f t="shared" si="48"/>
        <v>300.2007312562655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5.4905938705858457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5.4905938705858457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64.693803666685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11.4</v>
      </c>
      <c r="FZ42" s="12">
        <f>IF('Données projet'!$A$244&gt;35,FZ41+FY42-GH41,IF(A42&lt;'Données projet'!$A$244,$FW$205^A42,IF(A42='Données projet'!$A$244,'Données projet'!$B$244,FZ41+FY42-GH41)))</f>
        <v>216.6</v>
      </c>
      <c r="GA42" s="17">
        <f>FZ42*VLOOKUP('Données projet'!$B$17,Paramètres!$A$1:$I$89,3,0)*VLOOKUP('Données projet'!$B$17,Paramètres!$A$1:$I$89,5,0)</f>
        <v>175.70592000000002</v>
      </c>
      <c r="GB42" s="13">
        <f t="shared" si="49"/>
        <v>44.365494122468341</v>
      </c>
      <c r="GC42" s="20">
        <f t="shared" si="25"/>
        <v>383.29104626329899</v>
      </c>
      <c r="GD42" s="59">
        <f t="shared" si="26"/>
        <v>657.16832637447737</v>
      </c>
      <c r="GE42" s="59">
        <f ca="1">AVERAGE(OFFSET($GD$3,0,0,'Données projet'!$E$17+1,1))-AVERAGE(OFFSET($H$3,0,0,'Données projet'!$E$17+1,1))</f>
        <v>369.60865427618342</v>
      </c>
      <c r="GF42" s="59">
        <f t="shared" si="50"/>
        <v>359.40898775279197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6.7978781254872382</v>
      </c>
      <c r="GM42" s="21">
        <f>EXP(-LN(2)/25)*GM41+(1-EXP(-LN(2)/25))/(LN(2)/25)*Calculateur!GH42*Calculateur!GJ42*VLOOKUP('Données projet'!$B$17,Paramètres!$A$1:$I$89,3,0)*0.475*44/12</f>
        <v>0</v>
      </c>
      <c r="GN42" s="21">
        <f>EXP(-LN(2)/2)*GN41+(1-EXP(-LN(2)/2))/(LN(2)/2)*GH42*GK42*VLOOKUP('Données projet'!$B$17,Paramètres!$A$1:$I$89,3,0)*0.475*44/12</f>
        <v>0</v>
      </c>
      <c r="GO42" s="21">
        <f t="shared" si="27"/>
        <v>6.7978781254872382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64.693803666685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9.6</v>
      </c>
      <c r="GU42" s="12">
        <f>IF('Données projet'!$A$270&gt;35,GU41+GT42-HC41,IF(A42&lt;'Données projet'!$A$270,$GR$205^A42,IF(A42='Données projet'!$A$270,'Données projet'!$B$270,GU41+GT42-HC41)))</f>
        <v>182.4</v>
      </c>
      <c r="GV42" s="17">
        <f>GU42*VLOOKUP('Données projet'!$B$18,Paramètres!$A$1:$I$89,3,0)*VLOOKUP('Données projet'!$B$18,Paramètres!$A$1:$I$89,5,0)</f>
        <v>119.50848000000001</v>
      </c>
      <c r="GW42" s="13">
        <f t="shared" si="51"/>
        <v>31.560332955588962</v>
      </c>
      <c r="GX42" s="20">
        <f t="shared" si="28"/>
        <v>263.11151589765069</v>
      </c>
      <c r="GY42" s="59">
        <f t="shared" si="29"/>
        <v>536.98879600882901</v>
      </c>
      <c r="GZ42" s="59">
        <f ca="1">AVERAGE(OFFSET($GY$3,0,0,'Données projet'!$E$18+1,1))-AVERAGE(OFFSET($H$3,0,0,'Données projet'!$E$18+1,1))</f>
        <v>262.62914256200031</v>
      </c>
      <c r="HA42" s="59">
        <f t="shared" si="52"/>
        <v>256.45129229594409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projet'!$B$18,Paramètres!$A$1:$I$89,3,0)*0.475*44/12</f>
        <v>3.0706759001851753</v>
      </c>
      <c r="HH42" s="21">
        <f>EXP(-LN(2)/25)*HH41+(1-EXP(-LN(2)/25))/(LN(2)/25)*Calculateur!HC42*Calculateur!HE42*VLOOKUP('Données projet'!$B$18,Paramètres!$A$1:$I$89,3,0)*0.475*44/12</f>
        <v>0</v>
      </c>
      <c r="HI42" s="21">
        <f>EXP(-LN(2)/2)*HI41+(1-EXP(-LN(2)/2))/(LN(2)/2)*HC42*HF42*VLOOKUP('Données projet'!$B$18,Paramètres!$A$1:$I$89,3,0)*0.475*44/12</f>
        <v>0</v>
      </c>
      <c r="HJ42" s="22">
        <f t="shared" si="30"/>
        <v>3.0706759001851753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2.1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7.7</v>
      </c>
      <c r="H43" s="67">
        <f t="shared" si="1"/>
        <v>225.86666666666665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64.785854310190189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163</v>
      </c>
      <c r="L43" s="12">
        <f>VLOOKUP(A43,'Données projet'!$A$35:$I$55,9,0)</f>
        <v>10.4</v>
      </c>
      <c r="M43" s="12">
        <f t="array" ref="M43">INDEX(L:L,MIN(IF(ISNUMBER(L43:L239),ROW(L43:L239),"")))</f>
        <v>10.4</v>
      </c>
      <c r="N43" s="13">
        <f>IF('Données projet'!$A$36&gt;35,N42+M43-V42,IF(A43&lt;'Données projet'!$A$36,$K$205^A43,IF(A43='Données projet'!$A$36,'Données projet'!$B$36,N42+M43-V42)))</f>
        <v>163.00000000000006</v>
      </c>
      <c r="O43" s="13">
        <f>N43*VLOOKUP('Données projet'!$B$9,Paramètres!$A$1:$I$89,3,0)*VLOOKUP('Données projet'!$B$9,Paramètres!$A$1:$I$89,5,0)</f>
        <v>139.85400000000007</v>
      </c>
      <c r="P43" s="13">
        <f t="shared" si="33"/>
        <v>36.263556914404674</v>
      </c>
      <c r="Q43" s="20">
        <f t="shared" si="53"/>
        <v>306.73807829258828</v>
      </c>
      <c r="R43" s="59">
        <f t="shared" si="0"/>
        <v>580.95287742995231</v>
      </c>
      <c r="S43" s="59">
        <f ca="1">AVERAGE(OFFSET($R$3,0,0,'Données projet'!$E$9+1,1))-AVERAGE(OFFSET($H$3,0,0,'Données projet'!$E$9+1,1))</f>
        <v>476.79071915271794</v>
      </c>
      <c r="T43" s="59">
        <f t="shared" si="34"/>
        <v>264.79929759351762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28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64.785854310190189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137</v>
      </c>
      <c r="AG43" s="12">
        <f>VLOOKUP(A43,'Données projet'!$A$61:$I$81,9,0)</f>
        <v>8.4</v>
      </c>
      <c r="AH43" s="12">
        <f t="array" ref="AH43">INDEX(AG:AG,MIN(IF(ISNUMBER(AG43:AG239),ROW(AG43:AG239),"")))</f>
        <v>8.4</v>
      </c>
      <c r="AI43" s="13">
        <f>IF('Données projet'!$A$62&gt;35,AI42+AH43-AQ42,IF(A43&lt;'Données projet'!$A$62,$AF$205^A43,IF(A43='Données projet'!$A$62,'Données projet'!$B$62,AI42+AH43-AQ42)))</f>
        <v>137.00000000000006</v>
      </c>
      <c r="AJ43" s="13">
        <f>AI43*VLOOKUP('Données projet'!$B$10,Paramètres!$A$1:$I$89,3,0)*VLOOKUP('Données projet'!$B$10,Paramètres!$A$1:$I$89,5,0)</f>
        <v>115.40880000000006</v>
      </c>
      <c r="AK43" s="13">
        <f t="shared" si="35"/>
        <v>30.60175820334798</v>
      </c>
      <c r="AL43" s="20">
        <f t="shared" si="4"/>
        <v>254.30172220416452</v>
      </c>
      <c r="AM43" s="59">
        <f t="shared" si="5"/>
        <v>528.51652134152857</v>
      </c>
      <c r="AN43" s="59">
        <f ca="1">AVERAGE(OFFSET($AM$3,0,0,'Données projet'!$E$10+1,1))-AVERAGE(OFFSET($H$3,0,0,'Données projet'!$E$10+1,1))</f>
        <v>365.104658862176</v>
      </c>
      <c r="AO43" s="59">
        <f t="shared" si="36"/>
        <v>226.29232910286325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21</v>
      </c>
      <c r="AR43" s="16">
        <f>IF(ISNA(VLOOKUP(A43,'Données projet'!$A$61:$I$81,5,0)),0%,VLOOKUP(A43,'Données projet'!$A$61:$I$81,5,0)*VLOOKUP('Données projet'!$B$10,Paramètres!$A$1:$I$89,7,0))</f>
        <v>8.6000000000000007E-2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1.6818343353797147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1.6818343353797147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64.785854310190189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137</v>
      </c>
      <c r="BB43" s="12">
        <f>VLOOKUP(A43,'Données projet'!$A$87:$I$107,9,0)</f>
        <v>8.4</v>
      </c>
      <c r="BC43" s="12">
        <f t="array" ref="BC43">INDEX(BB:BB,MIN(IF(ISNUMBER(BB43:BB239),ROW(BB43:BB239),"")))</f>
        <v>8.4</v>
      </c>
      <c r="BD43" s="12">
        <f>IF('Données projet'!$A$88&gt;35,BD42+BC43-BL42,IF(A43&lt;'Données projet'!$A$88,$BA$205^A43,IF(A43='Données projet'!$A$88,'Données projet'!$B$88,BD42+BC43-BL42)))</f>
        <v>137.00000000000006</v>
      </c>
      <c r="BE43" s="13">
        <f>BD43*VLOOKUP('Données projet'!$B$11,Paramètres!$A$1:$I$89,3,0)*VLOOKUP('Données projet'!$B$11,Paramètres!$A$1:$I$89,5,0)</f>
        <v>123.95760000000004</v>
      </c>
      <c r="BF43" s="13">
        <f t="shared" si="37"/>
        <v>32.59629414926458</v>
      </c>
      <c r="BG43" s="20">
        <f t="shared" si="7"/>
        <v>272.66469897663586</v>
      </c>
      <c r="BH43" s="59">
        <f t="shared" si="8"/>
        <v>546.87949811399994</v>
      </c>
      <c r="BI43" s="59">
        <f ca="1">AVERAGE(OFFSET($BH$3,0,0,'Données projet'!$E$11+1,1))-AVERAGE(OFFSET($H$3,0,0,'Données projet'!$E$11+1,1))</f>
        <v>388.12494342575195</v>
      </c>
      <c r="BJ43" s="59">
        <f t="shared" si="38"/>
        <v>239.39471445648454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21</v>
      </c>
      <c r="BM43" s="16">
        <f>IF(ISNA(VLOOKUP(A43,'Données projet'!$A$87:$I$107,5,0)),0%,VLOOKUP(A43,'Données projet'!$A$87:$I$107,5,0)*VLOOKUP('Données projet'!$B$11,Paramètres!$A$1:$I$89,7,0))</f>
        <v>8.6000000000000007E-2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1.8064146565189523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1.8064146565189523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64.785854310190189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137</v>
      </c>
      <c r="BW43" s="12">
        <f>VLOOKUP(A43,'Données projet'!$A$113:$I$133,9,0)</f>
        <v>8.4</v>
      </c>
      <c r="BX43" s="12">
        <f t="array" ref="BX43">INDEX(BW:BW,MIN(IF(ISNUMBER(BW43:BW239),ROW(BW43:BW239),"")))</f>
        <v>8.4</v>
      </c>
      <c r="BY43" s="12">
        <f>IF('Données projet'!$A$114&gt;35,BY42+BX43-CG42,IF(A43&lt;'Données projet'!$A$114,$BV$205^A43,IF(A43='Données projet'!$A$114,'Données projet'!$B$114,BY42+BX43-CG42)))</f>
        <v>137.00000000000006</v>
      </c>
      <c r="BZ43" s="13">
        <f>BY43*VLOOKUP('Données projet'!$B$12,Paramètres!$A$1:$I$89,3,0)*VLOOKUP('Données projet'!$B$12,Paramètres!$A$1:$I$89,5,0)</f>
        <v>138.91800000000006</v>
      </c>
      <c r="CA43" s="13">
        <f t="shared" si="39"/>
        <v>36.049022673886341</v>
      </c>
      <c r="CB43" s="20">
        <f t="shared" si="10"/>
        <v>304.73423115701877</v>
      </c>
      <c r="CC43" s="59">
        <f t="shared" si="11"/>
        <v>578.94903029438274</v>
      </c>
      <c r="CD43" s="59">
        <f ca="1">AVERAGE(OFFSET($CC$3,0,0,'Données projet'!$E$12+1,1))-AVERAGE(OFFSET($H$3,0,0,'Données projet'!$E$12+1,1))</f>
        <v>428.33148932885132</v>
      </c>
      <c r="CE43" s="59">
        <f t="shared" si="40"/>
        <v>262.27548054534373</v>
      </c>
      <c r="CF43" s="15">
        <f>IF(ISNA(VLOOKUP(A43,'Données projet'!$A$113:$I$133,3,0)),0,VLOOKUP(A43,'Données projet'!$A$113:$I$133,3,0))</f>
        <v>5</v>
      </c>
      <c r="CG43" s="15">
        <f>IF(ISNA(VLOOKUP(A43,'Données projet'!$A$113:$I$133,4,0)),0,VLOOKUP(A43,'Données projet'!$A$113:$I$133,4,0))</f>
        <v>21</v>
      </c>
      <c r="CH43" s="16">
        <f>IF(ISNA(VLOOKUP(A43,'Données projet'!$A$113:$I$133,5,0)),0%,VLOOKUP(A43,'Données projet'!$A$113:$I$133,5,0)*VLOOKUP('Données projet'!$B$12,Paramètres!$A$1:$I$89,7,0))</f>
        <v>8.6000000000000007E-2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2.0244302185126197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2.0244302185126197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64.785854310190189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93</v>
      </c>
      <c r="CR43" s="12">
        <f>VLOOKUP(A43,'Données projet'!$A$139:$I$159,9,0)</f>
        <v>5.4</v>
      </c>
      <c r="CS43" s="12">
        <f t="array" ref="CS43">INDEX(CR:CR,MIN(IF(ISNUMBER(CR43:CR239),ROW(CR43:CR239),"")))</f>
        <v>5.4</v>
      </c>
      <c r="CT43" s="12">
        <f>IF('Données projet'!$A$140&gt;35,CT42+CS43-DB42,IF(A43&lt;'Données projet'!$A$140,$CQ$205^A43,IF(A43='Données projet'!$A$140,'Données projet'!$B$140,CT42+CS43-DB42)))</f>
        <v>93.000000000000014</v>
      </c>
      <c r="CU43" s="17">
        <f>CT43*VLOOKUP('Données projet'!$B$13,Paramètres!$A$1:$I$89,3,0)*VLOOKUP('Données projet'!$B$13,Paramètres!$A$1:$I$89,5,0)</f>
        <v>88.498800000000003</v>
      </c>
      <c r="CV43" s="13">
        <f t="shared" si="41"/>
        <v>24.202818028970764</v>
      </c>
      <c r="CW43" s="20">
        <f t="shared" si="13"/>
        <v>196.28865140045741</v>
      </c>
      <c r="CX43" s="59">
        <f t="shared" si="14"/>
        <v>470.50345053782144</v>
      </c>
      <c r="CY43" s="59">
        <f ca="1">AVERAGE(OFFSET($CX$3,0,0,'Données projet'!$E$13+1,1))-AVERAGE(OFFSET($H$3,0,0,'Données projet'!$E$13+1,1))</f>
        <v>307.62549820830162</v>
      </c>
      <c r="CZ43" s="59">
        <f t="shared" si="42"/>
        <v>160.26466014910304</v>
      </c>
      <c r="DA43" s="15">
        <f>IF(ISNA(VLOOKUP(A43,'Données projet'!$A$139:$I$159,3,0)),0,VLOOKUP(A43,'Données projet'!$A$139:$I$159,3,0))</f>
        <v>4</v>
      </c>
      <c r="DB43" s="15">
        <f>IF(ISNA(VLOOKUP(A43,'Données projet'!$A$139:$I$159,4,0)),0,VLOOKUP(A43,'Données projet'!$A$139:$I$159,4,0))</f>
        <v>14</v>
      </c>
      <c r="DC43" s="16">
        <f>IF(ISNA(VLOOKUP(A43,'Données projet'!$A$139:$I$159,5,0)),0%,VLOOKUP(A43,'Données projet'!$A$139:$I$159,5,0)*VLOOKUP('Données projet'!$B$13,Paramètres!$A$1:$I$89,7,0))</f>
        <v>8.6000000000000007E-2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1.2665665982489209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1.2665665982489209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64.785854310190189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192</v>
      </c>
      <c r="DM43" s="12">
        <f>VLOOKUP(A43,'Données projet'!$A$165:$I$185,9,0)</f>
        <v>9.6</v>
      </c>
      <c r="DN43" s="12">
        <f t="array" ref="DN43">INDEX(DM:DM,MIN(IF(ISNUMBER(DM43:DM239),ROW(DM43:DM239),"")))</f>
        <v>9.6</v>
      </c>
      <c r="DO43" s="12">
        <f>IF('Données projet'!$A$166&gt;35,DO42+DN43-DW42,IF(A43&lt;'Données projet'!$A$166,$DL$205^A43,IF(A43='Données projet'!$A$166,'Données projet'!$B$166,DO42+DN43-DW42)))</f>
        <v>192</v>
      </c>
      <c r="DP43" s="17">
        <f>DO43*VLOOKUP('Données projet'!$B$14,Paramètres!$A$1:$I$89,3,0)*VLOOKUP('Données projet'!$B$14,Paramètres!$A$1:$I$89,5,0)</f>
        <v>152.7552</v>
      </c>
      <c r="DQ43" s="13">
        <f t="shared" si="43"/>
        <v>39.204049895729561</v>
      </c>
      <c r="DR43" s="20">
        <f t="shared" si="16"/>
        <v>334.32902690172892</v>
      </c>
      <c r="DS43" s="59">
        <f t="shared" si="17"/>
        <v>608.54382603909289</v>
      </c>
      <c r="DT43" s="59">
        <f ca="1">AVERAGE(OFFSET($DS$3,0,0,'Données projet'!$E$14+1,1))-AVERAGE(OFFSET($H$3,0,0,'Données projet'!$E$14+1,1))</f>
        <v>309.14579005132464</v>
      </c>
      <c r="DU43" s="59">
        <f t="shared" si="44"/>
        <v>300.60311050289533</v>
      </c>
      <c r="DV43" s="15">
        <f>IF(ISNA(VLOOKUP(A43,'Données projet'!$A$165:$I$185,3,0)),0,VLOOKUP(A43,'Données projet'!$A$165:$I$185,3,0))</f>
        <v>6</v>
      </c>
      <c r="DW43" s="15">
        <f>IF(ISNA(VLOOKUP(A43,'Données projet'!$A$165:$I$185,4,0)),0,VLOOKUP(A43,'Données projet'!$A$165:$I$185,4,0))</f>
        <v>28</v>
      </c>
      <c r="DX43" s="16">
        <f>IF(ISNA(VLOOKUP(A43,'Données projet'!$A$165:$I$185,5,0)),0%,VLOOKUP(A43,'Données projet'!$A$165:$I$185,5,0)*VLOOKUP('Données projet'!$B$14,Paramètres!$A$1:$I$89,7,0))</f>
        <v>0.10600000000000001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7.1160835041660722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7.1160835041660722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64.785854310190189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228</v>
      </c>
      <c r="EH43" s="12">
        <f>VLOOKUP(A43,'Données projet'!$A$191:$I$211,9,0)</f>
        <v>11.4</v>
      </c>
      <c r="EI43" s="12">
        <f t="array" ref="EI43">INDEX(EH:EH,MIN(IF(ISNUMBER(EH43:EH239),ROW(EH43:EH239),"")))</f>
        <v>11.4</v>
      </c>
      <c r="EJ43" s="12">
        <f>IF('Données projet'!$A$192&gt;35,EJ42+EI43-ER42,IF(A43&lt;'Données projet'!$A$192,$EG$205^A43,IF(A43='Données projet'!$A$192,'Données projet'!$B$192,EJ42+EI43-ER42)))</f>
        <v>228</v>
      </c>
      <c r="EK43" s="17">
        <f>EJ43*VLOOKUP('Données projet'!$B$15,Paramètres!$A$1:$I$89,3,0)*VLOOKUP('Données projet'!$B$15,Paramètres!$A$1:$I$89,5,0)</f>
        <v>167.1696</v>
      </c>
      <c r="EL43" s="13">
        <f t="shared" si="45"/>
        <v>42.455490039298851</v>
      </c>
      <c r="EM43" s="20">
        <f t="shared" si="19"/>
        <v>365.09703181844549</v>
      </c>
      <c r="EN43" s="59">
        <f t="shared" si="20"/>
        <v>639.31183095580946</v>
      </c>
      <c r="EO43" s="59">
        <f ca="1">AVERAGE(OFFSET($EN$3,0,0,'Données projet'!$E$15+1,1))-AVERAGE(OFFSET($H$3,0,0,'Données projet'!$E$15+1,1))</f>
        <v>338.59243085476896</v>
      </c>
      <c r="EP43" s="59">
        <f t="shared" si="46"/>
        <v>329.8393445823275</v>
      </c>
      <c r="EQ43" s="15">
        <f>IF(ISNA(VLOOKUP(A43,'Données projet'!$A$191:$I$211,3,0)),0,VLOOKUP(A43,'Données projet'!$A$191:$I$211,3,0))</f>
        <v>7</v>
      </c>
      <c r="ER43" s="15">
        <f>IF(ISNA(VLOOKUP(A43,'Données projet'!$A$191:$I$211,4,0)),0,VLOOKUP(A43,'Données projet'!$A$191:$I$211,4,0))</f>
        <v>35</v>
      </c>
      <c r="ES43" s="16">
        <f>IF(ISNA(VLOOKUP(A43,'Données projet'!$A$191:$I$211,5,0)),0%,VLOOKUP(A43,'Données projet'!$A$191:$I$211,5,0)*VLOOKUP('Données projet'!$B$15,Paramètres!$A$1:$I$89,7,0))</f>
        <v>0.129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9.683298211194078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9.683298211194078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64.785854310190189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228</v>
      </c>
      <c r="FC43" s="12">
        <f>VLOOKUP(A43,'Données projet'!$A$217:$I$237,9,0)</f>
        <v>11.4</v>
      </c>
      <c r="FD43" s="12">
        <f t="array" ref="FD43">INDEX(FC:FC,MIN(IF(ISNUMBER(FC43:FC239),ROW(FC43:FC239),"")))</f>
        <v>11.4</v>
      </c>
      <c r="FE43" s="12">
        <f>IF('Données projet'!$A$218&gt;35,FE42+FD43-FM42,IF(A43&lt;'Données projet'!$A$218,$FB$205^A43,IF(A43='Données projet'!$A$218,'Données projet'!$B$218,FE42+FD43-FM42)))</f>
        <v>228</v>
      </c>
      <c r="FF43" s="17">
        <f>FE43*VLOOKUP('Données projet'!$B$16,Paramètres!$A$1:$I$89,3,0)*VLOOKUP('Données projet'!$B$16,Paramètres!$A$1:$I$89,5,0)</f>
        <v>149.38559999999998</v>
      </c>
      <c r="FG43" s="13">
        <f t="shared" si="47"/>
        <v>38.438927680599591</v>
      </c>
      <c r="FH43" s="20">
        <f t="shared" si="22"/>
        <v>327.1277190437109</v>
      </c>
      <c r="FI43" s="59">
        <f t="shared" si="23"/>
        <v>601.34251818107487</v>
      </c>
      <c r="FJ43" s="59">
        <f ca="1">AVERAGE(OFFSET($FI$3,0,0,'Données projet'!$E$16+1,1))-AVERAGE(OFFSET($H$3,0,0,'Données projet'!$E$16+1,1))</f>
        <v>307.50573770128085</v>
      </c>
      <c r="FK43" s="59">
        <f t="shared" si="48"/>
        <v>300.2007312562655</v>
      </c>
      <c r="FL43" s="15">
        <f>IF(ISNA(VLOOKUP(A43,'Données projet'!$A$217:$I$237,3,0)),0,VLOOKUP(A43,'Données projet'!$A$217:$I$237,3,0))</f>
        <v>7</v>
      </c>
      <c r="FM43" s="15">
        <f>IF(ISNA(VLOOKUP(A43,'Données projet'!$A$217:$I$237,4,0)),0,VLOOKUP(A43,'Données projet'!$A$217:$I$237,4,0))</f>
        <v>35</v>
      </c>
      <c r="FN43" s="16">
        <f>IF(ISNA(VLOOKUP(A43,'Données projet'!$A$217:$I$237,5,0)),0%,VLOOKUP(A43,'Données projet'!$A$217:$I$237,5,0)*VLOOKUP('Données projet'!$B$16,Paramètres!$A$1:$I$89,7,0))</f>
        <v>0.129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8.6531601036202392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8.6531601036202392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64.785854310190189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228</v>
      </c>
      <c r="FX43" s="12">
        <f>VLOOKUP(A43,'Données projet'!$A$243:$I$263,9,0)</f>
        <v>11.4</v>
      </c>
      <c r="FY43" s="12">
        <f t="array" ref="FY43">INDEX(FX:FX,MIN(IF(ISNUMBER(FX43:FX239),ROW(FX43:FX239),"")))</f>
        <v>11.4</v>
      </c>
      <c r="FZ43" s="12">
        <f>IF('Données projet'!$A$244&gt;35,FZ42+FY43-GH42,IF(A43&lt;'Données projet'!$A$244,$FW$205^A43,IF(A43='Données projet'!$A$244,'Données projet'!$B$244,FZ42+FY43-GH42)))</f>
        <v>228</v>
      </c>
      <c r="GA43" s="17">
        <f>FZ43*VLOOKUP('Données projet'!$B$17,Paramètres!$A$1:$I$89,3,0)*VLOOKUP('Données projet'!$B$17,Paramètres!$A$1:$I$89,5,0)</f>
        <v>184.95360000000002</v>
      </c>
      <c r="GB43" s="13">
        <f t="shared" si="49"/>
        <v>46.42252355095799</v>
      </c>
      <c r="GC43" s="20">
        <f t="shared" si="25"/>
        <v>402.9800818512519</v>
      </c>
      <c r="GD43" s="59">
        <f t="shared" si="26"/>
        <v>677.19488098861598</v>
      </c>
      <c r="GE43" s="59">
        <f ca="1">AVERAGE(OFFSET($GD$3,0,0,'Données projet'!$E$17+1,1))-AVERAGE(OFFSET($H$3,0,0,'Données projet'!$E$17+1,1))</f>
        <v>369.60865427618342</v>
      </c>
      <c r="GF43" s="59">
        <f t="shared" si="50"/>
        <v>359.40898775279197</v>
      </c>
      <c r="GG43" s="15">
        <f>IF(ISNA(VLOOKUP(A43,'Données projet'!$A$243:$I$263,3,0)),0,VLOOKUP(A43,'Données projet'!$A$243:$I$263,3,0))</f>
        <v>7</v>
      </c>
      <c r="GH43" s="15">
        <f>IF(ISNA(VLOOKUP(A43,'Données projet'!$A$243:$I$263,4,0)),0,VLOOKUP(A43,'Données projet'!$A$243:$I$263,4,0))</f>
        <v>35</v>
      </c>
      <c r="GI43" s="16">
        <f>IF(ISNA(VLOOKUP(A43,'Données projet'!$A$243:$I$263,5,0)),0%,VLOOKUP(A43,'Données projet'!$A$243:$I$263,5,0)*VLOOKUP('Données projet'!$B$17,Paramètres!$A$1:$I$89,7,0))</f>
        <v>0.129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10.713436318767917</v>
      </c>
      <c r="GM43" s="21">
        <f>EXP(-LN(2)/25)*GM42+(1-EXP(-LN(2)/25))/(LN(2)/25)*Calculateur!GH43*Calculateur!GJ43*VLOOKUP('Données projet'!$B$17,Paramètres!$A$1:$I$89,3,0)*0.475*44/12</f>
        <v>0</v>
      </c>
      <c r="GN43" s="21">
        <f>EXP(-LN(2)/2)*GN42+(1-EXP(-LN(2)/2))/(LN(2)/2)*GH43*GK43*VLOOKUP('Données projet'!$B$17,Paramètres!$A$1:$I$89,3,0)*0.475*44/12</f>
        <v>0</v>
      </c>
      <c r="GO43" s="21">
        <f t="shared" si="27"/>
        <v>10.713436318767917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64.785854310190189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>
        <f>VLOOKUP(A43,'Données projet'!$A$269:$I$289,2,0)</f>
        <v>192</v>
      </c>
      <c r="GS43" s="12">
        <f>VLOOKUP(A43,'Données projet'!$A$269:$I$289,9,0)</f>
        <v>9.6</v>
      </c>
      <c r="GT43" s="12">
        <f t="array" ref="GT43">INDEX(GS:GS,MIN(IF(ISNUMBER(GS43:GS239),ROW(GS43:GS239),"")))</f>
        <v>9.6</v>
      </c>
      <c r="GU43" s="12">
        <f>IF('Données projet'!$A$270&gt;35,GU42+GT43-HC42,IF(A43&lt;'Données projet'!$A$270,$GR$205^A43,IF(A43='Données projet'!$A$270,'Données projet'!$B$270,GU42+GT43-HC42)))</f>
        <v>192</v>
      </c>
      <c r="GV43" s="17">
        <f>GU43*VLOOKUP('Données projet'!$B$18,Paramètres!$A$1:$I$89,3,0)*VLOOKUP('Données projet'!$B$18,Paramètres!$A$1:$I$89,5,0)</f>
        <v>125.7984</v>
      </c>
      <c r="GW43" s="13">
        <f t="shared" si="51"/>
        <v>33.023644363399924</v>
      </c>
      <c r="GX43" s="20">
        <f t="shared" si="28"/>
        <v>276.61506059958816</v>
      </c>
      <c r="GY43" s="59">
        <f t="shared" si="29"/>
        <v>550.82985973695213</v>
      </c>
      <c r="GZ43" s="59">
        <f ca="1">AVERAGE(OFFSET($GY$3,0,0,'Données projet'!$E$18+1,1))-AVERAGE(OFFSET($H$3,0,0,'Données projet'!$E$18+1,1))</f>
        <v>262.62914256200031</v>
      </c>
      <c r="HA43" s="59">
        <f t="shared" si="52"/>
        <v>256.45129229594409</v>
      </c>
      <c r="HB43" s="15">
        <f>IF(ISNA(VLOOKUP(A43,'Données projet'!$A$269:$I$289,3,0)),0,VLOOKUP(A43,'Données projet'!$A$269:$I$289,3,0))</f>
        <v>6</v>
      </c>
      <c r="HC43" s="15">
        <f>IF(ISNA(VLOOKUP(A43,'Données projet'!$A$269:$I$289,4,0)),0,VLOOKUP(A43,'Données projet'!$A$269:$I$289,4,0))</f>
        <v>28</v>
      </c>
      <c r="HD43" s="16">
        <f>IF(ISNA(VLOOKUP(A43,'Données projet'!$A$269:$I$289,5,0)),0%,VLOOKUP(A43,'Données projet'!$A$269:$I$289,5,0)*VLOOKUP('Données projet'!$B$18,Paramètres!$A$1:$I$89,7,0))</f>
        <v>8.6000000000000007E-2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>
        <f>EXP(-LN(2)/35)*HG42+(1-EXP(-LN(2)/35))/(LN(2)/35)*HC43*HD43*VLOOKUP('Données projet'!$B$18,Paramètres!$A$1:$I$89,3,0)*0.475*44/12</f>
        <v>4.7545863146592406</v>
      </c>
      <c r="HH43" s="21">
        <f>EXP(-LN(2)/25)*HH42+(1-EXP(-LN(2)/25))/(LN(2)/25)*Calculateur!HC43*Calculateur!HE43*VLOOKUP('Données projet'!$B$18,Paramètres!$A$1:$I$89,3,0)*0.475*44/12</f>
        <v>0</v>
      </c>
      <c r="HI43" s="21">
        <f>EXP(-LN(2)/2)*HI42+(1-EXP(-LN(2)/2))/(LN(2)/2)*HC43*HF43*VLOOKUP('Données projet'!$B$18,Paramètres!$A$1:$I$89,3,0)*0.475*44/12</f>
        <v>0</v>
      </c>
      <c r="HJ43" s="22">
        <f t="shared" si="30"/>
        <v>4.7545863146592406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2.1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7.7</v>
      </c>
      <c r="H44" s="67">
        <f t="shared" si="1"/>
        <v>225.86666666666665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64.876308080824998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</v>
      </c>
      <c r="N44" s="13">
        <f>IF('Données projet'!$A$36&gt;35,N43+M44-V43,IF(A44&lt;'Données projet'!$A$36,$K$205^A44,IF(A44='Données projet'!$A$36,'Données projet'!$B$36,N43+M44-V43)))</f>
        <v>146.00000000000006</v>
      </c>
      <c r="O44" s="13">
        <f>N44*VLOOKUP('Données projet'!$B$9,Paramètres!$A$1:$I$89,3,0)*VLOOKUP('Données projet'!$B$9,Paramètres!$A$1:$I$89,5,0)</f>
        <v>125.26800000000007</v>
      </c>
      <c r="P44" s="13">
        <f t="shared" si="33"/>
        <v>32.9005846700787</v>
      </c>
      <c r="Q44" s="20">
        <f t="shared" si="53"/>
        <v>275.47695163372049</v>
      </c>
      <c r="R44" s="59">
        <f t="shared" si="0"/>
        <v>550.02341459674551</v>
      </c>
      <c r="S44" s="59">
        <f ca="1">AVERAGE(OFFSET($R$3,0,0,'Données projet'!$E$9+1,1))-AVERAGE(OFFSET($H$3,0,0,'Données projet'!$E$9+1,1))</f>
        <v>476.79071915271794</v>
      </c>
      <c r="T44" s="59">
        <f t="shared" si="34"/>
        <v>264.79929759351762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64.876308080824998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8.4</v>
      </c>
      <c r="AI44" s="13">
        <f>IF('Données projet'!$A$62&gt;35,AI43+AH44-AQ43,IF(A44&lt;'Données projet'!$A$62,$AF$205^A44,IF(A44='Données projet'!$A$62,'Données projet'!$B$62,AI43+AH44-AQ43)))</f>
        <v>124.40000000000006</v>
      </c>
      <c r="AJ44" s="13">
        <f>AI44*VLOOKUP('Données projet'!$B$10,Paramètres!$A$1:$I$89,3,0)*VLOOKUP('Données projet'!$B$10,Paramètres!$A$1:$I$89,5,0)</f>
        <v>104.79456000000008</v>
      </c>
      <c r="AK44" s="13">
        <f t="shared" si="35"/>
        <v>28.101103481959885</v>
      </c>
      <c r="AL44" s="20">
        <f t="shared" si="4"/>
        <v>231.45994723108024</v>
      </c>
      <c r="AM44" s="59">
        <f t="shared" si="5"/>
        <v>506.00641019410523</v>
      </c>
      <c r="AN44" s="59">
        <f ca="1">AVERAGE(OFFSET($AM$3,0,0,'Données projet'!$E$10+1,1))-AVERAGE(OFFSET($H$3,0,0,'Données projet'!$E$10+1,1))</f>
        <v>365.104658862176</v>
      </c>
      <c r="AO44" s="59">
        <f t="shared" si="36"/>
        <v>226.29232910286325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1.648854589880572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1.648854589880572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64.876308080824998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8.4</v>
      </c>
      <c r="BD44" s="12">
        <f>IF('Données projet'!$A$88&gt;35,BD43+BC44-BL43,IF(A44&lt;'Données projet'!$A$88,$BA$205^A44,IF(A44='Données projet'!$A$88,'Données projet'!$B$88,BD43+BC44-BL43)))</f>
        <v>124.40000000000006</v>
      </c>
      <c r="BE44" s="13">
        <f>BD44*VLOOKUP('Données projet'!$B$11,Paramètres!$A$1:$I$89,3,0)*VLOOKUP('Données projet'!$B$11,Paramètres!$A$1:$I$89,5,0)</f>
        <v>112.55712000000005</v>
      </c>
      <c r="BF44" s="13">
        <f t="shared" si="37"/>
        <v>29.932653834140599</v>
      </c>
      <c r="BG44" s="20">
        <f t="shared" si="7"/>
        <v>248.16968942779499</v>
      </c>
      <c r="BH44" s="59">
        <f t="shared" si="8"/>
        <v>522.71615239082007</v>
      </c>
      <c r="BI44" s="59">
        <f ca="1">AVERAGE(OFFSET($BH$3,0,0,'Données projet'!$E$11+1,1))-AVERAGE(OFFSET($H$3,0,0,'Données projet'!$E$11+1,1))</f>
        <v>388.12494342575195</v>
      </c>
      <c r="BJ44" s="59">
        <f t="shared" si="38"/>
        <v>239.39471445648454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1.7709919669087619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1.7709919669087619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64.876308080824998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8.4</v>
      </c>
      <c r="BY44" s="12">
        <f>IF('Données projet'!$A$114&gt;35,BY43+BX44-CG43,IF(A44&lt;'Données projet'!$A$114,$BV$205^A44,IF(A44='Données projet'!$A$114,'Données projet'!$B$114,BY43+BX44-CG43)))</f>
        <v>124.40000000000006</v>
      </c>
      <c r="BZ44" s="13">
        <f>BY44*VLOOKUP('Données projet'!$B$12,Paramètres!$A$1:$I$89,3,0)*VLOOKUP('Données projet'!$B$12,Paramètres!$A$1:$I$89,5,0)</f>
        <v>126.14160000000007</v>
      </c>
      <c r="CA44" s="13">
        <f t="shared" si="39"/>
        <v>33.10323903126482</v>
      </c>
      <c r="CB44" s="20">
        <f t="shared" si="10"/>
        <v>277.35142797945304</v>
      </c>
      <c r="CC44" s="59">
        <f t="shared" si="11"/>
        <v>551.89789094247806</v>
      </c>
      <c r="CD44" s="59">
        <f ca="1">AVERAGE(OFFSET($CC$3,0,0,'Données projet'!$E$12+1,1))-AVERAGE(OFFSET($H$3,0,0,'Données projet'!$E$12+1,1))</f>
        <v>428.33148932885132</v>
      </c>
      <c r="CE44" s="59">
        <f t="shared" si="40"/>
        <v>262.27548054534373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1.984732376708096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1.984732376708096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64.876308080824998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5.6</v>
      </c>
      <c r="CT44" s="12">
        <f>IF('Données projet'!$A$140&gt;35,CT43+CS44-DB43,IF(A44&lt;'Données projet'!$A$140,$CQ$205^A44,IF(A44='Données projet'!$A$140,'Données projet'!$B$140,CT43+CS44-DB43)))</f>
        <v>84.600000000000009</v>
      </c>
      <c r="CU44" s="17">
        <f>CT44*VLOOKUP('Données projet'!$B$13,Paramètres!$A$1:$I$89,3,0)*VLOOKUP('Données projet'!$B$13,Paramètres!$A$1:$I$89,5,0)</f>
        <v>80.50536000000001</v>
      </c>
      <c r="CV44" s="13">
        <f t="shared" si="41"/>
        <v>22.260701954394872</v>
      </c>
      <c r="CW44" s="20">
        <f t="shared" si="13"/>
        <v>178.98422457057109</v>
      </c>
      <c r="CX44" s="59">
        <f t="shared" si="14"/>
        <v>453.53068753359611</v>
      </c>
      <c r="CY44" s="59">
        <f ca="1">AVERAGE(OFFSET($CX$3,0,0,'Données projet'!$E$13+1,1))-AVERAGE(OFFSET($H$3,0,0,'Données projet'!$E$13+1,1))</f>
        <v>307.62549820830162</v>
      </c>
      <c r="CZ44" s="59">
        <f t="shared" si="42"/>
        <v>160.26466014910304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1.2417299997866036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1.2417299997866036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64.876308080824998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8.1999999999999993</v>
      </c>
      <c r="DO44" s="12">
        <f>IF('Données projet'!$A$166&gt;35,DO43+DN44-DW43,IF(A44&lt;'Données projet'!$A$166,$DL$205^A44,IF(A44='Données projet'!$A$166,'Données projet'!$B$166,DO43+DN44-DW43)))</f>
        <v>172.2</v>
      </c>
      <c r="DP44" s="17">
        <f>DO44*VLOOKUP('Données projet'!$B$14,Paramètres!$A$1:$I$89,3,0)*VLOOKUP('Données projet'!$B$14,Paramètres!$A$1:$I$89,5,0)</f>
        <v>137.00232</v>
      </c>
      <c r="DQ44" s="13">
        <f t="shared" si="43"/>
        <v>35.609416420931346</v>
      </c>
      <c r="DR44" s="20">
        <f t="shared" si="16"/>
        <v>300.63210759978875</v>
      </c>
      <c r="DS44" s="59">
        <f t="shared" si="17"/>
        <v>575.17857056281377</v>
      </c>
      <c r="DT44" s="59">
        <f ca="1">AVERAGE(OFFSET($DS$3,0,0,'Données projet'!$E$14+1,1))-AVERAGE(OFFSET($H$3,0,0,'Données projet'!$E$14+1,1))</f>
        <v>309.14579005132464</v>
      </c>
      <c r="DU44" s="59">
        <f t="shared" si="44"/>
        <v>300.60311050289533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6.9765414470317362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6.9765414470317362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64.876308080824998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9.8000000000000007</v>
      </c>
      <c r="EJ44" s="12">
        <f>IF('Données projet'!$A$192&gt;35,EJ43+EI44-ER43,IF(A44&lt;'Données projet'!$A$192,$EG$205^A44,IF(A44='Données projet'!$A$192,'Données projet'!$B$192,EJ43+EI44-ER43)))</f>
        <v>202.8</v>
      </c>
      <c r="EK44" s="17">
        <f>EJ44*VLOOKUP('Données projet'!$B$15,Paramètres!$A$1:$I$89,3,0)*VLOOKUP('Données projet'!$B$15,Paramètres!$A$1:$I$89,5,0)</f>
        <v>148.69296</v>
      </c>
      <c r="EL44" s="13">
        <f t="shared" si="45"/>
        <v>38.281404966971365</v>
      </c>
      <c r="EM44" s="20">
        <f t="shared" si="19"/>
        <v>325.64701898414177</v>
      </c>
      <c r="EN44" s="59">
        <f t="shared" si="20"/>
        <v>600.19348194716679</v>
      </c>
      <c r="EO44" s="59">
        <f ca="1">AVERAGE(OFFSET($EN$3,0,0,'Données projet'!$E$15+1,1))-AVERAGE(OFFSET($H$3,0,0,'Données projet'!$E$15+1,1))</f>
        <v>338.59243085476896</v>
      </c>
      <c r="EP44" s="59">
        <f t="shared" si="46"/>
        <v>329.8393445823275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9.49341463950128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9.49341463950128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64.876308080824998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9.8000000000000007</v>
      </c>
      <c r="FE44" s="12">
        <f>IF('Données projet'!$A$218&gt;35,FE43+FD44-FM43,IF(A44&lt;'Données projet'!$A$218,$FB$205^A44,IF(A44='Données projet'!$A$218,'Données projet'!$B$218,FE43+FD44-FM43)))</f>
        <v>202.8</v>
      </c>
      <c r="FF44" s="17">
        <f>FE44*VLOOKUP('Données projet'!$B$16,Paramètres!$A$1:$I$89,3,0)*VLOOKUP('Données projet'!$B$16,Paramètres!$A$1:$I$89,5,0)</f>
        <v>132.87456</v>
      </c>
      <c r="FG44" s="13">
        <f t="shared" si="47"/>
        <v>34.659737896678863</v>
      </c>
      <c r="FH44" s="20">
        <f t="shared" si="22"/>
        <v>291.78890217004903</v>
      </c>
      <c r="FI44" s="59">
        <f t="shared" si="23"/>
        <v>566.33536513307399</v>
      </c>
      <c r="FJ44" s="59">
        <f ca="1">AVERAGE(OFFSET($FI$3,0,0,'Données projet'!$E$16+1,1))-AVERAGE(OFFSET($H$3,0,0,'Données projet'!$E$16+1,1))</f>
        <v>307.50573770128085</v>
      </c>
      <c r="FK44" s="59">
        <f t="shared" si="48"/>
        <v>300.2007312562655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8.4834769118947602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8.4834769118947602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64.876308080824998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9.8000000000000007</v>
      </c>
      <c r="FZ44" s="12">
        <f>IF('Données projet'!$A$244&gt;35,FZ43+FY44-GH43,IF(A44&lt;'Données projet'!$A$244,$FW$205^A44,IF(A44='Données projet'!$A$244,'Données projet'!$B$244,FZ43+FY44-GH43)))</f>
        <v>202.8</v>
      </c>
      <c r="GA44" s="17">
        <f>FZ44*VLOOKUP('Données projet'!$B$17,Paramètres!$A$1:$I$89,3,0)*VLOOKUP('Données projet'!$B$17,Paramètres!$A$1:$I$89,5,0)</f>
        <v>164.51136</v>
      </c>
      <c r="GB44" s="13">
        <f t="shared" si="49"/>
        <v>41.858412704646653</v>
      </c>
      <c r="GC44" s="20">
        <f t="shared" si="25"/>
        <v>359.4273541272596</v>
      </c>
      <c r="GD44" s="59">
        <f t="shared" si="26"/>
        <v>633.97381709028468</v>
      </c>
      <c r="GE44" s="59">
        <f ca="1">AVERAGE(OFFSET($GD$3,0,0,'Données projet'!$E$17+1,1))-AVERAGE(OFFSET($H$3,0,0,'Données projet'!$E$17+1,1))</f>
        <v>369.60865427618342</v>
      </c>
      <c r="GF44" s="59">
        <f t="shared" si="50"/>
        <v>359.40898775279197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10.5033523671078</v>
      </c>
      <c r="GM44" s="21">
        <f>EXP(-LN(2)/25)*GM43+(1-EXP(-LN(2)/25))/(LN(2)/25)*Calculateur!GH44*Calculateur!GJ44*VLOOKUP('Données projet'!$B$17,Paramètres!$A$1:$I$89,3,0)*0.475*44/12</f>
        <v>0</v>
      </c>
      <c r="GN44" s="21">
        <f>EXP(-LN(2)/2)*GN43+(1-EXP(-LN(2)/2))/(LN(2)/2)*GH44*GK44*VLOOKUP('Données projet'!$B$17,Paramètres!$A$1:$I$89,3,0)*0.475*44/12</f>
        <v>0</v>
      </c>
      <c r="GO44" s="21">
        <f t="shared" si="27"/>
        <v>10.5033523671078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64.876308080824998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8.1999999999999993</v>
      </c>
      <c r="GU44" s="12">
        <f>IF('Données projet'!$A$270&gt;35,GU43+GT44-HC43,IF(A44&lt;'Données projet'!$A$270,$GR$205^A44,IF(A44='Données projet'!$A$270,'Données projet'!$B$270,GU43+GT44-HC43)))</f>
        <v>172.2</v>
      </c>
      <c r="GV44" s="17">
        <f>GU44*VLOOKUP('Données projet'!$B$18,Paramètres!$A$1:$I$89,3,0)*VLOOKUP('Données projet'!$B$18,Paramètres!$A$1:$I$89,5,0)</f>
        <v>112.82544</v>
      </c>
      <c r="GW44" s="13">
        <f t="shared" si="51"/>
        <v>29.995694500969023</v>
      </c>
      <c r="GX44" s="20">
        <f t="shared" si="28"/>
        <v>248.7468092558544</v>
      </c>
      <c r="GY44" s="59">
        <f t="shared" si="29"/>
        <v>523.29327221887945</v>
      </c>
      <c r="GZ44" s="59">
        <f ca="1">AVERAGE(OFFSET($GY$3,0,0,'Données projet'!$E$18+1,1))-AVERAGE(OFFSET($H$3,0,0,'Données projet'!$E$18+1,1))</f>
        <v>262.62914256200031</v>
      </c>
      <c r="HA44" s="59">
        <f t="shared" si="52"/>
        <v>256.45129229594409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projet'!$B$18,Paramètres!$A$1:$I$89,3,0)*0.475*44/12</f>
        <v>4.661351777040073</v>
      </c>
      <c r="HH44" s="21">
        <f>EXP(-LN(2)/25)*HH43+(1-EXP(-LN(2)/25))/(LN(2)/25)*Calculateur!HC44*Calculateur!HE44*VLOOKUP('Données projet'!$B$18,Paramètres!$A$1:$I$89,3,0)*0.475*44/12</f>
        <v>0</v>
      </c>
      <c r="HI44" s="21">
        <f>EXP(-LN(2)/2)*HI43+(1-EXP(-LN(2)/2))/(LN(2)/2)*HC44*HF44*VLOOKUP('Données projet'!$B$18,Paramètres!$A$1:$I$89,3,0)*0.475*44/12</f>
        <v>0</v>
      </c>
      <c r="HJ44" s="22">
        <f t="shared" si="30"/>
        <v>4.661351777040073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2.1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7.7</v>
      </c>
      <c r="H45" s="67">
        <f t="shared" si="1"/>
        <v>225.86666666666665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64.965192680763607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</v>
      </c>
      <c r="N45" s="13">
        <f>IF('Données projet'!$A$36&gt;35,N44+M45-V44,IF(A45&lt;'Données projet'!$A$36,$K$205^A45,IF(A45='Données projet'!$A$36,'Données projet'!$B$36,N44+M45-V44)))</f>
        <v>157.00000000000006</v>
      </c>
      <c r="O45" s="13">
        <f>N45*VLOOKUP('Données projet'!$B$9,Paramètres!$A$1:$I$89,3,0)*VLOOKUP('Données projet'!$B$9,Paramètres!$A$1:$I$89,5,0)</f>
        <v>134.70600000000007</v>
      </c>
      <c r="P45" s="13">
        <f t="shared" si="33"/>
        <v>35.081517028838533</v>
      </c>
      <c r="Q45" s="20">
        <f t="shared" si="53"/>
        <v>295.71325882522723</v>
      </c>
      <c r="R45" s="59">
        <f t="shared" si="0"/>
        <v>570.5856319880271</v>
      </c>
      <c r="S45" s="59">
        <f ca="1">AVERAGE(OFFSET($R$3,0,0,'Données projet'!$E$9+1,1))-AVERAGE(OFFSET($H$3,0,0,'Données projet'!$E$9+1,1))</f>
        <v>476.79071915271794</v>
      </c>
      <c r="T45" s="59">
        <f t="shared" si="34"/>
        <v>264.79929759351762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64.965192680763607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8.4</v>
      </c>
      <c r="AI45" s="13">
        <f>IF('Données projet'!$A$62&gt;35,AI44+AH45-AQ44,IF(A45&lt;'Données projet'!$A$62,$AF$205^A45,IF(A45='Données projet'!$A$62,'Données projet'!$B$62,AI44+AH45-AQ44)))</f>
        <v>132.80000000000007</v>
      </c>
      <c r="AJ45" s="13">
        <f>AI45*VLOOKUP('Données projet'!$B$10,Paramètres!$A$1:$I$89,3,0)*VLOOKUP('Données projet'!$B$10,Paramètres!$A$1:$I$89,5,0)</f>
        <v>111.87072000000008</v>
      </c>
      <c r="AK45" s="13">
        <f t="shared" si="35"/>
        <v>29.771307279851975</v>
      </c>
      <c r="AL45" s="20">
        <f t="shared" si="4"/>
        <v>246.69319751240894</v>
      </c>
      <c r="AM45" s="59">
        <f t="shared" si="5"/>
        <v>521.56557067520885</v>
      </c>
      <c r="AN45" s="59">
        <f ca="1">AVERAGE(OFFSET($AM$3,0,0,'Données projet'!$E$10+1,1))-AVERAGE(OFFSET($H$3,0,0,'Données projet'!$E$10+1,1))</f>
        <v>365.104658862176</v>
      </c>
      <c r="AO45" s="59">
        <f t="shared" si="36"/>
        <v>226.29232910286325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1.6165215570750089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1.6165215570750089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64.965192680763607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8.4</v>
      </c>
      <c r="BD45" s="12">
        <f>IF('Données projet'!$A$88&gt;35,BD44+BC45-BL44,IF(A45&lt;'Données projet'!$A$88,$BA$205^A45,IF(A45='Données projet'!$A$88,'Données projet'!$B$88,BD44+BC45-BL44)))</f>
        <v>132.80000000000007</v>
      </c>
      <c r="BE45" s="13">
        <f>BD45*VLOOKUP('Données projet'!$B$11,Paramètres!$A$1:$I$89,3,0)*VLOOKUP('Données projet'!$B$11,Paramètres!$A$1:$I$89,5,0)</f>
        <v>120.15744000000005</v>
      </c>
      <c r="BF45" s="13">
        <f t="shared" si="37"/>
        <v>31.711716786129845</v>
      </c>
      <c r="BG45" s="20">
        <f t="shared" si="7"/>
        <v>264.50544806917623</v>
      </c>
      <c r="BH45" s="59">
        <f t="shared" si="8"/>
        <v>539.3778212319761</v>
      </c>
      <c r="BI45" s="59">
        <f ca="1">AVERAGE(OFFSET($BH$3,0,0,'Données projet'!$E$11+1,1))-AVERAGE(OFFSET($H$3,0,0,'Données projet'!$E$11+1,1))</f>
        <v>388.12494342575195</v>
      </c>
      <c r="BJ45" s="59">
        <f t="shared" si="38"/>
        <v>239.39471445648454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1.7362638946361202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1.7362638946361202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64.965192680763607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8.4</v>
      </c>
      <c r="BY45" s="12">
        <f>IF('Données projet'!$A$114&gt;35,BY44+BX45-CG44,IF(A45&lt;'Données projet'!$A$114,$BV$205^A45,IF(A45='Données projet'!$A$114,'Données projet'!$B$114,BY44+BX45-CG44)))</f>
        <v>132.80000000000007</v>
      </c>
      <c r="BZ45" s="13">
        <f>BY45*VLOOKUP('Données projet'!$B$12,Paramètres!$A$1:$I$89,3,0)*VLOOKUP('Données projet'!$B$12,Paramètres!$A$1:$I$89,5,0)</f>
        <v>134.65920000000008</v>
      </c>
      <c r="CA45" s="13">
        <f t="shared" si="39"/>
        <v>35.07074737441733</v>
      </c>
      <c r="CB45" s="20">
        <f t="shared" si="10"/>
        <v>295.6129916771103</v>
      </c>
      <c r="CC45" s="59">
        <f t="shared" si="11"/>
        <v>570.48536483991018</v>
      </c>
      <c r="CD45" s="59">
        <f ca="1">AVERAGE(OFFSET($CC$3,0,0,'Données projet'!$E$12+1,1))-AVERAGE(OFFSET($H$3,0,0,'Données projet'!$E$12+1,1))</f>
        <v>428.33148932885132</v>
      </c>
      <c r="CE45" s="59">
        <f t="shared" si="40"/>
        <v>262.27548054534373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1.9458129853680664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1.9458129853680664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64.965192680763607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5.6</v>
      </c>
      <c r="CT45" s="12">
        <f>IF('Données projet'!$A$140&gt;35,CT44+CS45-DB44,IF(A45&lt;'Données projet'!$A$140,$CQ$205^A45,IF(A45='Données projet'!$A$140,'Données projet'!$B$140,CT44+CS45-DB44)))</f>
        <v>90.2</v>
      </c>
      <c r="CU45" s="17">
        <f>CT45*VLOOKUP('Données projet'!$B$13,Paramètres!$A$1:$I$89,3,0)*VLOOKUP('Données projet'!$B$13,Paramètres!$A$1:$I$89,5,0)</f>
        <v>85.834320000000005</v>
      </c>
      <c r="CV45" s="13">
        <f t="shared" si="41"/>
        <v>23.557809132261784</v>
      </c>
      <c r="CW45" s="20">
        <f t="shared" si="13"/>
        <v>190.52462490535595</v>
      </c>
      <c r="CX45" s="59">
        <f t="shared" si="14"/>
        <v>465.39699806815582</v>
      </c>
      <c r="CY45" s="59">
        <f ca="1">AVERAGE(OFFSET($CX$3,0,0,'Données projet'!$E$13+1,1))-AVERAGE(OFFSET($H$3,0,0,'Données projet'!$E$13+1,1))</f>
        <v>307.62549820830162</v>
      </c>
      <c r="CZ45" s="59">
        <f t="shared" si="42"/>
        <v>160.26466014910304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1.2173804318713031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1.2173804318713031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64.965192680763607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8.1999999999999993</v>
      </c>
      <c r="DO45" s="12">
        <f>IF('Données projet'!$A$166&gt;35,DO44+DN45-DW44,IF(A45&lt;'Données projet'!$A$166,$DL$205^A45,IF(A45='Données projet'!$A$166,'Données projet'!$B$166,DO44+DN45-DW44)))</f>
        <v>180.39999999999998</v>
      </c>
      <c r="DP45" s="17">
        <f>DO45*VLOOKUP('Données projet'!$B$14,Paramètres!$A$1:$I$89,3,0)*VLOOKUP('Données projet'!$B$14,Paramètres!$A$1:$I$89,5,0)</f>
        <v>143.52624</v>
      </c>
      <c r="DQ45" s="13">
        <f t="shared" si="43"/>
        <v>37.103644337236275</v>
      </c>
      <c r="DR45" s="20">
        <f t="shared" si="16"/>
        <v>314.59704855401981</v>
      </c>
      <c r="DS45" s="59">
        <f t="shared" si="17"/>
        <v>589.46942171681962</v>
      </c>
      <c r="DT45" s="59">
        <f ca="1">AVERAGE(OFFSET($DS$3,0,0,'Données projet'!$E$14+1,1))-AVERAGE(OFFSET($H$3,0,0,'Données projet'!$E$14+1,1))</f>
        <v>309.14579005132464</v>
      </c>
      <c r="DU45" s="59">
        <f t="shared" si="44"/>
        <v>300.60311050289533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6.8397357245255535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6.8397357245255535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64.965192680763607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9.8000000000000007</v>
      </c>
      <c r="EJ45" s="12">
        <f>IF('Données projet'!$A$192&gt;35,EJ44+EI45-ER44,IF(A45&lt;'Données projet'!$A$192,$EG$205^A45,IF(A45='Données projet'!$A$192,'Données projet'!$B$192,EJ44+EI45-ER44)))</f>
        <v>212.60000000000002</v>
      </c>
      <c r="EK45" s="17">
        <f>EJ45*VLOOKUP('Données projet'!$B$15,Paramètres!$A$1:$I$89,3,0)*VLOOKUP('Données projet'!$B$15,Paramètres!$A$1:$I$89,5,0)</f>
        <v>155.87832000000003</v>
      </c>
      <c r="EL45" s="13">
        <f t="shared" si="45"/>
        <v>39.911451633481022</v>
      </c>
      <c r="EM45" s="20">
        <f t="shared" si="19"/>
        <v>341.00051892831283</v>
      </c>
      <c r="EN45" s="59">
        <f t="shared" si="20"/>
        <v>615.8728920911127</v>
      </c>
      <c r="EO45" s="59">
        <f ca="1">AVERAGE(OFFSET($EN$3,0,0,'Données projet'!$E$15+1,1))-AVERAGE(OFFSET($H$3,0,0,'Données projet'!$E$15+1,1))</f>
        <v>338.59243085476896</v>
      </c>
      <c r="EP45" s="59">
        <f t="shared" si="46"/>
        <v>329.8393445823275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9.3072545688318336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9.3072545688318336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64.965192680763607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9.8000000000000007</v>
      </c>
      <c r="FE45" s="12">
        <f>IF('Données projet'!$A$218&gt;35,FE44+FD45-FM44,IF(A45&lt;'Données projet'!$A$218,$FB$205^A45,IF(A45='Données projet'!$A$218,'Données projet'!$B$218,FE44+FD45-FM44)))</f>
        <v>212.60000000000002</v>
      </c>
      <c r="FF45" s="17">
        <f>FE45*VLOOKUP('Données projet'!$B$16,Paramètres!$A$1:$I$89,3,0)*VLOOKUP('Données projet'!$B$16,Paramètres!$A$1:$I$89,5,0)</f>
        <v>139.29552000000001</v>
      </c>
      <c r="FG45" s="13">
        <f t="shared" si="47"/>
        <v>36.135571666868977</v>
      </c>
      <c r="FH45" s="20">
        <f t="shared" si="22"/>
        <v>305.54248465313009</v>
      </c>
      <c r="FI45" s="59">
        <f t="shared" si="23"/>
        <v>580.41485781592996</v>
      </c>
      <c r="FJ45" s="59">
        <f ca="1">AVERAGE(OFFSET($FI$3,0,0,'Données projet'!$E$16+1,1))-AVERAGE(OFFSET($H$3,0,0,'Données projet'!$E$16+1,1))</f>
        <v>307.50573770128085</v>
      </c>
      <c r="FK45" s="59">
        <f t="shared" si="48"/>
        <v>300.2007312562655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8.3171211040624904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8.3171211040624904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64.965192680763607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9.8000000000000007</v>
      </c>
      <c r="FZ45" s="12">
        <f>IF('Données projet'!$A$244&gt;35,FZ44+FY45-GH44,IF(A45&lt;'Données projet'!$A$244,$FW$205^A45,IF(A45='Données projet'!$A$244,'Données projet'!$B$244,FZ44+FY45-GH44)))</f>
        <v>212.60000000000002</v>
      </c>
      <c r="GA45" s="17">
        <f>FZ45*VLOOKUP('Données projet'!$B$17,Paramètres!$A$1:$I$89,3,0)*VLOOKUP('Données projet'!$B$17,Paramètres!$A$1:$I$89,5,0)</f>
        <v>172.46112000000005</v>
      </c>
      <c r="GB45" s="13">
        <f t="shared" si="49"/>
        <v>43.640770644577643</v>
      </c>
      <c r="GC45" s="20">
        <f t="shared" si="25"/>
        <v>376.37745953930607</v>
      </c>
      <c r="GD45" s="59">
        <f t="shared" si="26"/>
        <v>651.249832702106</v>
      </c>
      <c r="GE45" s="59">
        <f ca="1">AVERAGE(OFFSET($GD$3,0,0,'Données projet'!$E$17+1,1))-AVERAGE(OFFSET($H$3,0,0,'Données projet'!$E$17+1,1))</f>
        <v>369.60865427618342</v>
      </c>
      <c r="GF45" s="59">
        <f t="shared" si="50"/>
        <v>359.40898775279197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10.297388033601178</v>
      </c>
      <c r="GM45" s="21">
        <f>EXP(-LN(2)/25)*GM44+(1-EXP(-LN(2)/25))/(LN(2)/25)*Calculateur!GH45*Calculateur!GJ45*VLOOKUP('Données projet'!$B$17,Paramètres!$A$1:$I$89,3,0)*0.475*44/12</f>
        <v>0</v>
      </c>
      <c r="GN45" s="21">
        <f>EXP(-LN(2)/2)*GN44+(1-EXP(-LN(2)/2))/(LN(2)/2)*GH45*GK45*VLOOKUP('Données projet'!$B$17,Paramètres!$A$1:$I$89,3,0)*0.475*44/12</f>
        <v>0</v>
      </c>
      <c r="GO45" s="21">
        <f t="shared" si="27"/>
        <v>10.297388033601178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64.965192680763607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8.1999999999999993</v>
      </c>
      <c r="GU45" s="12">
        <f>IF('Données projet'!$A$270&gt;35,GU44+GT45-HC44,IF(A45&lt;'Données projet'!$A$270,$GR$205^A45,IF(A45='Données projet'!$A$270,'Données projet'!$B$270,GU44+GT45-HC44)))</f>
        <v>180.39999999999998</v>
      </c>
      <c r="GV45" s="17">
        <f>GU45*VLOOKUP('Données projet'!$B$18,Paramètres!$A$1:$I$89,3,0)*VLOOKUP('Données projet'!$B$18,Paramètres!$A$1:$I$89,5,0)</f>
        <v>118.19807999999998</v>
      </c>
      <c r="GW45" s="13">
        <f t="shared" si="51"/>
        <v>31.254361690638479</v>
      </c>
      <c r="GX45" s="20">
        <f t="shared" si="28"/>
        <v>260.29633594452861</v>
      </c>
      <c r="GY45" s="59">
        <f t="shared" si="29"/>
        <v>535.16870910732848</v>
      </c>
      <c r="GZ45" s="59">
        <f ca="1">AVERAGE(OFFSET($GY$3,0,0,'Données projet'!$E$18+1,1))-AVERAGE(OFFSET($H$3,0,0,'Données projet'!$E$18+1,1))</f>
        <v>262.62914256200031</v>
      </c>
      <c r="HA45" s="59">
        <f t="shared" si="52"/>
        <v>256.45129229594409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>
        <f>EXP(-LN(2)/35)*HG44+(1-EXP(-LN(2)/35))/(LN(2)/35)*HC45*HD45*VLOOKUP('Données projet'!$B$18,Paramètres!$A$1:$I$89,3,0)*0.475*44/12</f>
        <v>4.5699455118361643</v>
      </c>
      <c r="HH45" s="21">
        <f>EXP(-LN(2)/25)*HH44+(1-EXP(-LN(2)/25))/(LN(2)/25)*Calculateur!HC45*Calculateur!HE45*VLOOKUP('Données projet'!$B$18,Paramètres!$A$1:$I$89,3,0)*0.475*44/12</f>
        <v>0</v>
      </c>
      <c r="HI45" s="21">
        <f>EXP(-LN(2)/2)*HI44+(1-EXP(-LN(2)/2))/(LN(2)/2)*HC45*HF45*VLOOKUP('Données projet'!$B$18,Paramètres!$A$1:$I$89,3,0)*0.475*44/12</f>
        <v>0</v>
      </c>
      <c r="HJ45" s="22">
        <f t="shared" si="30"/>
        <v>4.5699455118361643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2.1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7.7</v>
      </c>
      <c r="H46" s="67">
        <f t="shared" si="1"/>
        <v>225.86666666666665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65.052535331609477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</v>
      </c>
      <c r="N46" s="13">
        <f>IF('Données projet'!$A$36&gt;35,N45+M46-V45,IF(A46&lt;'Données projet'!$A$36,$K$205^A46,IF(A46='Données projet'!$A$36,'Données projet'!$B$36,N45+M46-V45)))</f>
        <v>168.00000000000006</v>
      </c>
      <c r="O46" s="13">
        <f>N46*VLOOKUP('Données projet'!$B$9,Paramètres!$A$1:$I$89,3,0)*VLOOKUP('Données projet'!$B$9,Paramètres!$A$1:$I$89,5,0)</f>
        <v>144.14400000000006</v>
      </c>
      <c r="P46" s="13">
        <f t="shared" si="33"/>
        <v>37.244720006976252</v>
      </c>
      <c r="Q46" s="20">
        <f t="shared" si="53"/>
        <v>315.91868734548376</v>
      </c>
      <c r="R46" s="59">
        <f t="shared" si="0"/>
        <v>591.11131689471847</v>
      </c>
      <c r="S46" s="59">
        <f ca="1">AVERAGE(OFFSET($R$3,0,0,'Données projet'!$E$9+1,1))-AVERAGE(OFFSET($H$3,0,0,'Données projet'!$E$9+1,1))</f>
        <v>476.79071915271794</v>
      </c>
      <c r="T46" s="59">
        <f t="shared" si="34"/>
        <v>264.79929759351762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65.052535331609477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8.4</v>
      </c>
      <c r="AI46" s="13">
        <f>IF('Données projet'!$A$62&gt;35,AI45+AH46-AQ45,IF(A46&lt;'Données projet'!$A$62,$AF$205^A46,IF(A46='Données projet'!$A$62,'Données projet'!$B$62,AI45+AH46-AQ45)))</f>
        <v>141.20000000000007</v>
      </c>
      <c r="AJ46" s="13">
        <f>AI46*VLOOKUP('Données projet'!$B$10,Paramètres!$A$1:$I$89,3,0)*VLOOKUP('Données projet'!$B$10,Paramètres!$A$1:$I$89,5,0)</f>
        <v>118.94688000000008</v>
      </c>
      <c r="AK46" s="13">
        <f t="shared" si="35"/>
        <v>31.429250481525276</v>
      </c>
      <c r="AL46" s="20">
        <f t="shared" si="4"/>
        <v>261.90509392199004</v>
      </c>
      <c r="AM46" s="59">
        <f t="shared" si="5"/>
        <v>537.09772347122475</v>
      </c>
      <c r="AN46" s="59">
        <f ca="1">AVERAGE(OFFSET($AM$3,0,0,'Données projet'!$E$10+1,1))-AVERAGE(OFFSET($H$3,0,0,'Données projet'!$E$10+1,1))</f>
        <v>365.104658862176</v>
      </c>
      <c r="AO46" s="59">
        <f t="shared" si="36"/>
        <v>226.29232910286325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1.5848225553215602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1.5848225553215602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65.052535331609477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8.4</v>
      </c>
      <c r="BD46" s="12">
        <f>IF('Données projet'!$A$88&gt;35,BD45+BC46-BL45,IF(A46&lt;'Données projet'!$A$88,$BA$205^A46,IF(A46='Données projet'!$A$88,'Données projet'!$B$88,BD45+BC46-BL45)))</f>
        <v>141.20000000000007</v>
      </c>
      <c r="BE46" s="13">
        <f>BD46*VLOOKUP('Données projet'!$B$11,Paramètres!$A$1:$I$89,3,0)*VLOOKUP('Données projet'!$B$11,Paramètres!$A$1:$I$89,5,0)</f>
        <v>127.75776000000008</v>
      </c>
      <c r="BF46" s="13">
        <f t="shared" si="37"/>
        <v>33.477720030956604</v>
      </c>
      <c r="BG46" s="20">
        <f t="shared" si="7"/>
        <v>280.81846105391622</v>
      </c>
      <c r="BH46" s="59">
        <f t="shared" si="8"/>
        <v>556.01109060315093</v>
      </c>
      <c r="BI46" s="59">
        <f ca="1">AVERAGE(OFFSET($BH$3,0,0,'Données projet'!$E$11+1,1))-AVERAGE(OFFSET($H$3,0,0,'Données projet'!$E$11+1,1))</f>
        <v>388.12494342575195</v>
      </c>
      <c r="BJ46" s="59">
        <f t="shared" si="38"/>
        <v>239.39471445648454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1.7022168186787123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1.7022168186787123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65.052535331609477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8.4</v>
      </c>
      <c r="BY46" s="12">
        <f>IF('Données projet'!$A$114&gt;35,BY45+BX46-CG45,IF(A46&lt;'Données projet'!$A$114,$BV$205^A46,IF(A46='Données projet'!$A$114,'Données projet'!$B$114,BY45+BX46-CG45)))</f>
        <v>141.20000000000007</v>
      </c>
      <c r="BZ46" s="13">
        <f>BY46*VLOOKUP('Données projet'!$B$12,Paramètres!$A$1:$I$89,3,0)*VLOOKUP('Données projet'!$B$12,Paramètres!$A$1:$I$89,5,0)</f>
        <v>143.1768000000001</v>
      </c>
      <c r="CA46" s="13">
        <f t="shared" si="39"/>
        <v>37.023812674521515</v>
      </c>
      <c r="CB46" s="20">
        <f t="shared" si="10"/>
        <v>313.84940040812518</v>
      </c>
      <c r="CC46" s="59">
        <f t="shared" si="11"/>
        <v>589.04202995735989</v>
      </c>
      <c r="CD46" s="59">
        <f ca="1">AVERAGE(OFFSET($CC$3,0,0,'Données projet'!$E$12+1,1))-AVERAGE(OFFSET($H$3,0,0,'Données projet'!$E$12+1,1))</f>
        <v>428.33148932885132</v>
      </c>
      <c r="CE46" s="59">
        <f t="shared" si="40"/>
        <v>262.27548054534373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1.90765677955373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1.90765677955373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65.052535331609477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5.6</v>
      </c>
      <c r="CT46" s="12">
        <f>IF('Données projet'!$A$140&gt;35,CT45+CS46-DB45,IF(A46&lt;'Données projet'!$A$140,$CQ$205^A46,IF(A46='Données projet'!$A$140,'Données projet'!$B$140,CT45+CS46-DB45)))</f>
        <v>95.8</v>
      </c>
      <c r="CU46" s="17">
        <f>CT46*VLOOKUP('Données projet'!$B$13,Paramètres!$A$1:$I$89,3,0)*VLOOKUP('Données projet'!$B$13,Paramètres!$A$1:$I$89,5,0)</f>
        <v>91.16328</v>
      </c>
      <c r="CV46" s="13">
        <f t="shared" si="41"/>
        <v>24.84557007760694</v>
      </c>
      <c r="CW46" s="20">
        <f t="shared" si="13"/>
        <v>202.04874721849876</v>
      </c>
      <c r="CX46" s="59">
        <f t="shared" si="14"/>
        <v>477.24137676773347</v>
      </c>
      <c r="CY46" s="59">
        <f ca="1">AVERAGE(OFFSET($CX$3,0,0,'Données projet'!$E$13+1,1))-AVERAGE(OFFSET($H$3,0,0,'Données projet'!$E$13+1,1))</f>
        <v>307.62549820830162</v>
      </c>
      <c r="CZ46" s="59">
        <f t="shared" si="42"/>
        <v>160.26466014910304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1.1935083441310517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1.1935083441310517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65.052535331609477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8.1999999999999993</v>
      </c>
      <c r="DO46" s="12">
        <f>IF('Données projet'!$A$166&gt;35,DO45+DN46-DW45,IF(A46&lt;'Données projet'!$A$166,$DL$205^A46,IF(A46='Données projet'!$A$166,'Données projet'!$B$166,DO45+DN46-DW45)))</f>
        <v>188.59999999999997</v>
      </c>
      <c r="DP46" s="17">
        <f>DO46*VLOOKUP('Données projet'!$B$14,Paramètres!$A$1:$I$89,3,0)*VLOOKUP('Données projet'!$B$14,Paramètres!$A$1:$I$89,5,0)</f>
        <v>150.05015999999998</v>
      </c>
      <c r="DQ46" s="13">
        <f t="shared" si="43"/>
        <v>38.589984439024569</v>
      </c>
      <c r="DR46" s="20">
        <f t="shared" si="16"/>
        <v>328.54825156463437</v>
      </c>
      <c r="DS46" s="59">
        <f t="shared" si="17"/>
        <v>603.74088111386914</v>
      </c>
      <c r="DT46" s="59">
        <f ca="1">AVERAGE(OFFSET($DS$3,0,0,'Données projet'!$E$14+1,1))-AVERAGE(OFFSET($H$3,0,0,'Données projet'!$E$14+1,1))</f>
        <v>309.14579005132464</v>
      </c>
      <c r="DU46" s="59">
        <f t="shared" si="44"/>
        <v>300.60311050289533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6.7056126787944654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6.7056126787944654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65.052535331609477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9.8000000000000007</v>
      </c>
      <c r="EJ46" s="12">
        <f>IF('Données projet'!$A$192&gt;35,EJ45+EI46-ER45,IF(A46&lt;'Données projet'!$A$192,$EG$205^A46,IF(A46='Données projet'!$A$192,'Données projet'!$B$192,EJ45+EI46-ER45)))</f>
        <v>222.40000000000003</v>
      </c>
      <c r="EK46" s="17">
        <f>EJ46*VLOOKUP('Données projet'!$B$15,Paramètres!$A$1:$I$89,3,0)*VLOOKUP('Données projet'!$B$15,Paramètres!$A$1:$I$89,5,0)</f>
        <v>163.06368000000001</v>
      </c>
      <c r="EL46" s="13">
        <f t="shared" si="45"/>
        <v>41.532772330984628</v>
      </c>
      <c r="EM46" s="20">
        <f t="shared" si="19"/>
        <v>356.33882114313155</v>
      </c>
      <c r="EN46" s="59">
        <f t="shared" si="20"/>
        <v>631.53145069236621</v>
      </c>
      <c r="EO46" s="59">
        <f ca="1">AVERAGE(OFFSET($EN$3,0,0,'Données projet'!$E$15+1,1))-AVERAGE(OFFSET($H$3,0,0,'Données projet'!$E$15+1,1))</f>
        <v>338.59243085476896</v>
      </c>
      <c r="EP46" s="59">
        <f t="shared" si="46"/>
        <v>329.8393445823275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9.1247449836017847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9.1247449836017847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65.052535331609477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9.8000000000000007</v>
      </c>
      <c r="FE46" s="12">
        <f>IF('Données projet'!$A$218&gt;35,FE45+FD46-FM45,IF(A46&lt;'Données projet'!$A$218,$FB$205^A46,IF(A46='Données projet'!$A$218,'Données projet'!$B$218,FE45+FD46-FM45)))</f>
        <v>222.40000000000003</v>
      </c>
      <c r="FF46" s="17">
        <f>FE46*VLOOKUP('Données projet'!$B$16,Paramètres!$A$1:$I$89,3,0)*VLOOKUP('Données projet'!$B$16,Paramètres!$A$1:$I$89,5,0)</f>
        <v>145.71648000000002</v>
      </c>
      <c r="FG46" s="13">
        <f t="shared" si="47"/>
        <v>37.60350500083149</v>
      </c>
      <c r="FH46" s="20">
        <f t="shared" si="22"/>
        <v>319.28230720978155</v>
      </c>
      <c r="FI46" s="59">
        <f t="shared" si="23"/>
        <v>594.47493675901626</v>
      </c>
      <c r="FJ46" s="59">
        <f ca="1">AVERAGE(OFFSET($FI$3,0,0,'Données projet'!$E$16+1,1))-AVERAGE(OFFSET($H$3,0,0,'Données projet'!$E$16+1,1))</f>
        <v>307.50573770128085</v>
      </c>
      <c r="FK46" s="59">
        <f t="shared" si="48"/>
        <v>300.2007312562655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8.1540274321547876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8.1540274321547876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65.052535331609477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9.8000000000000007</v>
      </c>
      <c r="FZ46" s="12">
        <f>IF('Données projet'!$A$244&gt;35,FZ45+FY46-GH45,IF(A46&lt;'Données projet'!$A$244,$FW$205^A46,IF(A46='Données projet'!$A$244,'Données projet'!$B$244,FZ45+FY46-GH45)))</f>
        <v>222.40000000000003</v>
      </c>
      <c r="GA46" s="17">
        <f>FZ46*VLOOKUP('Données projet'!$B$17,Paramètres!$A$1:$I$89,3,0)*VLOOKUP('Données projet'!$B$17,Paramètres!$A$1:$I$89,5,0)</f>
        <v>180.41088000000005</v>
      </c>
      <c r="GB46" s="13">
        <f t="shared" si="49"/>
        <v>45.413587262495575</v>
      </c>
      <c r="GC46" s="20">
        <f t="shared" si="25"/>
        <v>393.31094714884654</v>
      </c>
      <c r="GD46" s="59">
        <f t="shared" si="26"/>
        <v>668.50357669808125</v>
      </c>
      <c r="GE46" s="59">
        <f ca="1">AVERAGE(OFFSET($GD$3,0,0,'Données projet'!$E$17+1,1))-AVERAGE(OFFSET($H$3,0,0,'Données projet'!$E$17+1,1))</f>
        <v>369.60865427618342</v>
      </c>
      <c r="GF46" s="59">
        <f t="shared" si="50"/>
        <v>359.40898775279197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10.095462535048783</v>
      </c>
      <c r="GM46" s="21">
        <f>EXP(-LN(2)/25)*GM45+(1-EXP(-LN(2)/25))/(LN(2)/25)*Calculateur!GH46*Calculateur!GJ46*VLOOKUP('Données projet'!$B$17,Paramètres!$A$1:$I$89,3,0)*0.475*44/12</f>
        <v>0</v>
      </c>
      <c r="GN46" s="21">
        <f>EXP(-LN(2)/2)*GN45+(1-EXP(-LN(2)/2))/(LN(2)/2)*GH46*GK46*VLOOKUP('Données projet'!$B$17,Paramètres!$A$1:$I$89,3,0)*0.475*44/12</f>
        <v>0</v>
      </c>
      <c r="GO46" s="21">
        <f t="shared" si="27"/>
        <v>10.095462535048783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65.052535331609477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8.1999999999999993</v>
      </c>
      <c r="GU46" s="12">
        <f>IF('Données projet'!$A$270&gt;35,GU45+GT46-HC45,IF(A46&lt;'Données projet'!$A$270,$GR$205^A46,IF(A46='Données projet'!$A$270,'Données projet'!$B$270,GU45+GT46-HC45)))</f>
        <v>188.59999999999997</v>
      </c>
      <c r="GV46" s="17">
        <f>GU46*VLOOKUP('Données projet'!$B$18,Paramètres!$A$1:$I$89,3,0)*VLOOKUP('Données projet'!$B$18,Paramètres!$A$1:$I$89,5,0)</f>
        <v>123.57071999999998</v>
      </c>
      <c r="GW46" s="13">
        <f t="shared" si="51"/>
        <v>32.506384557027673</v>
      </c>
      <c r="GX46" s="20">
        <f t="shared" si="28"/>
        <v>271.83429043682321</v>
      </c>
      <c r="GY46" s="59">
        <f t="shared" si="29"/>
        <v>547.02691998605792</v>
      </c>
      <c r="GZ46" s="59">
        <f ca="1">AVERAGE(OFFSET($GY$3,0,0,'Données projet'!$E$18+1,1))-AVERAGE(OFFSET($H$3,0,0,'Données projet'!$E$18+1,1))</f>
        <v>262.62914256200031</v>
      </c>
      <c r="HA46" s="59">
        <f t="shared" si="52"/>
        <v>256.45129229594409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>
        <f>EXP(-LN(2)/35)*HG45+(1-EXP(-LN(2)/35))/(LN(2)/35)*HC46*HD46*VLOOKUP('Données projet'!$B$18,Paramètres!$A$1:$I$89,3,0)*0.475*44/12</f>
        <v>4.4803316677405869</v>
      </c>
      <c r="HH46" s="21">
        <f>EXP(-LN(2)/25)*HH45+(1-EXP(-LN(2)/25))/(LN(2)/25)*Calculateur!HC46*Calculateur!HE46*VLOOKUP('Données projet'!$B$18,Paramètres!$A$1:$I$89,3,0)*0.475*44/12</f>
        <v>0</v>
      </c>
      <c r="HI46" s="21">
        <f>EXP(-LN(2)/2)*HI45+(1-EXP(-LN(2)/2))/(LN(2)/2)*HC46*HF46*VLOOKUP('Données projet'!$B$18,Paramètres!$A$1:$I$89,3,0)*0.475*44/12</f>
        <v>0</v>
      </c>
      <c r="HJ46" s="22">
        <f t="shared" si="30"/>
        <v>4.4803316677405869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2.1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7.7</v>
      </c>
      <c r="H47" s="67">
        <f t="shared" si="1"/>
        <v>225.86666666666665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65.138362782732102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</v>
      </c>
      <c r="N47" s="13">
        <f>IF('Données projet'!$A$36&gt;35,N46+M47-V46,IF(A47&lt;'Données projet'!$A$36,$K$205^A47,IF(A47='Données projet'!$A$36,'Données projet'!$B$36,N46+M47-V46)))</f>
        <v>179.00000000000006</v>
      </c>
      <c r="O47" s="13">
        <f>N47*VLOOKUP('Données projet'!$B$9,Paramètres!$A$1:$I$89,3,0)*VLOOKUP('Données projet'!$B$9,Paramètres!$A$1:$I$89,5,0)</f>
        <v>153.58200000000008</v>
      </c>
      <c r="P47" s="13">
        <f t="shared" si="33"/>
        <v>39.391486561628568</v>
      </c>
      <c r="Q47" s="20">
        <f t="shared" si="53"/>
        <v>336.09548909483652</v>
      </c>
      <c r="R47" s="59">
        <f t="shared" si="0"/>
        <v>611.60281929818757</v>
      </c>
      <c r="S47" s="59">
        <f ca="1">AVERAGE(OFFSET($R$3,0,0,'Données projet'!$E$9+1,1))-AVERAGE(OFFSET($H$3,0,0,'Données projet'!$E$9+1,1))</f>
        <v>476.79071915271794</v>
      </c>
      <c r="T47" s="59">
        <f t="shared" si="34"/>
        <v>264.79929759351762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65.138362782732102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8.4</v>
      </c>
      <c r="AI47" s="13">
        <f>IF('Données projet'!$A$62&gt;35,AI46+AH47-AQ46,IF(A47&lt;'Données projet'!$A$62,$AF$205^A47,IF(A47='Données projet'!$A$62,'Données projet'!$B$62,AI46+AH47-AQ46)))</f>
        <v>149.60000000000008</v>
      </c>
      <c r="AJ47" s="13">
        <f>AI47*VLOOKUP('Données projet'!$B$10,Paramètres!$A$1:$I$89,3,0)*VLOOKUP('Données projet'!$B$10,Paramètres!$A$1:$I$89,5,0)</f>
        <v>126.02304000000008</v>
      </c>
      <c r="AK47" s="13">
        <f t="shared" si="35"/>
        <v>33.075745544773369</v>
      </c>
      <c r="AL47" s="20">
        <f t="shared" si="4"/>
        <v>277.0970514904804</v>
      </c>
      <c r="AM47" s="59">
        <f t="shared" si="5"/>
        <v>552.60438169383144</v>
      </c>
      <c r="AN47" s="59">
        <f ca="1">AVERAGE(OFFSET($AM$3,0,0,'Données projet'!$E$10+1,1))-AVERAGE(OFFSET($H$3,0,0,'Données projet'!$E$10+1,1))</f>
        <v>365.104658862176</v>
      </c>
      <c r="AO47" s="59">
        <f t="shared" si="36"/>
        <v>226.29232910286325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1.5537451516580147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1.5537451516580147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65.138362782732102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8.4</v>
      </c>
      <c r="BD47" s="12">
        <f>IF('Données projet'!$A$88&gt;35,BD46+BC47-BL46,IF(A47&lt;'Données projet'!$A$88,$BA$205^A47,IF(A47='Données projet'!$A$88,'Données projet'!$B$88,BD46+BC47-BL46)))</f>
        <v>149.60000000000008</v>
      </c>
      <c r="BE47" s="13">
        <f>BD47*VLOOKUP('Données projet'!$B$11,Paramètres!$A$1:$I$89,3,0)*VLOOKUP('Données projet'!$B$11,Paramètres!$A$1:$I$89,5,0)</f>
        <v>135.35808000000009</v>
      </c>
      <c r="BF47" s="13">
        <f t="shared" si="37"/>
        <v>35.231528980112863</v>
      </c>
      <c r="BG47" s="20">
        <f t="shared" si="7"/>
        <v>297.11023564036338</v>
      </c>
      <c r="BH47" s="59">
        <f t="shared" si="8"/>
        <v>572.61756584371437</v>
      </c>
      <c r="BI47" s="59">
        <f ca="1">AVERAGE(OFFSET($BH$3,0,0,'Données projet'!$E$11+1,1))-AVERAGE(OFFSET($H$3,0,0,'Données projet'!$E$11+1,1))</f>
        <v>388.12494342575195</v>
      </c>
      <c r="BJ47" s="59">
        <f t="shared" si="38"/>
        <v>239.39471445648454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1.6688373851141636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1.6688373851141636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65.138362782732102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8.4</v>
      </c>
      <c r="BY47" s="12">
        <f>IF('Données projet'!$A$114&gt;35,BY46+BX47-CG46,IF(A47&lt;'Données projet'!$A$114,$BV$205^A47,IF(A47='Données projet'!$A$114,'Données projet'!$B$114,BY46+BX47-CG46)))</f>
        <v>149.60000000000008</v>
      </c>
      <c r="BZ47" s="13">
        <f>BY47*VLOOKUP('Données projet'!$B$12,Paramètres!$A$1:$I$89,3,0)*VLOOKUP('Données projet'!$B$12,Paramètres!$A$1:$I$89,5,0)</f>
        <v>151.69440000000009</v>
      </c>
      <c r="CA47" s="13">
        <f t="shared" si="39"/>
        <v>38.963392010880654</v>
      </c>
      <c r="CB47" s="20">
        <f t="shared" si="10"/>
        <v>332.06232108561727</v>
      </c>
      <c r="CC47" s="59">
        <f t="shared" si="11"/>
        <v>607.56965128896832</v>
      </c>
      <c r="CD47" s="59">
        <f ca="1">AVERAGE(OFFSET($CC$3,0,0,'Données projet'!$E$12+1,1))-AVERAGE(OFFSET($H$3,0,0,'Données projet'!$E$12+1,1))</f>
        <v>428.33148932885132</v>
      </c>
      <c r="CE47" s="59">
        <f t="shared" si="40"/>
        <v>262.27548054534373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1.8702487936624252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1.8702487936624252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65.138362782732102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5.6</v>
      </c>
      <c r="CT47" s="12">
        <f>IF('Données projet'!$A$140&gt;35,CT46+CS47-DB46,IF(A47&lt;'Données projet'!$A$140,$CQ$205^A47,IF(A47='Données projet'!$A$140,'Données projet'!$B$140,CT46+CS47-DB46)))</f>
        <v>101.39999999999999</v>
      </c>
      <c r="CU47" s="17">
        <f>CT47*VLOOKUP('Données projet'!$B$13,Paramètres!$A$1:$I$89,3,0)*VLOOKUP('Données projet'!$B$13,Paramètres!$A$1:$I$89,5,0)</f>
        <v>96.492239999999995</v>
      </c>
      <c r="CV47" s="13">
        <f t="shared" si="41"/>
        <v>26.124593361596208</v>
      </c>
      <c r="CW47" s="20">
        <f t="shared" si="13"/>
        <v>213.55765143811337</v>
      </c>
      <c r="CX47" s="59">
        <f t="shared" si="14"/>
        <v>489.06498164146444</v>
      </c>
      <c r="CY47" s="59">
        <f ca="1">AVERAGE(OFFSET($CX$3,0,0,'Données projet'!$E$13+1,1))-AVERAGE(OFFSET($H$3,0,0,'Données projet'!$E$13+1,1))</f>
        <v>307.62549820830162</v>
      </c>
      <c r="CZ47" s="59">
        <f t="shared" si="42"/>
        <v>160.26466014910304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1.1701043734708507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1.1701043734708507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65.138362782732102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8.1999999999999993</v>
      </c>
      <c r="DO47" s="12">
        <f>IF('Données projet'!$A$166&gt;35,DO46+DN47-DW46,IF(A47&lt;'Données projet'!$A$166,$DL$205^A47,IF(A47='Données projet'!$A$166,'Données projet'!$B$166,DO46+DN47-DW46)))</f>
        <v>196.79999999999995</v>
      </c>
      <c r="DP47" s="17">
        <f>DO47*VLOOKUP('Données projet'!$B$14,Paramètres!$A$1:$I$89,3,0)*VLOOKUP('Données projet'!$B$14,Paramètres!$A$1:$I$89,5,0)</f>
        <v>156.57407999999998</v>
      </c>
      <c r="DQ47" s="13">
        <f t="shared" si="43"/>
        <v>40.068818872547467</v>
      </c>
      <c r="DR47" s="20">
        <f t="shared" si="16"/>
        <v>342.48638220302013</v>
      </c>
      <c r="DS47" s="59">
        <f t="shared" si="17"/>
        <v>617.99371240637117</v>
      </c>
      <c r="DT47" s="59">
        <f ca="1">AVERAGE(OFFSET($DS$3,0,0,'Données projet'!$E$14+1,1))-AVERAGE(OFFSET($H$3,0,0,'Données projet'!$E$14+1,1))</f>
        <v>309.14579005132464</v>
      </c>
      <c r="DU47" s="59">
        <f t="shared" si="44"/>
        <v>300.60311050289533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6.5741197041831843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6.5741197041831843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65.138362782732102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9.8000000000000007</v>
      </c>
      <c r="EJ47" s="12">
        <f>IF('Données projet'!$A$192&gt;35,EJ46+EI47-ER46,IF(A47&lt;'Données projet'!$A$192,$EG$205^A47,IF(A47='Données projet'!$A$192,'Données projet'!$B$192,EJ46+EI47-ER46)))</f>
        <v>232.20000000000005</v>
      </c>
      <c r="EK47" s="17">
        <f>EJ47*VLOOKUP('Données projet'!$B$15,Paramètres!$A$1:$I$89,3,0)*VLOOKUP('Données projet'!$B$15,Paramètres!$A$1:$I$89,5,0)</f>
        <v>170.24904000000004</v>
      </c>
      <c r="EL47" s="13">
        <f t="shared" si="45"/>
        <v>43.145795507930117</v>
      </c>
      <c r="EM47" s="20">
        <f t="shared" si="19"/>
        <v>371.6626718429784</v>
      </c>
      <c r="EN47" s="59">
        <f t="shared" si="20"/>
        <v>647.1700020463295</v>
      </c>
      <c r="EO47" s="59">
        <f ca="1">AVERAGE(OFFSET($EN$3,0,0,'Données projet'!$E$15+1,1))-AVERAGE(OFFSET($H$3,0,0,'Données projet'!$E$15+1,1))</f>
        <v>338.59243085476896</v>
      </c>
      <c r="EP47" s="59">
        <f t="shared" si="46"/>
        <v>329.8393445823275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8.9458143000182417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8.9458143000182417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65.138362782732102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9.8000000000000007</v>
      </c>
      <c r="FE47" s="12">
        <f>IF('Données projet'!$A$218&gt;35,FE46+FD47-FM46,IF(A47&lt;'Données projet'!$A$218,$FB$205^A47,IF(A47='Données projet'!$A$218,'Données projet'!$B$218,FE46+FD47-FM46)))</f>
        <v>232.20000000000005</v>
      </c>
      <c r="FF47" s="17">
        <f>FE47*VLOOKUP('Données projet'!$B$16,Paramètres!$A$1:$I$89,3,0)*VLOOKUP('Données projet'!$B$16,Paramètres!$A$1:$I$89,5,0)</f>
        <v>152.13744000000003</v>
      </c>
      <c r="FG47" s="13">
        <f t="shared" si="47"/>
        <v>39.063925813036093</v>
      </c>
      <c r="FH47" s="20">
        <f t="shared" si="22"/>
        <v>333.00904545770453</v>
      </c>
      <c r="FI47" s="59">
        <f t="shared" si="23"/>
        <v>608.51637566105558</v>
      </c>
      <c r="FJ47" s="59">
        <f ca="1">AVERAGE(OFFSET($FI$3,0,0,'Données projet'!$E$16+1,1))-AVERAGE(OFFSET($H$3,0,0,'Données projet'!$E$16+1,1))</f>
        <v>307.50573770128085</v>
      </c>
      <c r="FK47" s="59">
        <f t="shared" si="48"/>
        <v>300.2007312562655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7.9941319276758769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7.9941319276758769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65.138362782732102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9.8000000000000007</v>
      </c>
      <c r="FZ47" s="12">
        <f>IF('Données projet'!$A$244&gt;35,FZ46+FY47-GH46,IF(A47&lt;'Données projet'!$A$244,$FW$205^A47,IF(A47='Données projet'!$A$244,'Données projet'!$B$244,FZ46+FY47-GH46)))</f>
        <v>232.20000000000005</v>
      </c>
      <c r="GA47" s="17">
        <f>FZ47*VLOOKUP('Données projet'!$B$17,Paramètres!$A$1:$I$89,3,0)*VLOOKUP('Données projet'!$B$17,Paramètres!$A$1:$I$89,5,0)</f>
        <v>188.36064000000005</v>
      </c>
      <c r="GB47" s="13">
        <f t="shared" si="49"/>
        <v>47.177331040995796</v>
      </c>
      <c r="GC47" s="20">
        <f t="shared" si="25"/>
        <v>410.22863289640105</v>
      </c>
      <c r="GD47" s="59">
        <f t="shared" si="26"/>
        <v>685.7359630997521</v>
      </c>
      <c r="GE47" s="59">
        <f ca="1">AVERAGE(OFFSET($GD$3,0,0,'Données projet'!$E$17+1,1))-AVERAGE(OFFSET($H$3,0,0,'Données projet'!$E$17+1,1))</f>
        <v>369.60865427618342</v>
      </c>
      <c r="GF47" s="59">
        <f t="shared" si="50"/>
        <v>359.40898775279197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9.8974966723606084</v>
      </c>
      <c r="GM47" s="21">
        <f>EXP(-LN(2)/25)*GM46+(1-EXP(-LN(2)/25))/(LN(2)/25)*Calculateur!GH47*Calculateur!GJ47*VLOOKUP('Données projet'!$B$17,Paramètres!$A$1:$I$89,3,0)*0.475*44/12</f>
        <v>0</v>
      </c>
      <c r="GN47" s="21">
        <f>EXP(-LN(2)/2)*GN46+(1-EXP(-LN(2)/2))/(LN(2)/2)*GH47*GK47*VLOOKUP('Données projet'!$B$17,Paramètres!$A$1:$I$89,3,0)*0.475*44/12</f>
        <v>0</v>
      </c>
      <c r="GO47" s="21">
        <f t="shared" si="27"/>
        <v>9.8974966723606084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65.138362782732102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8.1999999999999993</v>
      </c>
      <c r="GU47" s="12">
        <f>IF('Données projet'!$A$270&gt;35,GU46+GT47-HC46,IF(A47&lt;'Données projet'!$A$270,$GR$205^A47,IF(A47='Données projet'!$A$270,'Données projet'!$B$270,GU46+GT47-HC46)))</f>
        <v>196.79999999999995</v>
      </c>
      <c r="GV47" s="17">
        <f>GU47*VLOOKUP('Données projet'!$B$18,Paramètres!$A$1:$I$89,3,0)*VLOOKUP('Données projet'!$B$18,Paramètres!$A$1:$I$89,5,0)</f>
        <v>128.94335999999996</v>
      </c>
      <c r="GW47" s="13">
        <f t="shared" si="51"/>
        <v>33.752085002132162</v>
      </c>
      <c r="GX47" s="20">
        <f t="shared" si="28"/>
        <v>283.36123337871345</v>
      </c>
      <c r="GY47" s="59">
        <f t="shared" si="29"/>
        <v>558.86856358206455</v>
      </c>
      <c r="GZ47" s="59">
        <f ca="1">AVERAGE(OFFSET($GY$3,0,0,'Données projet'!$E$18+1,1))-AVERAGE(OFFSET($H$3,0,0,'Données projet'!$E$18+1,1))</f>
        <v>262.62914256200031</v>
      </c>
      <c r="HA47" s="59">
        <f t="shared" si="52"/>
        <v>256.45129229594409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>
        <f>EXP(-LN(2)/35)*HG46+(1-EXP(-LN(2)/35))/(LN(2)/35)*HC47*HD47*VLOOKUP('Données projet'!$B$18,Paramètres!$A$1:$I$89,3,0)*0.475*44/12</f>
        <v>4.3924750964686767</v>
      </c>
      <c r="HH47" s="21">
        <f>EXP(-LN(2)/25)*HH46+(1-EXP(-LN(2)/25))/(LN(2)/25)*Calculateur!HC47*Calculateur!HE47*VLOOKUP('Données projet'!$B$18,Paramètres!$A$1:$I$89,3,0)*0.475*44/12</f>
        <v>0</v>
      </c>
      <c r="HI47" s="21">
        <f>EXP(-LN(2)/2)*HI46+(1-EXP(-LN(2)/2))/(LN(2)/2)*HC47*HF47*VLOOKUP('Données projet'!$B$18,Paramètres!$A$1:$I$89,3,0)*0.475*44/12</f>
        <v>0</v>
      </c>
      <c r="HJ47" s="22">
        <f t="shared" si="30"/>
        <v>4.3924750964686767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2.1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7.7</v>
      </c>
      <c r="H48" s="67">
        <f t="shared" si="1"/>
        <v>225.86666666666665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65.222701319459176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190</v>
      </c>
      <c r="L48" s="12">
        <f>VLOOKUP(A48,'Données projet'!$A$35:$I$55,9,0)</f>
        <v>11</v>
      </c>
      <c r="M48" s="12">
        <f t="array" ref="M48">INDEX(L:L,MIN(IF(ISNUMBER(L48:L244),ROW(L48:L244),"")))</f>
        <v>11</v>
      </c>
      <c r="N48" s="13">
        <f>IF('Données projet'!$A$36&gt;35,N47+M48-V47,IF(A48&lt;'Données projet'!$A$36,$K$205^A48,IF(A48='Données projet'!$A$36,'Données projet'!$B$36,N47+M48-V47)))</f>
        <v>190.00000000000006</v>
      </c>
      <c r="O48" s="13">
        <f>N48*VLOOKUP('Données projet'!$B$9,Paramètres!$A$1:$I$89,3,0)*VLOOKUP('Données projet'!$B$9,Paramètres!$A$1:$I$89,5,0)</f>
        <v>163.02000000000007</v>
      </c>
      <c r="P48" s="13">
        <f t="shared" si="33"/>
        <v>41.52294175893757</v>
      </c>
      <c r="Q48" s="20">
        <f t="shared" si="53"/>
        <v>356.24562356348309</v>
      </c>
      <c r="R48" s="59">
        <f t="shared" si="0"/>
        <v>632.06219506816672</v>
      </c>
      <c r="S48" s="59">
        <f ca="1">AVERAGE(OFFSET($R$3,0,0,'Données projet'!$E$9+1,1))-AVERAGE(OFFSET($H$3,0,0,'Données projet'!$E$9+1,1))</f>
        <v>476.79071915271794</v>
      </c>
      <c r="T48" s="59">
        <f t="shared" si="34"/>
        <v>264.79929759351762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28</v>
      </c>
      <c r="W48" s="16">
        <f>IF(ISNA(VLOOKUP(A48,'Données projet'!$A$35:$I$55,5,0)),0%,VLOOKUP(A48,'Données projet'!$A$35:$I$55,5,0)*VLOOKUP('Données projet'!$B$9,Paramètres!$A$1:$I$89,7,0))</f>
        <v>0.10600000000000001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2.8151289621773565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2.8151289621773565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65.222701319459176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158</v>
      </c>
      <c r="AG48" s="12">
        <f>VLOOKUP(A48,'Données projet'!$A$61:$I$81,9,0)</f>
        <v>8.4</v>
      </c>
      <c r="AH48" s="12">
        <f t="array" ref="AH48">INDEX(AG:AG,MIN(IF(ISNUMBER(AG48:AG244),ROW(AG48:AG244),"")))</f>
        <v>8.4</v>
      </c>
      <c r="AI48" s="13">
        <f>IF('Données projet'!$A$62&gt;35,AI47+AH48-AQ47,IF(A48&lt;'Données projet'!$A$62,$AF$205^A48,IF(A48='Données projet'!$A$62,'Données projet'!$B$62,AI47+AH48-AQ47)))</f>
        <v>158.00000000000009</v>
      </c>
      <c r="AJ48" s="13">
        <f>AI48*VLOOKUP('Données projet'!$B$10,Paramètres!$A$1:$I$89,3,0)*VLOOKUP('Données projet'!$B$10,Paramètres!$A$1:$I$89,5,0)</f>
        <v>133.09920000000008</v>
      </c>
      <c r="AK48" s="13">
        <f t="shared" si="35"/>
        <v>34.71150853565117</v>
      </c>
      <c r="AL48" s="20">
        <f t="shared" si="4"/>
        <v>292.27031736625923</v>
      </c>
      <c r="AM48" s="59">
        <f t="shared" si="5"/>
        <v>568.08688887094286</v>
      </c>
      <c r="AN48" s="59">
        <f ca="1">AVERAGE(OFFSET($AM$3,0,0,'Données projet'!$E$10+1,1))-AVERAGE(OFFSET($H$3,0,0,'Données projet'!$E$10+1,1))</f>
        <v>365.104658862176</v>
      </c>
      <c r="AO48" s="59">
        <f t="shared" si="36"/>
        <v>226.29232910286325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21</v>
      </c>
      <c r="AR48" s="16">
        <f>IF(ISNA(VLOOKUP(A48,'Données projet'!$A$61:$I$81,5,0)),0%,VLOOKUP(A48,'Données projet'!$A$61:$I$81,5,0)*VLOOKUP('Données projet'!$B$10,Paramètres!$A$1:$I$89,7,0))</f>
        <v>8.6000000000000007E-2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3.2051114923046815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3.2051114923046815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65.222701319459176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158</v>
      </c>
      <c r="BB48" s="12">
        <f>VLOOKUP(A48,'Données projet'!$A$87:$I$107,9,0)</f>
        <v>8.4</v>
      </c>
      <c r="BC48" s="12">
        <f t="array" ref="BC48">INDEX(BB:BB,MIN(IF(ISNUMBER(BB48:BB244),ROW(BB48:BB244),"")))</f>
        <v>8.4</v>
      </c>
      <c r="BD48" s="12">
        <f>IF('Données projet'!$A$88&gt;35,BD47+BC48-BL47,IF(A48&lt;'Données projet'!$A$88,$BA$205^A48,IF(A48='Données projet'!$A$88,'Données projet'!$B$88,BD47+BC48-BL47)))</f>
        <v>158.00000000000009</v>
      </c>
      <c r="BE48" s="13">
        <f>BD48*VLOOKUP('Données projet'!$B$11,Paramètres!$A$1:$I$89,3,0)*VLOOKUP('Données projet'!$B$11,Paramètres!$A$1:$I$89,5,0)</f>
        <v>142.95840000000007</v>
      </c>
      <c r="BF48" s="13">
        <f t="shared" si="37"/>
        <v>36.973906370811264</v>
      </c>
      <c r="BG48" s="20">
        <f t="shared" si="7"/>
        <v>313.38210026249641</v>
      </c>
      <c r="BH48" s="59">
        <f t="shared" si="8"/>
        <v>589.19867176718003</v>
      </c>
      <c r="BI48" s="59">
        <f ca="1">AVERAGE(OFFSET($BH$3,0,0,'Données projet'!$E$11+1,1))-AVERAGE(OFFSET($H$3,0,0,'Données projet'!$E$11+1,1))</f>
        <v>388.12494342575195</v>
      </c>
      <c r="BJ48" s="59">
        <f t="shared" si="38"/>
        <v>239.39471445648454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21</v>
      </c>
      <c r="BM48" s="16">
        <f>IF(ISNA(VLOOKUP(A48,'Données projet'!$A$87:$I$107,5,0)),0%,VLOOKUP(A48,'Données projet'!$A$87:$I$107,5,0)*VLOOKUP('Données projet'!$B$11,Paramètres!$A$1:$I$89,7,0))</f>
        <v>8.6000000000000007E-2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3.4425271584013237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3.4425271584013237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65.222701319459176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158</v>
      </c>
      <c r="BW48" s="12">
        <f>VLOOKUP(A48,'Données projet'!$A$113:$I$133,9,0)</f>
        <v>8.4</v>
      </c>
      <c r="BX48" s="12">
        <f t="array" ref="BX48">INDEX(BW:BW,MIN(IF(ISNUMBER(BW48:BW244),ROW(BW48:BW244),"")))</f>
        <v>8.4</v>
      </c>
      <c r="BY48" s="12">
        <f>IF('Données projet'!$A$114&gt;35,BY47+BX48-CG47,IF(A48&lt;'Données projet'!$A$114,$BV$205^A48,IF(A48='Données projet'!$A$114,'Données projet'!$B$114,BY47+BX48-CG47)))</f>
        <v>158.00000000000009</v>
      </c>
      <c r="BZ48" s="13">
        <f>BY48*VLOOKUP('Données projet'!$B$12,Paramètres!$A$1:$I$89,3,0)*VLOOKUP('Données projet'!$B$12,Paramètres!$A$1:$I$89,5,0)</f>
        <v>160.2120000000001</v>
      </c>
      <c r="CA48" s="13">
        <f t="shared" si="39"/>
        <v>40.890328912852731</v>
      </c>
      <c r="CB48" s="20">
        <f t="shared" si="10"/>
        <v>350.25322285655199</v>
      </c>
      <c r="CC48" s="59">
        <f t="shared" si="11"/>
        <v>626.06979436123561</v>
      </c>
      <c r="CD48" s="59">
        <f ca="1">AVERAGE(OFFSET($CC$3,0,0,'Données projet'!$E$12+1,1))-AVERAGE(OFFSET($H$3,0,0,'Données projet'!$E$12+1,1))</f>
        <v>428.33148932885132</v>
      </c>
      <c r="CE48" s="59">
        <f t="shared" si="40"/>
        <v>262.27548054534373</v>
      </c>
      <c r="CF48" s="15">
        <f>IF(ISNA(VLOOKUP(A48,'Données projet'!$A$113:$I$133,3,0)),0,VLOOKUP(A48,'Données projet'!$A$113:$I$133,3,0))</f>
        <v>6</v>
      </c>
      <c r="CG48" s="15">
        <f>IF(ISNA(VLOOKUP(A48,'Données projet'!$A$113:$I$133,4,0)),0,VLOOKUP(A48,'Données projet'!$A$113:$I$133,4,0))</f>
        <v>21</v>
      </c>
      <c r="CH48" s="16">
        <f>IF(ISNA(VLOOKUP(A48,'Données projet'!$A$113:$I$133,5,0)),0%,VLOOKUP(A48,'Données projet'!$A$113:$I$133,5,0)*VLOOKUP('Données projet'!$B$12,Paramètres!$A$1:$I$89,7,0))</f>
        <v>8.6000000000000007E-2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3.8580045740704501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3.8580045740704501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65.222701319459176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107</v>
      </c>
      <c r="CR48" s="12">
        <f>VLOOKUP(A48,'Données projet'!$A$139:$I$159,9,0)</f>
        <v>5.6</v>
      </c>
      <c r="CS48" s="12">
        <f t="array" ref="CS48">INDEX(CR:CR,MIN(IF(ISNUMBER(CR48:CR244),ROW(CR48:CR244),"")))</f>
        <v>5.6</v>
      </c>
      <c r="CT48" s="12">
        <f>IF('Données projet'!$A$140&gt;35,CT47+CS48-DB47,IF(A48&lt;'Données projet'!$A$140,$CQ$205^A48,IF(A48='Données projet'!$A$140,'Données projet'!$B$140,CT47+CS48-DB47)))</f>
        <v>106.99999999999999</v>
      </c>
      <c r="CU48" s="17">
        <f>CT48*VLOOKUP('Données projet'!$B$13,Paramètres!$A$1:$I$89,3,0)*VLOOKUP('Données projet'!$B$13,Paramètres!$A$1:$I$89,5,0)</f>
        <v>101.82119999999999</v>
      </c>
      <c r="CV48" s="13">
        <f t="shared" si="41"/>
        <v>27.395416540066275</v>
      </c>
      <c r="CW48" s="20">
        <f t="shared" si="13"/>
        <v>225.05227380728206</v>
      </c>
      <c r="CX48" s="59">
        <f t="shared" si="14"/>
        <v>500.86884531196569</v>
      </c>
      <c r="CY48" s="59">
        <f ca="1">AVERAGE(OFFSET($CX$3,0,0,'Données projet'!$E$13+1,1))-AVERAGE(OFFSET($H$3,0,0,'Données projet'!$E$13+1,1))</f>
        <v>307.62549820830162</v>
      </c>
      <c r="CZ48" s="59">
        <f t="shared" si="42"/>
        <v>160.26466014910304</v>
      </c>
      <c r="DA48" s="15">
        <f>IF(ISNA(VLOOKUP(A48,'Données projet'!$A$139:$I$159,3,0)),0,VLOOKUP(A48,'Données projet'!$A$139:$I$159,3,0))</f>
        <v>5</v>
      </c>
      <c r="DB48" s="15">
        <f>IF(ISNA(VLOOKUP(A48,'Données projet'!$A$139:$I$159,4,0)),0,VLOOKUP(A48,'Données projet'!$A$139:$I$159,4,0))</f>
        <v>14</v>
      </c>
      <c r="DC48" s="16">
        <f>IF(ISNA(VLOOKUP(A48,'Données projet'!$A$139:$I$159,5,0)),0%,VLOOKUP(A48,'Données projet'!$A$139:$I$159,5,0)*VLOOKUP('Données projet'!$B$13,Paramètres!$A$1:$I$89,7,0))</f>
        <v>8.6000000000000007E-2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2.4137259386492049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2.4137259386492049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65.222701319459176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205</v>
      </c>
      <c r="DM48" s="12">
        <f>VLOOKUP(A48,'Données projet'!$A$165:$I$185,9,0)</f>
        <v>8.1999999999999993</v>
      </c>
      <c r="DN48" s="12">
        <f t="array" ref="DN48">INDEX(DM:DM,MIN(IF(ISNUMBER(DM48:DM244),ROW(DM48:DM244),"")))</f>
        <v>8.1999999999999993</v>
      </c>
      <c r="DO48" s="12">
        <f>IF('Données projet'!$A$166&gt;35,DO47+DN48-DW47,IF(A48&lt;'Données projet'!$A$166,$DL$205^A48,IF(A48='Données projet'!$A$166,'Données projet'!$B$166,DO47+DN48-DW47)))</f>
        <v>204.99999999999994</v>
      </c>
      <c r="DP48" s="17">
        <f>DO48*VLOOKUP('Données projet'!$B$14,Paramètres!$A$1:$I$89,3,0)*VLOOKUP('Données projet'!$B$14,Paramètres!$A$1:$I$89,5,0)</f>
        <v>163.09799999999996</v>
      </c>
      <c r="DQ48" s="13">
        <f t="shared" si="43"/>
        <v>41.540496136845142</v>
      </c>
      <c r="DR48" s="20">
        <f t="shared" si="16"/>
        <v>356.4120474383385</v>
      </c>
      <c r="DS48" s="59">
        <f t="shared" si="17"/>
        <v>632.22861894302218</v>
      </c>
      <c r="DT48" s="59">
        <f ca="1">AVERAGE(OFFSET($DS$3,0,0,'Données projet'!$E$14+1,1))-AVERAGE(OFFSET($H$3,0,0,'Données projet'!$E$14+1,1))</f>
        <v>309.14579005132464</v>
      </c>
      <c r="DU48" s="59">
        <f t="shared" si="44"/>
        <v>300.60311050289533</v>
      </c>
      <c r="DV48" s="15">
        <f>IF(ISNA(VLOOKUP(A48,'Données projet'!$A$165:$I$185,3,0)),0,VLOOKUP(A48,'Données projet'!$A$165:$I$185,3,0))</f>
        <v>7</v>
      </c>
      <c r="DW48" s="15">
        <f>IF(ISNA(VLOOKUP(A48,'Données projet'!$A$165:$I$185,4,0)),0,VLOOKUP(A48,'Données projet'!$A$165:$I$185,4,0))</f>
        <v>22</v>
      </c>
      <c r="DX48" s="16">
        <f>IF(ISNA(VLOOKUP(A48,'Données projet'!$A$165:$I$185,5,0)),0%,VLOOKUP(A48,'Données projet'!$A$165:$I$185,5,0)*VLOOKUP('Données projet'!$B$14,Paramètres!$A$1:$I$89,7,0))</f>
        <v>0.159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9.5217390209807764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9.5217390209807764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65.222701319459176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242</v>
      </c>
      <c r="EH48" s="12">
        <f>VLOOKUP(A48,'Données projet'!$A$191:$I$211,9,0)</f>
        <v>9.8000000000000007</v>
      </c>
      <c r="EI48" s="12">
        <f t="array" ref="EI48">INDEX(EH:EH,MIN(IF(ISNUMBER(EH48:EH244),ROW(EH48:EH244),"")))</f>
        <v>9.8000000000000007</v>
      </c>
      <c r="EJ48" s="12">
        <f>IF('Données projet'!$A$192&gt;35,EJ47+EI48-ER47,IF(A48&lt;'Données projet'!$A$192,$EG$205^A48,IF(A48='Données projet'!$A$192,'Données projet'!$B$192,EJ47+EI48-ER47)))</f>
        <v>242.00000000000006</v>
      </c>
      <c r="EK48" s="17">
        <f>EJ48*VLOOKUP('Données projet'!$B$15,Paramètres!$A$1:$I$89,3,0)*VLOOKUP('Données projet'!$B$15,Paramètres!$A$1:$I$89,5,0)</f>
        <v>177.43440000000004</v>
      </c>
      <c r="EL48" s="13">
        <f t="shared" si="45"/>
        <v>44.750911401641211</v>
      </c>
      <c r="EM48" s="20">
        <f t="shared" si="19"/>
        <v>386.97275069119183</v>
      </c>
      <c r="EN48" s="59">
        <f t="shared" si="20"/>
        <v>662.78932219587546</v>
      </c>
      <c r="EO48" s="59">
        <f ca="1">AVERAGE(OFFSET($EN$3,0,0,'Données projet'!$E$15+1,1))-AVERAGE(OFFSET($H$3,0,0,'Données projet'!$E$15+1,1))</f>
        <v>338.59243085476896</v>
      </c>
      <c r="EP48" s="59">
        <f t="shared" si="46"/>
        <v>329.8393445823275</v>
      </c>
      <c r="EQ48" s="15">
        <f>IF(ISNA(VLOOKUP(A48,'Données projet'!$A$191:$I$211,3,0)),0,VLOOKUP(A48,'Données projet'!$A$191:$I$211,3,0))</f>
        <v>8</v>
      </c>
      <c r="ER48" s="15">
        <f>IF(ISNA(VLOOKUP(A48,'Données projet'!$A$191:$I$211,4,0)),0,VLOOKUP(A48,'Données projet'!$A$191:$I$211,4,0))</f>
        <v>24</v>
      </c>
      <c r="ES48" s="16">
        <f>IF(ISNA(VLOOKUP(A48,'Données projet'!$A$191:$I$211,5,0)),0%,VLOOKUP(A48,'Données projet'!$A$191:$I$211,5,0)*VLOOKUP('Données projet'!$B$15,Paramètres!$A$1:$I$89,7,0))</f>
        <v>0.129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11.279795949521771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11.279795949521771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65.222701319459176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242</v>
      </c>
      <c r="FC48" s="12">
        <f>VLOOKUP(A48,'Données projet'!$A$217:$I$237,9,0)</f>
        <v>9.8000000000000007</v>
      </c>
      <c r="FD48" s="12">
        <f t="array" ref="FD48">INDEX(FC:FC,MIN(IF(ISNUMBER(FC48:FC244),ROW(FC48:FC244),"")))</f>
        <v>9.8000000000000007</v>
      </c>
      <c r="FE48" s="12">
        <f>IF('Données projet'!$A$218&gt;35,FE47+FD48-FM47,IF(A48&lt;'Données projet'!$A$218,$FB$205^A48,IF(A48='Données projet'!$A$218,'Données projet'!$B$218,FE47+FD48-FM47)))</f>
        <v>242.00000000000006</v>
      </c>
      <c r="FF48" s="17">
        <f>FE48*VLOOKUP('Données projet'!$B$16,Paramètres!$A$1:$I$89,3,0)*VLOOKUP('Données projet'!$B$16,Paramètres!$A$1:$I$89,5,0)</f>
        <v>158.55840000000003</v>
      </c>
      <c r="FG48" s="13">
        <f t="shared" si="47"/>
        <v>40.517187421846444</v>
      </c>
      <c r="FH48" s="20">
        <f t="shared" si="22"/>
        <v>346.72331475971595</v>
      </c>
      <c r="FI48" s="59">
        <f t="shared" si="23"/>
        <v>622.53988626439957</v>
      </c>
      <c r="FJ48" s="59">
        <f ca="1">AVERAGE(OFFSET($FI$3,0,0,'Données projet'!$E$16+1,1))-AVERAGE(OFFSET($H$3,0,0,'Données projet'!$E$16+1,1))</f>
        <v>307.50573770128085</v>
      </c>
      <c r="FK48" s="59">
        <f t="shared" si="48"/>
        <v>300.2007312562655</v>
      </c>
      <c r="FL48" s="15">
        <f>IF(ISNA(VLOOKUP(A48,'Données projet'!$A$217:$I$237,3,0)),0,VLOOKUP(A48,'Données projet'!$A$217:$I$237,3,0))</f>
        <v>8</v>
      </c>
      <c r="FM48" s="15">
        <f>IF(ISNA(VLOOKUP(A48,'Données projet'!$A$217:$I$237,4,0)),0,VLOOKUP(A48,'Données projet'!$A$217:$I$237,4,0))</f>
        <v>24</v>
      </c>
      <c r="FN48" s="16">
        <f>IF(ISNA(VLOOKUP(A48,'Données projet'!$A$217:$I$237,5,0)),0%,VLOOKUP(A48,'Données projet'!$A$217:$I$237,5,0)*VLOOKUP('Données projet'!$B$16,Paramètres!$A$1:$I$89,7,0))</f>
        <v>0.129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10.079817657019456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10.079817657019456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65.222701319459176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>
        <f>VLOOKUP(A48,'Données projet'!$A$243:$I$263,2,0)</f>
        <v>242</v>
      </c>
      <c r="FX48" s="12">
        <f>VLOOKUP(A48,'Données projet'!$A$243:$I$263,9,0)</f>
        <v>9.8000000000000007</v>
      </c>
      <c r="FY48" s="12">
        <f t="array" ref="FY48">INDEX(FX:FX,MIN(IF(ISNUMBER(FX48:FX244),ROW(FX48:FX244),"")))</f>
        <v>9.8000000000000007</v>
      </c>
      <c r="FZ48" s="12">
        <f>IF('Données projet'!$A$244&gt;35,FZ47+FY48-GH47,IF(A48&lt;'Données projet'!$A$244,$FW$205^A48,IF(A48='Données projet'!$A$244,'Données projet'!$B$244,FZ47+FY48-GH47)))</f>
        <v>242.00000000000006</v>
      </c>
      <c r="GA48" s="17">
        <f>FZ48*VLOOKUP('Données projet'!$B$17,Paramètres!$A$1:$I$89,3,0)*VLOOKUP('Données projet'!$B$17,Paramètres!$A$1:$I$89,5,0)</f>
        <v>196.31040000000004</v>
      </c>
      <c r="GB48" s="13">
        <f t="shared" si="49"/>
        <v>48.932428681108973</v>
      </c>
      <c r="GC48" s="20">
        <f t="shared" si="25"/>
        <v>427.13125995293154</v>
      </c>
      <c r="GD48" s="59">
        <f t="shared" si="26"/>
        <v>702.94783145761517</v>
      </c>
      <c r="GE48" s="59">
        <f ca="1">AVERAGE(OFFSET($GD$3,0,0,'Données projet'!$E$17+1,1))-AVERAGE(OFFSET($H$3,0,0,'Données projet'!$E$17+1,1))</f>
        <v>369.60865427618342</v>
      </c>
      <c r="GF48" s="59">
        <f t="shared" si="50"/>
        <v>359.40898775279197</v>
      </c>
      <c r="GG48" s="15">
        <f>IF(ISNA(VLOOKUP(A48,'Données projet'!$A$243:$I$263,3,0)),0,VLOOKUP(A48,'Données projet'!$A$243:$I$263,3,0))</f>
        <v>8</v>
      </c>
      <c r="GH48" s="15">
        <f>IF(ISNA(VLOOKUP(A48,'Données projet'!$A$243:$I$263,4,0)),0,VLOOKUP(A48,'Données projet'!$A$243:$I$263,4,0))</f>
        <v>24</v>
      </c>
      <c r="GI48" s="16">
        <f>IF(ISNA(VLOOKUP(A48,'Données projet'!$A$243:$I$263,5,0)),0%,VLOOKUP(A48,'Données projet'!$A$243:$I$263,5,0)*VLOOKUP('Données projet'!$B$17,Paramètres!$A$1:$I$89,7,0))</f>
        <v>0.129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12.479774242024087</v>
      </c>
      <c r="GM48" s="21">
        <f>EXP(-LN(2)/25)*GM47+(1-EXP(-LN(2)/25))/(LN(2)/25)*Calculateur!GH48*Calculateur!GJ48*VLOOKUP('Données projet'!$B$17,Paramètres!$A$1:$I$89,3,0)*0.475*44/12</f>
        <v>0</v>
      </c>
      <c r="GN48" s="21">
        <f>EXP(-LN(2)/2)*GN47+(1-EXP(-LN(2)/2))/(LN(2)/2)*GH48*GK48*VLOOKUP('Données projet'!$B$17,Paramètres!$A$1:$I$89,3,0)*0.475*44/12</f>
        <v>0</v>
      </c>
      <c r="GO48" s="21">
        <f t="shared" si="27"/>
        <v>12.479774242024087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65.222701319459176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>
        <f>VLOOKUP(A48,'Données projet'!$A$269:$I$289,2,0)</f>
        <v>205</v>
      </c>
      <c r="GS48" s="12">
        <f>VLOOKUP(A48,'Données projet'!$A$269:$I$289,9,0)</f>
        <v>8.1999999999999993</v>
      </c>
      <c r="GT48" s="12">
        <f t="array" ref="GT48">INDEX(GS:GS,MIN(IF(ISNUMBER(GS48:GS244),ROW(GS48:GS244),"")))</f>
        <v>8.1999999999999993</v>
      </c>
      <c r="GU48" s="12">
        <f>IF('Données projet'!$A$270&gt;35,GU47+GT48-HC47,IF(A48&lt;'Données projet'!$A$270,$GR$205^A48,IF(A48='Données projet'!$A$270,'Données projet'!$B$270,GU47+GT48-HC47)))</f>
        <v>204.99999999999994</v>
      </c>
      <c r="GV48" s="17">
        <f>GU48*VLOOKUP('Données projet'!$B$18,Paramètres!$A$1:$I$89,3,0)*VLOOKUP('Données projet'!$B$18,Paramètres!$A$1:$I$89,5,0)</f>
        <v>134.31599999999995</v>
      </c>
      <c r="GW48" s="13">
        <f t="shared" si="51"/>
        <v>34.991756585122445</v>
      </c>
      <c r="GX48" s="20">
        <f t="shared" si="28"/>
        <v>294.87767605242146</v>
      </c>
      <c r="GY48" s="59">
        <f t="shared" si="29"/>
        <v>570.69424755710509</v>
      </c>
      <c r="GZ48" s="59">
        <f ca="1">AVERAGE(OFFSET($GY$3,0,0,'Données projet'!$E$18+1,1))-AVERAGE(OFFSET($H$3,0,0,'Données projet'!$E$18+1,1))</f>
        <v>262.62914256200031</v>
      </c>
      <c r="HA48" s="59">
        <f t="shared" si="52"/>
        <v>256.45129229594409</v>
      </c>
      <c r="HB48" s="15">
        <f>IF(ISNA(VLOOKUP(A48,'Données projet'!$A$269:$I$289,3,0)),0,VLOOKUP(A48,'Données projet'!$A$269:$I$289,3,0))</f>
        <v>7</v>
      </c>
      <c r="HC48" s="15">
        <f>IF(ISNA(VLOOKUP(A48,'Données projet'!$A$269:$I$289,4,0)),0,VLOOKUP(A48,'Données projet'!$A$269:$I$289,4,0))</f>
        <v>22</v>
      </c>
      <c r="HD48" s="16">
        <f>IF(ISNA(VLOOKUP(A48,'Données projet'!$A$269:$I$289,5,0)),0%,VLOOKUP(A48,'Données projet'!$A$269:$I$289,5,0)*VLOOKUP('Données projet'!$B$18,Paramètres!$A$1:$I$89,7,0))</f>
        <v>0.129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>
        <f>EXP(-LN(2)/35)*HG47+(1-EXP(-LN(2)/35))/(LN(2)/35)*HC48*HD48*VLOOKUP('Données projet'!$B$18,Paramètres!$A$1:$I$89,3,0)*0.475*44/12</f>
        <v>6.3619166377696192</v>
      </c>
      <c r="HH48" s="21">
        <f>EXP(-LN(2)/25)*HH47+(1-EXP(-LN(2)/25))/(LN(2)/25)*Calculateur!HC48*Calculateur!HE48*VLOOKUP('Données projet'!$B$18,Paramètres!$A$1:$I$89,3,0)*0.475*44/12</f>
        <v>0</v>
      </c>
      <c r="HI48" s="21">
        <f>EXP(-LN(2)/2)*HI47+(1-EXP(-LN(2)/2))/(LN(2)/2)*HC48*HF48*VLOOKUP('Données projet'!$B$18,Paramètres!$A$1:$I$89,3,0)*0.475*44/12</f>
        <v>0</v>
      </c>
      <c r="HJ48" s="22">
        <f t="shared" si="30"/>
        <v>6.3619166377696192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2.1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7.7</v>
      </c>
      <c r="H49" s="67">
        <f t="shared" si="1"/>
        <v>225.86666666666665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65.305576771126752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</v>
      </c>
      <c r="N49" s="13">
        <f>IF('Données projet'!$A$36&gt;35,N48+M49-V48,IF(A49&lt;'Données projet'!$A$36,$K$205^A49,IF(A49='Données projet'!$A$36,'Données projet'!$B$36,N48+M49-V48)))</f>
        <v>173.00000000000006</v>
      </c>
      <c r="O49" s="13">
        <f>N49*VLOOKUP('Données projet'!$B$9,Paramètres!$A$1:$I$89,3,0)*VLOOKUP('Données projet'!$B$9,Paramètres!$A$1:$I$89,5,0)</f>
        <v>148.43400000000005</v>
      </c>
      <c r="P49" s="13">
        <f t="shared" si="33"/>
        <v>38.222489421716418</v>
      </c>
      <c r="Q49" s="20">
        <f t="shared" si="53"/>
        <v>325.09338574282282</v>
      </c>
      <c r="R49" s="59">
        <f t="shared" si="0"/>
        <v>601.21383390362098</v>
      </c>
      <c r="S49" s="59">
        <f ca="1">AVERAGE(OFFSET($R$3,0,0,'Données projet'!$E$9+1,1))-AVERAGE(OFFSET($H$3,0,0,'Données projet'!$E$9+1,1))</f>
        <v>476.79071915271794</v>
      </c>
      <c r="T49" s="59">
        <f t="shared" si="34"/>
        <v>264.79929759351762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2.7599260002881798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2.7599260002881798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65.305576771126752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8.1999999999999993</v>
      </c>
      <c r="AI49" s="13">
        <f>IF('Données projet'!$A$62&gt;35,AI48+AH49-AQ48,IF(A49&lt;'Données projet'!$A$62,$AF$205^A49,IF(A49='Données projet'!$A$62,'Données projet'!$B$62,AI48+AH49-AQ48)))</f>
        <v>145.20000000000007</v>
      </c>
      <c r="AJ49" s="13">
        <f>AI49*VLOOKUP('Données projet'!$B$10,Paramètres!$A$1:$I$89,3,0)*VLOOKUP('Données projet'!$B$10,Paramètres!$A$1:$I$89,5,0)</f>
        <v>122.31648000000007</v>
      </c>
      <c r="AK49" s="13">
        <f t="shared" si="35"/>
        <v>32.214677527967339</v>
      </c>
      <c r="AL49" s="20">
        <f t="shared" si="4"/>
        <v>269.1417660278766</v>
      </c>
      <c r="AM49" s="59">
        <f t="shared" si="5"/>
        <v>545.26221418867476</v>
      </c>
      <c r="AN49" s="59">
        <f ca="1">AVERAGE(OFFSET($AM$3,0,0,'Données projet'!$E$10+1,1))-AVERAGE(OFFSET($H$3,0,0,'Données projet'!$E$10+1,1))</f>
        <v>365.104658862176</v>
      </c>
      <c r="AO49" s="59">
        <f t="shared" si="36"/>
        <v>226.29232910286325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3.1422612108655641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3.1422612108655641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65.305576771126752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8.1999999999999993</v>
      </c>
      <c r="BD49" s="12">
        <f>IF('Données projet'!$A$88&gt;35,BD48+BC49-BL48,IF(A49&lt;'Données projet'!$A$88,$BA$205^A49,IF(A49='Données projet'!$A$88,'Données projet'!$B$88,BD48+BC49-BL48)))</f>
        <v>145.20000000000007</v>
      </c>
      <c r="BE49" s="13">
        <f>BD49*VLOOKUP('Données projet'!$B$11,Paramètres!$A$1:$I$89,3,0)*VLOOKUP('Données projet'!$B$11,Paramètres!$A$1:$I$89,5,0)</f>
        <v>131.37696000000005</v>
      </c>
      <c r="BF49" s="13">
        <f t="shared" si="37"/>
        <v>34.314338988223334</v>
      </c>
      <c r="BG49" s="20">
        <f t="shared" si="7"/>
        <v>288.57901240448905</v>
      </c>
      <c r="BH49" s="59">
        <f t="shared" si="8"/>
        <v>564.69946056528715</v>
      </c>
      <c r="BI49" s="59">
        <f ca="1">AVERAGE(OFFSET($BH$3,0,0,'Données projet'!$E$11+1,1))-AVERAGE(OFFSET($H$3,0,0,'Données projet'!$E$11+1,1))</f>
        <v>388.12494342575195</v>
      </c>
      <c r="BJ49" s="59">
        <f t="shared" si="38"/>
        <v>239.39471445648454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3.3750213005593088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3.3750213005593088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65.305576771126752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8.1999999999999993</v>
      </c>
      <c r="BY49" s="12">
        <f>IF('Données projet'!$A$114&gt;35,BY48+BX49-CG48,IF(A49&lt;'Données projet'!$A$114,$BV$205^A49,IF(A49='Données projet'!$A$114,'Données projet'!$B$114,BY48+BX49-CG48)))</f>
        <v>145.20000000000007</v>
      </c>
      <c r="BZ49" s="13">
        <f>BY49*VLOOKUP('Données projet'!$B$12,Paramètres!$A$1:$I$89,3,0)*VLOOKUP('Données projet'!$B$12,Paramètres!$A$1:$I$89,5,0)</f>
        <v>147.23280000000008</v>
      </c>
      <c r="CA49" s="13">
        <f t="shared" si="39"/>
        <v>37.949049623906205</v>
      </c>
      <c r="CB49" s="20">
        <f t="shared" si="10"/>
        <v>322.5250547616368</v>
      </c>
      <c r="CC49" s="59">
        <f t="shared" si="11"/>
        <v>598.64550292243484</v>
      </c>
      <c r="CD49" s="59">
        <f ca="1">AVERAGE(OFFSET($CC$3,0,0,'Données projet'!$E$12+1,1))-AVERAGE(OFFSET($H$3,0,0,'Données projet'!$E$12+1,1))</f>
        <v>428.33148932885132</v>
      </c>
      <c r="CE49" s="59">
        <f t="shared" si="40"/>
        <v>262.27548054534373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3.7823514575233643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3.7823514575233643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65.305576771126752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5.6</v>
      </c>
      <c r="CT49" s="12">
        <f>IF('Données projet'!$A$140&gt;35,CT48+CS49-DB48,IF(A49&lt;'Données projet'!$A$140,$CQ$205^A49,IF(A49='Données projet'!$A$140,'Données projet'!$B$140,CT48+CS49-DB48)))</f>
        <v>98.59999999999998</v>
      </c>
      <c r="CU49" s="17">
        <f>CT49*VLOOKUP('Données projet'!$B$13,Paramètres!$A$1:$I$89,3,0)*VLOOKUP('Données projet'!$B$13,Paramètres!$A$1:$I$89,5,0)</f>
        <v>93.827759999999984</v>
      </c>
      <c r="CV49" s="13">
        <f t="shared" si="41"/>
        <v>25.486138814422123</v>
      </c>
      <c r="CW49" s="20">
        <f t="shared" si="13"/>
        <v>207.80504043511849</v>
      </c>
      <c r="CX49" s="59">
        <f t="shared" si="14"/>
        <v>483.92548859591659</v>
      </c>
      <c r="CY49" s="59">
        <f ca="1">AVERAGE(OFFSET($CX$3,0,0,'Données projet'!$E$13+1,1))-AVERAGE(OFFSET($H$3,0,0,'Données projet'!$E$13+1,1))</f>
        <v>307.62549820830162</v>
      </c>
      <c r="CZ49" s="59">
        <f t="shared" si="42"/>
        <v>160.26466014910304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2.3663942452197464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2.3663942452197464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65.305576771126752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7.2</v>
      </c>
      <c r="DO49" s="12">
        <f>IF('Données projet'!$A$166&gt;35,DO48+DN49-DW48,IF(A49&lt;'Données projet'!$A$166,$DL$205^A49,IF(A49='Données projet'!$A$166,'Données projet'!$B$166,DO48+DN49-DW48)))</f>
        <v>190.19999999999993</v>
      </c>
      <c r="DP49" s="17">
        <f>DO49*VLOOKUP('Données projet'!$B$14,Paramètres!$A$1:$I$89,3,0)*VLOOKUP('Données projet'!$B$14,Paramètres!$A$1:$I$89,5,0)</f>
        <v>151.32311999999996</v>
      </c>
      <c r="DQ49" s="13">
        <f t="shared" si="43"/>
        <v>38.879115530839606</v>
      </c>
      <c r="DR49" s="20">
        <f t="shared" si="16"/>
        <v>331.26889354954557</v>
      </c>
      <c r="DS49" s="59">
        <f t="shared" si="17"/>
        <v>607.38934171034361</v>
      </c>
      <c r="DT49" s="59">
        <f ca="1">AVERAGE(OFFSET($DS$3,0,0,'Données projet'!$E$14+1,1))-AVERAGE(OFFSET($H$3,0,0,'Données projet'!$E$14+1,1))</f>
        <v>309.14579005132464</v>
      </c>
      <c r="DU49" s="59">
        <f t="shared" si="44"/>
        <v>300.60311050289533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9.335023526466685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9.335023526466685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65.305576771126752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8.6</v>
      </c>
      <c r="EJ49" s="12">
        <f>IF('Données projet'!$A$192&gt;35,EJ48+EI49-ER48,IF(A49&lt;'Données projet'!$A$192,$EG$205^A49,IF(A49='Données projet'!$A$192,'Données projet'!$B$192,EJ48+EI49-ER48)))</f>
        <v>226.60000000000005</v>
      </c>
      <c r="EK49" s="17">
        <f>EJ49*VLOOKUP('Données projet'!$B$15,Paramètres!$A$1:$I$89,3,0)*VLOOKUP('Données projet'!$B$15,Paramètres!$A$1:$I$89,5,0)</f>
        <v>166.14312000000004</v>
      </c>
      <c r="EL49" s="13">
        <f t="shared" si="45"/>
        <v>42.225060429180481</v>
      </c>
      <c r="EM49" s="20">
        <f t="shared" si="19"/>
        <v>362.90791424748937</v>
      </c>
      <c r="EN49" s="59">
        <f t="shared" si="20"/>
        <v>639.02836240828742</v>
      </c>
      <c r="EO49" s="59">
        <f ca="1">AVERAGE(OFFSET($EN$3,0,0,'Données projet'!$E$15+1,1))-AVERAGE(OFFSET($H$3,0,0,'Données projet'!$E$15+1,1))</f>
        <v>338.59243085476896</v>
      </c>
      <c r="EP49" s="59">
        <f t="shared" si="46"/>
        <v>329.8393445823275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11.058606030947836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11.058606030947836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65.305576771126752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8.6</v>
      </c>
      <c r="FE49" s="12">
        <f>IF('Données projet'!$A$218&gt;35,FE48+FD49-FM48,IF(A49&lt;'Données projet'!$A$218,$FB$205^A49,IF(A49='Données projet'!$A$218,'Données projet'!$B$218,FE48+FD49-FM48)))</f>
        <v>226.60000000000005</v>
      </c>
      <c r="FF49" s="17">
        <f>FE49*VLOOKUP('Données projet'!$B$16,Paramètres!$A$1:$I$89,3,0)*VLOOKUP('Données projet'!$B$16,Paramètres!$A$1:$I$89,5,0)</f>
        <v>148.46832000000003</v>
      </c>
      <c r="FG49" s="13">
        <f t="shared" si="47"/>
        <v>38.230298193326924</v>
      </c>
      <c r="FH49" s="20">
        <f t="shared" si="22"/>
        <v>325.16676002004442</v>
      </c>
      <c r="FI49" s="59">
        <f t="shared" si="23"/>
        <v>601.28720818084253</v>
      </c>
      <c r="FJ49" s="59">
        <f ca="1">AVERAGE(OFFSET($FI$3,0,0,'Données projet'!$E$16+1,1))-AVERAGE(OFFSET($H$3,0,0,'Données projet'!$E$16+1,1))</f>
        <v>307.50573770128085</v>
      </c>
      <c r="FK49" s="59">
        <f t="shared" si="48"/>
        <v>300.2007312562655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9.8821585808470029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9.8821585808470029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65.305576771126752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8.6</v>
      </c>
      <c r="FZ49" s="12">
        <f>IF('Données projet'!$A$244&gt;35,FZ48+FY49-GH48,IF(A49&lt;'Données projet'!$A$244,$FW$205^A49,IF(A49='Données projet'!$A$244,'Données projet'!$B$244,FZ48+FY49-GH48)))</f>
        <v>226.60000000000005</v>
      </c>
      <c r="GA49" s="17">
        <f>FZ49*VLOOKUP('Données projet'!$B$17,Paramètres!$A$1:$I$89,3,0)*VLOOKUP('Données projet'!$B$17,Paramètres!$A$1:$I$89,5,0)</f>
        <v>183.81792000000007</v>
      </c>
      <c r="GB49" s="13">
        <f t="shared" si="49"/>
        <v>46.170562638655326</v>
      </c>
      <c r="GC49" s="20">
        <f t="shared" si="25"/>
        <v>400.56327392899146</v>
      </c>
      <c r="GD49" s="59">
        <f t="shared" si="26"/>
        <v>676.68372208978963</v>
      </c>
      <c r="GE49" s="59">
        <f ca="1">AVERAGE(OFFSET($GD$3,0,0,'Données projet'!$E$17+1,1))-AVERAGE(OFFSET($H$3,0,0,'Données projet'!$E$17+1,1))</f>
        <v>369.60865427618342</v>
      </c>
      <c r="GF49" s="59">
        <f t="shared" si="50"/>
        <v>359.40898775279197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12.235053481048668</v>
      </c>
      <c r="GM49" s="21">
        <f>EXP(-LN(2)/25)*GM48+(1-EXP(-LN(2)/25))/(LN(2)/25)*Calculateur!GH49*Calculateur!GJ49*VLOOKUP('Données projet'!$B$17,Paramètres!$A$1:$I$89,3,0)*0.475*44/12</f>
        <v>0</v>
      </c>
      <c r="GN49" s="21">
        <f>EXP(-LN(2)/2)*GN48+(1-EXP(-LN(2)/2))/(LN(2)/2)*GH49*GK49*VLOOKUP('Données projet'!$B$17,Paramètres!$A$1:$I$89,3,0)*0.475*44/12</f>
        <v>0</v>
      </c>
      <c r="GO49" s="21">
        <f t="shared" si="27"/>
        <v>12.235053481048668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65.305576771126752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7.2</v>
      </c>
      <c r="GU49" s="12">
        <f>IF('Données projet'!$A$270&gt;35,GU48+GT49-HC48,IF(A49&lt;'Données projet'!$A$270,$GR$205^A49,IF(A49='Données projet'!$A$270,'Données projet'!$B$270,GU48+GT49-HC48)))</f>
        <v>190.19999999999993</v>
      </c>
      <c r="GV49" s="17">
        <f>GU49*VLOOKUP('Données projet'!$B$18,Paramètres!$A$1:$I$89,3,0)*VLOOKUP('Données projet'!$B$18,Paramètres!$A$1:$I$89,5,0)</f>
        <v>124.61903999999996</v>
      </c>
      <c r="GW49" s="13">
        <f t="shared" si="51"/>
        <v>32.749934965107833</v>
      </c>
      <c r="GX49" s="20">
        <f t="shared" si="28"/>
        <v>274.08429806422936</v>
      </c>
      <c r="GY49" s="59">
        <f t="shared" si="29"/>
        <v>550.20474622502752</v>
      </c>
      <c r="GZ49" s="59">
        <f ca="1">AVERAGE(OFFSET($GY$3,0,0,'Données projet'!$E$18+1,1))-AVERAGE(OFFSET($H$3,0,0,'Données projet'!$E$18+1,1))</f>
        <v>262.62914256200031</v>
      </c>
      <c r="HA49" s="59">
        <f t="shared" si="52"/>
        <v>256.45129229594409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projet'!$B$18,Paramètres!$A$1:$I$89,3,0)*0.475*44/12</f>
        <v>6.23716333288895</v>
      </c>
      <c r="HH49" s="21">
        <f>EXP(-LN(2)/25)*HH48+(1-EXP(-LN(2)/25))/(LN(2)/25)*Calculateur!HC49*Calculateur!HE49*VLOOKUP('Données projet'!$B$18,Paramètres!$A$1:$I$89,3,0)*0.475*44/12</f>
        <v>0</v>
      </c>
      <c r="HI49" s="21">
        <f>EXP(-LN(2)/2)*HI48+(1-EXP(-LN(2)/2))/(LN(2)/2)*HC49*HF49*VLOOKUP('Données projet'!$B$18,Paramètres!$A$1:$I$89,3,0)*0.475*44/12</f>
        <v>0</v>
      </c>
      <c r="HJ49" s="22">
        <f t="shared" si="30"/>
        <v>6.23716333288895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2.1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7.7</v>
      </c>
      <c r="H50" s="67">
        <f t="shared" si="1"/>
        <v>225.86666666666665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65.387014518989645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</v>
      </c>
      <c r="N50" s="13">
        <f>IF('Données projet'!$A$36&gt;35,N49+M50-V49,IF(A50&lt;'Données projet'!$A$36,$K$205^A50,IF(A50='Données projet'!$A$36,'Données projet'!$B$36,N49+M50-V49)))</f>
        <v>184.00000000000006</v>
      </c>
      <c r="O50" s="13">
        <f>N50*VLOOKUP('Données projet'!$B$9,Paramètres!$A$1:$I$89,3,0)*VLOOKUP('Données projet'!$B$9,Paramètres!$A$1:$I$89,5,0)</f>
        <v>157.87200000000007</v>
      </c>
      <c r="P50" s="13">
        <f t="shared" si="33"/>
        <v>40.362165684361159</v>
      </c>
      <c r="Q50" s="20">
        <f t="shared" si="53"/>
        <v>345.25783856692919</v>
      </c>
      <c r="R50" s="59">
        <f t="shared" si="0"/>
        <v>621.67689180322463</v>
      </c>
      <c r="S50" s="59">
        <f ca="1">AVERAGE(OFFSET($R$3,0,0,'Données projet'!$E$9+1,1))-AVERAGE(OFFSET($H$3,0,0,'Données projet'!$E$9+1,1))</f>
        <v>476.79071915271794</v>
      </c>
      <c r="T50" s="59">
        <f t="shared" si="34"/>
        <v>264.79929759351762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2.705805534811168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2.705805534811168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65.387014518989645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8.1999999999999993</v>
      </c>
      <c r="AI50" s="13">
        <f>IF('Données projet'!$A$62&gt;35,AI49+AH50-AQ49,IF(A50&lt;'Données projet'!$A$62,$AF$205^A50,IF(A50='Données projet'!$A$62,'Données projet'!$B$62,AI49+AH50-AQ49)))</f>
        <v>153.40000000000006</v>
      </c>
      <c r="AJ50" s="13">
        <f>AI50*VLOOKUP('Données projet'!$B$10,Paramètres!$A$1:$I$89,3,0)*VLOOKUP('Données projet'!$B$10,Paramètres!$A$1:$I$89,5,0)</f>
        <v>129.22416000000007</v>
      </c>
      <c r="AK50" s="13">
        <f t="shared" si="35"/>
        <v>33.81702308029579</v>
      </c>
      <c r="AL50" s="20">
        <f t="shared" si="4"/>
        <v>283.96339386484857</v>
      </c>
      <c r="AM50" s="59">
        <f t="shared" si="5"/>
        <v>560.38244710114395</v>
      </c>
      <c r="AN50" s="59">
        <f ca="1">AVERAGE(OFFSET($AM$3,0,0,'Données projet'!$E$10+1,1))-AVERAGE(OFFSET($H$3,0,0,'Données projet'!$E$10+1,1))</f>
        <v>365.104658862176</v>
      </c>
      <c r="AO50" s="59">
        <f t="shared" si="36"/>
        <v>226.29232910286325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3.0806433851105814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3.0806433851105814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65.387014518989645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8.1999999999999993</v>
      </c>
      <c r="BD50" s="12">
        <f>IF('Données projet'!$A$88&gt;35,BD49+BC50-BL49,IF(A50&lt;'Données projet'!$A$88,$BA$205^A50,IF(A50='Données projet'!$A$88,'Données projet'!$B$88,BD49+BC50-BL49)))</f>
        <v>153.40000000000006</v>
      </c>
      <c r="BE50" s="13">
        <f>BD50*VLOOKUP('Données projet'!$B$11,Paramètres!$A$1:$I$89,3,0)*VLOOKUP('Données projet'!$B$11,Paramètres!$A$1:$I$89,5,0)</f>
        <v>138.79632000000007</v>
      </c>
      <c r="BF50" s="13">
        <f t="shared" si="37"/>
        <v>36.021120886354588</v>
      </c>
      <c r="BG50" s="20">
        <f t="shared" si="7"/>
        <v>304.47370954373434</v>
      </c>
      <c r="BH50" s="59">
        <f t="shared" si="8"/>
        <v>580.89276278002967</v>
      </c>
      <c r="BI50" s="59">
        <f ca="1">AVERAGE(OFFSET($BH$3,0,0,'Données projet'!$E$11+1,1))-AVERAGE(OFFSET($H$3,0,0,'Données projet'!$E$11+1,1))</f>
        <v>388.12494342575195</v>
      </c>
      <c r="BJ50" s="59">
        <f t="shared" si="38"/>
        <v>239.39471445648454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3.3088391914150681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3.3088391914150681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65.387014518989645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8.1999999999999993</v>
      </c>
      <c r="BY50" s="12">
        <f>IF('Données projet'!$A$114&gt;35,BY49+BX50-CG49,IF(A50&lt;'Données projet'!$A$114,$BV$205^A50,IF(A50='Données projet'!$A$114,'Données projet'!$B$114,BY49+BX50-CG49)))</f>
        <v>153.40000000000006</v>
      </c>
      <c r="BZ50" s="13">
        <f>BY50*VLOOKUP('Données projet'!$B$12,Paramètres!$A$1:$I$89,3,0)*VLOOKUP('Données projet'!$B$12,Paramètres!$A$1:$I$89,5,0)</f>
        <v>155.54760000000007</v>
      </c>
      <c r="CA50" s="13">
        <f t="shared" si="39"/>
        <v>39.836620617816237</v>
      </c>
      <c r="CB50" s="20">
        <f t="shared" si="10"/>
        <v>340.2941842426967</v>
      </c>
      <c r="CC50" s="59">
        <f t="shared" si="11"/>
        <v>616.71323747899214</v>
      </c>
      <c r="CD50" s="59">
        <f ca="1">AVERAGE(OFFSET($CC$3,0,0,'Données projet'!$E$12+1,1))-AVERAGE(OFFSET($H$3,0,0,'Données projet'!$E$12+1,1))</f>
        <v>428.33148932885132</v>
      </c>
      <c r="CE50" s="59">
        <f t="shared" si="40"/>
        <v>262.27548054534373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3.7081818524479222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3.7081818524479222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65.387014518989645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5.6</v>
      </c>
      <c r="CT50" s="12">
        <f>IF('Données projet'!$A$140&gt;35,CT49+CS50-DB49,IF(A50&lt;'Données projet'!$A$140,$CQ$205^A50,IF(A50='Données projet'!$A$140,'Données projet'!$B$140,CT49+CS50-DB49)))</f>
        <v>104.19999999999997</v>
      </c>
      <c r="CU50" s="17">
        <f>CT50*VLOOKUP('Données projet'!$B$13,Paramètres!$A$1:$I$89,3,0)*VLOOKUP('Données projet'!$B$13,Paramètres!$A$1:$I$89,5,0)</f>
        <v>99.156719999999979</v>
      </c>
      <c r="CV50" s="13">
        <f t="shared" si="41"/>
        <v>26.7609988066732</v>
      </c>
      <c r="CW50" s="20">
        <f t="shared" si="13"/>
        <v>219.30669358828911</v>
      </c>
      <c r="CX50" s="59">
        <f t="shared" si="14"/>
        <v>495.72574682458446</v>
      </c>
      <c r="CY50" s="59">
        <f ca="1">AVERAGE(OFFSET($CX$3,0,0,'Données projet'!$E$13+1,1))-AVERAGE(OFFSET($H$3,0,0,'Données projet'!$E$13+1,1))</f>
        <v>307.62549820830162</v>
      </c>
      <c r="CZ50" s="59">
        <f t="shared" si="42"/>
        <v>160.26466014910304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2.319990697428957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2.319990697428957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65.387014518989645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7.2</v>
      </c>
      <c r="DO50" s="12">
        <f>IF('Données projet'!$A$166&gt;35,DO49+DN50-DW49,IF(A50&lt;'Données projet'!$A$166,$DL$205^A50,IF(A50='Données projet'!$A$166,'Données projet'!$B$166,DO49+DN50-DW49)))</f>
        <v>197.39999999999992</v>
      </c>
      <c r="DP50" s="17">
        <f>DO50*VLOOKUP('Données projet'!$B$14,Paramètres!$A$1:$I$89,3,0)*VLOOKUP('Données projet'!$B$14,Paramètres!$A$1:$I$89,5,0)</f>
        <v>157.05143999999996</v>
      </c>
      <c r="DQ50" s="13">
        <f t="shared" si="43"/>
        <v>40.176741230099708</v>
      </c>
      <c r="DR50" s="20">
        <f t="shared" si="16"/>
        <v>343.50574897575689</v>
      </c>
      <c r="DS50" s="59">
        <f t="shared" si="17"/>
        <v>619.92480221205233</v>
      </c>
      <c r="DT50" s="59">
        <f ca="1">AVERAGE(OFFSET($DS$3,0,0,'Données projet'!$E$14+1,1))-AVERAGE(OFFSET($H$3,0,0,'Données projet'!$E$14+1,1))</f>
        <v>309.14579005132464</v>
      </c>
      <c r="DU50" s="59">
        <f t="shared" si="44"/>
        <v>300.60311050289533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9.1519694089148089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9.1519694089148089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65.387014518989645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8.6</v>
      </c>
      <c r="EJ50" s="12">
        <f>IF('Données projet'!$A$192&gt;35,EJ49+EI50-ER49,IF(A50&lt;'Données projet'!$A$192,$EG$205^A50,IF(A50='Données projet'!$A$192,'Données projet'!$B$192,EJ49+EI50-ER49)))</f>
        <v>235.20000000000005</v>
      </c>
      <c r="EK50" s="17">
        <f>EJ50*VLOOKUP('Données projet'!$B$15,Paramètres!$A$1:$I$89,3,0)*VLOOKUP('Données projet'!$B$15,Paramètres!$A$1:$I$89,5,0)</f>
        <v>172.44864000000001</v>
      </c>
      <c r="EL50" s="13">
        <f t="shared" si="45"/>
        <v>43.637980200453676</v>
      </c>
      <c r="EM50" s="20">
        <f t="shared" si="19"/>
        <v>376.35086351579019</v>
      </c>
      <c r="EN50" s="59">
        <f t="shared" si="20"/>
        <v>652.76991675208558</v>
      </c>
      <c r="EO50" s="59">
        <f ca="1">AVERAGE(OFFSET($EN$3,0,0,'Données projet'!$E$15+1,1))-AVERAGE(OFFSET($H$3,0,0,'Données projet'!$E$15+1,1))</f>
        <v>338.59243085476896</v>
      </c>
      <c r="EP50" s="59">
        <f t="shared" si="46"/>
        <v>329.8393445823275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10.841753511764606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10.841753511764606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65.387014518989645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8.6</v>
      </c>
      <c r="FE50" s="12">
        <f>IF('Données projet'!$A$218&gt;35,FE49+FD50-FM49,IF(A50&lt;'Données projet'!$A$218,$FB$205^A50,IF(A50='Données projet'!$A$218,'Données projet'!$B$218,FE49+FD50-FM49)))</f>
        <v>235.20000000000005</v>
      </c>
      <c r="FF50" s="17">
        <f>FE50*VLOOKUP('Données projet'!$B$16,Paramètres!$A$1:$I$89,3,0)*VLOOKUP('Données projet'!$B$16,Paramètres!$A$1:$I$89,5,0)</f>
        <v>154.10304000000005</v>
      </c>
      <c r="FG50" s="13">
        <f t="shared" si="47"/>
        <v>39.509546668758176</v>
      </c>
      <c r="FH50" s="20">
        <f t="shared" si="22"/>
        <v>337.20858844808726</v>
      </c>
      <c r="FI50" s="59">
        <f t="shared" si="23"/>
        <v>613.62764168438264</v>
      </c>
      <c r="FJ50" s="59">
        <f ca="1">AVERAGE(OFFSET($FI$3,0,0,'Données projet'!$E$16+1,1))-AVERAGE(OFFSET($H$3,0,0,'Données projet'!$E$16+1,1))</f>
        <v>307.50573770128085</v>
      </c>
      <c r="FK50" s="59">
        <f t="shared" si="48"/>
        <v>300.2007312562655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9.6883754785981591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9.6883754785981591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65.387014518989645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8.6</v>
      </c>
      <c r="FZ50" s="12">
        <f>IF('Données projet'!$A$244&gt;35,FZ49+FY50-GH49,IF(A50&lt;'Données projet'!$A$244,$FW$205^A50,IF(A50='Données projet'!$A$244,'Données projet'!$B$244,FZ49+FY50-GH49)))</f>
        <v>235.20000000000005</v>
      </c>
      <c r="GA50" s="17">
        <f>FZ50*VLOOKUP('Données projet'!$B$17,Paramètres!$A$1:$I$89,3,0)*VLOOKUP('Données projet'!$B$17,Paramètres!$A$1:$I$89,5,0)</f>
        <v>190.79424000000006</v>
      </c>
      <c r="GB50" s="13">
        <f t="shared" si="49"/>
        <v>47.715505384501149</v>
      </c>
      <c r="GC50" s="20">
        <f t="shared" si="25"/>
        <v>415.40447321133956</v>
      </c>
      <c r="GD50" s="59">
        <f t="shared" si="26"/>
        <v>691.823526447635</v>
      </c>
      <c r="GE50" s="59">
        <f ca="1">AVERAGE(OFFSET($GD$3,0,0,'Données projet'!$E$17+1,1))-AVERAGE(OFFSET($H$3,0,0,'Données projet'!$E$17+1,1))</f>
        <v>369.60865427618342</v>
      </c>
      <c r="GF50" s="59">
        <f t="shared" si="50"/>
        <v>359.40898775279197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11.995131544931052</v>
      </c>
      <c r="GM50" s="21">
        <f>EXP(-LN(2)/25)*GM49+(1-EXP(-LN(2)/25))/(LN(2)/25)*Calculateur!GH50*Calculateur!GJ50*VLOOKUP('Données projet'!$B$17,Paramètres!$A$1:$I$89,3,0)*0.475*44/12</f>
        <v>0</v>
      </c>
      <c r="GN50" s="21">
        <f>EXP(-LN(2)/2)*GN49+(1-EXP(-LN(2)/2))/(LN(2)/2)*GH50*GK50*VLOOKUP('Données projet'!$B$17,Paramètres!$A$1:$I$89,3,0)*0.475*44/12</f>
        <v>0</v>
      </c>
      <c r="GO50" s="21">
        <f t="shared" si="27"/>
        <v>11.995131544931052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65.387014518989645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7.2</v>
      </c>
      <c r="GU50" s="12">
        <f>IF('Données projet'!$A$270&gt;35,GU49+GT50-HC49,IF(A50&lt;'Données projet'!$A$270,$GR$205^A50,IF(A50='Données projet'!$A$270,'Données projet'!$B$270,GU49+GT50-HC49)))</f>
        <v>197.39999999999992</v>
      </c>
      <c r="GV50" s="17">
        <f>GU50*VLOOKUP('Données projet'!$B$18,Paramètres!$A$1:$I$89,3,0)*VLOOKUP('Données projet'!$B$18,Paramètres!$A$1:$I$89,5,0)</f>
        <v>129.33647999999994</v>
      </c>
      <c r="GW50" s="13">
        <f t="shared" si="51"/>
        <v>33.84299371090448</v>
      </c>
      <c r="GX50" s="20">
        <f t="shared" si="28"/>
        <v>284.20425004649184</v>
      </c>
      <c r="GY50" s="59">
        <f t="shared" si="29"/>
        <v>560.62330328278722</v>
      </c>
      <c r="GZ50" s="59">
        <f ca="1">AVERAGE(OFFSET($GY$3,0,0,'Données projet'!$E$18+1,1))-AVERAGE(OFFSET($H$3,0,0,'Données projet'!$E$18+1,1))</f>
        <v>262.62914256200031</v>
      </c>
      <c r="HA50" s="59">
        <f t="shared" si="52"/>
        <v>256.45129229594409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projet'!$B$18,Paramètres!$A$1:$I$89,3,0)*0.475*44/12</f>
        <v>6.1148563642249876</v>
      </c>
      <c r="HH50" s="21">
        <f>EXP(-LN(2)/25)*HH49+(1-EXP(-LN(2)/25))/(LN(2)/25)*Calculateur!HC50*Calculateur!HE50*VLOOKUP('Données projet'!$B$18,Paramètres!$A$1:$I$89,3,0)*0.475*44/12</f>
        <v>0</v>
      </c>
      <c r="HI50" s="21">
        <f>EXP(-LN(2)/2)*HI49+(1-EXP(-LN(2)/2))/(LN(2)/2)*HC50*HF50*VLOOKUP('Données projet'!$B$18,Paramètres!$A$1:$I$89,3,0)*0.475*44/12</f>
        <v>0</v>
      </c>
      <c r="HJ50" s="22">
        <f t="shared" si="30"/>
        <v>6.1148563642249876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2.1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7.7</v>
      </c>
      <c r="H51" s="67">
        <f t="shared" si="1"/>
        <v>225.86666666666665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65.467039503994656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</v>
      </c>
      <c r="N51" s="13">
        <f>IF('Données projet'!$A$36&gt;35,N50+M51-V50,IF(A51&lt;'Données projet'!$A$36,$K$205^A51,IF(A51='Données projet'!$A$36,'Données projet'!$B$36,N50+M51-V50)))</f>
        <v>195.00000000000006</v>
      </c>
      <c r="O51" s="13">
        <f>N51*VLOOKUP('Données projet'!$B$9,Paramètres!$A$1:$I$89,3,0)*VLOOKUP('Données projet'!$B$9,Paramètres!$A$1:$I$89,5,0)</f>
        <v>167.31000000000006</v>
      </c>
      <c r="P51" s="13">
        <f t="shared" si="33"/>
        <v>42.486994942347515</v>
      </c>
      <c r="Q51" s="20">
        <f t="shared" si="53"/>
        <v>365.39643285792204</v>
      </c>
      <c r="R51" s="59">
        <f t="shared" si="0"/>
        <v>642.10891103923586</v>
      </c>
      <c r="S51" s="59">
        <f ca="1">AVERAGE(OFFSET($R$3,0,0,'Données projet'!$E$9+1,1))-AVERAGE(OFFSET($H$3,0,0,'Données projet'!$E$9+1,1))</f>
        <v>476.79071915271794</v>
      </c>
      <c r="T51" s="59">
        <f t="shared" si="34"/>
        <v>264.79929759351762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2.6527463386519359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2.6527463386519359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65.467039503994656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8.1999999999999993</v>
      </c>
      <c r="AI51" s="13">
        <f>IF('Données projet'!$A$62&gt;35,AI50+AH51-AQ50,IF(A51&lt;'Données projet'!$A$62,$AF$205^A51,IF(A51='Données projet'!$A$62,'Données projet'!$B$62,AI50+AH51-AQ50)))</f>
        <v>161.60000000000005</v>
      </c>
      <c r="AJ51" s="13">
        <f>AI51*VLOOKUP('Données projet'!$B$10,Paramètres!$A$1:$I$89,3,0)*VLOOKUP('Données projet'!$B$10,Paramètres!$A$1:$I$89,5,0)</f>
        <v>136.13184000000007</v>
      </c>
      <c r="AK51" s="13">
        <f t="shared" si="35"/>
        <v>35.40942452951419</v>
      </c>
      <c r="AL51" s="20">
        <f t="shared" si="4"/>
        <v>298.76770238890396</v>
      </c>
      <c r="AM51" s="59">
        <f t="shared" si="5"/>
        <v>575.48018057021773</v>
      </c>
      <c r="AN51" s="59">
        <f ca="1">AVERAGE(OFFSET($AM$3,0,0,'Données projet'!$E$10+1,1))-AVERAGE(OFFSET($H$3,0,0,'Données projet'!$E$10+1,1))</f>
        <v>365.104658862176</v>
      </c>
      <c r="AO51" s="59">
        <f t="shared" si="36"/>
        <v>226.29232910286325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3.0202338473354913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3.0202338473354913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65.467039503994656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8.1999999999999993</v>
      </c>
      <c r="BD51" s="12">
        <f>IF('Données projet'!$A$88&gt;35,BD50+BC51-BL50,IF(A51&lt;'Données projet'!$A$88,$BA$205^A51,IF(A51='Données projet'!$A$88,'Données projet'!$B$88,BD50+BC51-BL50)))</f>
        <v>161.60000000000005</v>
      </c>
      <c r="BE51" s="13">
        <f>BD51*VLOOKUP('Données projet'!$B$11,Paramètres!$A$1:$I$89,3,0)*VLOOKUP('Données projet'!$B$11,Paramètres!$A$1:$I$89,5,0)</f>
        <v>146.21568000000005</v>
      </c>
      <c r="BF51" s="13">
        <f t="shared" si="37"/>
        <v>37.717310552893402</v>
      </c>
      <c r="BG51" s="20">
        <f t="shared" si="7"/>
        <v>320.34995854628943</v>
      </c>
      <c r="BH51" s="59">
        <f t="shared" si="8"/>
        <v>597.0624367276032</v>
      </c>
      <c r="BI51" s="59">
        <f ca="1">AVERAGE(OFFSET($BH$3,0,0,'Données projet'!$E$11+1,1))-AVERAGE(OFFSET($H$3,0,0,'Données projet'!$E$11+1,1))</f>
        <v>388.12494342575195</v>
      </c>
      <c r="BJ51" s="59">
        <f t="shared" si="38"/>
        <v>239.39471445648454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3.2439548730640455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3.2439548730640455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65.467039503994656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8.1999999999999993</v>
      </c>
      <c r="BY51" s="12">
        <f>IF('Données projet'!$A$114&gt;35,BY50+BX51-CG50,IF(A51&lt;'Données projet'!$A$114,$BV$205^A51,IF(A51='Données projet'!$A$114,'Données projet'!$B$114,BY50+BX51-CG50)))</f>
        <v>161.60000000000005</v>
      </c>
      <c r="BZ51" s="13">
        <f>BY51*VLOOKUP('Données projet'!$B$12,Paramètres!$A$1:$I$89,3,0)*VLOOKUP('Données projet'!$B$12,Paramètres!$A$1:$I$89,5,0)</f>
        <v>163.86240000000006</v>
      </c>
      <c r="CA51" s="13">
        <f t="shared" si="39"/>
        <v>41.712477409029084</v>
      </c>
      <c r="CB51" s="20">
        <f t="shared" si="10"/>
        <v>358.04291148739236</v>
      </c>
      <c r="CC51" s="59">
        <f t="shared" si="11"/>
        <v>634.75538966870613</v>
      </c>
      <c r="CD51" s="59">
        <f ca="1">AVERAGE(OFFSET($CC$3,0,0,'Données projet'!$E$12+1,1))-AVERAGE(OFFSET($H$3,0,0,'Données projet'!$E$12+1,1))</f>
        <v>428.33148932885132</v>
      </c>
      <c r="CE51" s="59">
        <f t="shared" si="40"/>
        <v>262.27548054534373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3.6354666680890175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3.6354666680890175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65.467039503994656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5.6</v>
      </c>
      <c r="CT51" s="12">
        <f>IF('Données projet'!$A$140&gt;35,CT50+CS51-DB50,IF(A51&lt;'Données projet'!$A$140,$CQ$205^A51,IF(A51='Données projet'!$A$140,'Données projet'!$B$140,CT50+CS51-DB50)))</f>
        <v>109.79999999999997</v>
      </c>
      <c r="CU51" s="17">
        <f>CT51*VLOOKUP('Données projet'!$B$13,Paramètres!$A$1:$I$89,3,0)*VLOOKUP('Données projet'!$B$13,Paramètres!$A$1:$I$89,5,0)</f>
        <v>104.48567999999997</v>
      </c>
      <c r="CV51" s="13">
        <f t="shared" si="41"/>
        <v>28.027904556241349</v>
      </c>
      <c r="CW51" s="20">
        <f t="shared" si="13"/>
        <v>230.7944931021203</v>
      </c>
      <c r="CX51" s="59">
        <f t="shared" si="14"/>
        <v>507.50697128343404</v>
      </c>
      <c r="CY51" s="59">
        <f ca="1">AVERAGE(OFFSET($CX$3,0,0,'Données projet'!$E$13+1,1))-AVERAGE(OFFSET($H$3,0,0,'Données projet'!$E$13+1,1))</f>
        <v>307.62549820830162</v>
      </c>
      <c r="CZ51" s="59">
        <f t="shared" si="42"/>
        <v>160.26466014910304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2.2744970949069754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2.2744970949069754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65.467039503994656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7.2</v>
      </c>
      <c r="DO51" s="12">
        <f>IF('Données projet'!$A$166&gt;35,DO50+DN51-DW50,IF(A51&lt;'Données projet'!$A$166,$DL$205^A51,IF(A51='Données projet'!$A$166,'Données projet'!$B$166,DO50+DN51-DW50)))</f>
        <v>204.59999999999991</v>
      </c>
      <c r="DP51" s="17">
        <f>DO51*VLOOKUP('Données projet'!$B$14,Paramètres!$A$1:$I$89,3,0)*VLOOKUP('Données projet'!$B$14,Paramètres!$A$1:$I$89,5,0)</f>
        <v>162.77975999999995</v>
      </c>
      <c r="DQ51" s="13">
        <f t="shared" si="43"/>
        <v>41.468868129640057</v>
      </c>
      <c r="DR51" s="20">
        <f t="shared" si="16"/>
        <v>355.73302732578964</v>
      </c>
      <c r="DS51" s="59">
        <f t="shared" si="17"/>
        <v>632.44550550710346</v>
      </c>
      <c r="DT51" s="59">
        <f ca="1">AVERAGE(OFFSET($DS$3,0,0,'Données projet'!$E$14+1,1))-AVERAGE(OFFSET($H$3,0,0,'Données projet'!$E$14+1,1))</f>
        <v>309.14579005132464</v>
      </c>
      <c r="DU51" s="59">
        <f t="shared" si="44"/>
        <v>300.60311050289533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8.9725048709561381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8.9725048709561381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65.467039503994656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8.6</v>
      </c>
      <c r="EJ51" s="12">
        <f>IF('Données projet'!$A$192&gt;35,EJ50+EI51-ER50,IF(A51&lt;'Données projet'!$A$192,$EG$205^A51,IF(A51='Données projet'!$A$192,'Données projet'!$B$192,EJ50+EI51-ER50)))</f>
        <v>243.80000000000004</v>
      </c>
      <c r="EK51" s="17">
        <f>EJ51*VLOOKUP('Données projet'!$B$15,Paramètres!$A$1:$I$89,3,0)*VLOOKUP('Données projet'!$B$15,Paramètres!$A$1:$I$89,5,0)</f>
        <v>178.75416000000001</v>
      </c>
      <c r="EL51" s="13">
        <f t="shared" si="45"/>
        <v>45.044897778507469</v>
      </c>
      <c r="EM51" s="20">
        <f t="shared" si="19"/>
        <v>389.78335896423386</v>
      </c>
      <c r="EN51" s="59">
        <f t="shared" si="20"/>
        <v>666.49583714554763</v>
      </c>
      <c r="EO51" s="59">
        <f ca="1">AVERAGE(OFFSET($EN$3,0,0,'Données projet'!$E$15+1,1))-AVERAGE(OFFSET($H$3,0,0,'Données projet'!$E$15+1,1))</f>
        <v>338.59243085476896</v>
      </c>
      <c r="EP51" s="59">
        <f t="shared" si="46"/>
        <v>329.8393445823275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10.629153338215584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10.629153338215584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65.467039503994656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8.6</v>
      </c>
      <c r="FE51" s="12">
        <f>IF('Données projet'!$A$218&gt;35,FE50+FD51-FM50,IF(A51&lt;'Données projet'!$A$218,$FB$205^A51,IF(A51='Données projet'!$A$218,'Données projet'!$B$218,FE50+FD51-FM50)))</f>
        <v>243.80000000000004</v>
      </c>
      <c r="FF51" s="17">
        <f>FE51*VLOOKUP('Données projet'!$B$16,Paramètres!$A$1:$I$89,3,0)*VLOOKUP('Données projet'!$B$16,Paramètres!$A$1:$I$89,5,0)</f>
        <v>159.73776000000004</v>
      </c>
      <c r="FG51" s="13">
        <f t="shared" si="47"/>
        <v>40.783360797044367</v>
      </c>
      <c r="FH51" s="20">
        <f t="shared" si="22"/>
        <v>349.24095205485236</v>
      </c>
      <c r="FI51" s="59">
        <f t="shared" si="23"/>
        <v>625.95343023616613</v>
      </c>
      <c r="FJ51" s="59">
        <f ca="1">AVERAGE(OFFSET($FI$3,0,0,'Données projet'!$E$16+1,1))-AVERAGE(OFFSET($H$3,0,0,'Données projet'!$E$16+1,1))</f>
        <v>307.50573770128085</v>
      </c>
      <c r="FK51" s="59">
        <f t="shared" si="48"/>
        <v>300.2007312562655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9.4983923447883942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9.4983923447883942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65.467039503994656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8.6</v>
      </c>
      <c r="FZ51" s="12">
        <f>IF('Données projet'!$A$244&gt;35,FZ50+FY51-GH50,IF(A51&lt;'Données projet'!$A$244,$FW$205^A51,IF(A51='Données projet'!$A$244,'Données projet'!$B$244,FZ50+FY51-GH50)))</f>
        <v>243.80000000000004</v>
      </c>
      <c r="GA51" s="17">
        <f>FZ51*VLOOKUP('Données projet'!$B$17,Paramètres!$A$1:$I$89,3,0)*VLOOKUP('Données projet'!$B$17,Paramètres!$A$1:$I$89,5,0)</f>
        <v>197.77056000000005</v>
      </c>
      <c r="GB51" s="13">
        <f t="shared" si="49"/>
        <v>49.253885093250254</v>
      </c>
      <c r="GC51" s="20">
        <f t="shared" si="25"/>
        <v>430.23424187074426</v>
      </c>
      <c r="GD51" s="59">
        <f t="shared" si="26"/>
        <v>706.94672005205803</v>
      </c>
      <c r="GE51" s="59">
        <f ca="1">AVERAGE(OFFSET($GD$3,0,0,'Données projet'!$E$17+1,1))-AVERAGE(OFFSET($H$3,0,0,'Données projet'!$E$17+1,1))</f>
        <v>369.60865427618342</v>
      </c>
      <c r="GF51" s="59">
        <f t="shared" si="50"/>
        <v>359.40898775279197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11.75991433164277</v>
      </c>
      <c r="GM51" s="21">
        <f>EXP(-LN(2)/25)*GM50+(1-EXP(-LN(2)/25))/(LN(2)/25)*Calculateur!GH51*Calculateur!GJ51*VLOOKUP('Données projet'!$B$17,Paramètres!$A$1:$I$89,3,0)*0.475*44/12</f>
        <v>0</v>
      </c>
      <c r="GN51" s="21">
        <f>EXP(-LN(2)/2)*GN50+(1-EXP(-LN(2)/2))/(LN(2)/2)*GH51*GK51*VLOOKUP('Données projet'!$B$17,Paramètres!$A$1:$I$89,3,0)*0.475*44/12</f>
        <v>0</v>
      </c>
      <c r="GO51" s="21">
        <f t="shared" si="27"/>
        <v>11.75991433164277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65.467039503994656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7.2</v>
      </c>
      <c r="GU51" s="12">
        <f>IF('Données projet'!$A$270&gt;35,GU50+GT51-HC50,IF(A51&lt;'Données projet'!$A$270,$GR$205^A51,IF(A51='Données projet'!$A$270,'Données projet'!$B$270,GU50+GT51-HC50)))</f>
        <v>204.59999999999991</v>
      </c>
      <c r="GV51" s="17">
        <f>GU51*VLOOKUP('Données projet'!$B$18,Paramètres!$A$1:$I$89,3,0)*VLOOKUP('Données projet'!$B$18,Paramètres!$A$1:$I$89,5,0)</f>
        <v>134.05391999999995</v>
      </c>
      <c r="GW51" s="13">
        <f t="shared" si="51"/>
        <v>34.931420526916924</v>
      </c>
      <c r="GX51" s="20">
        <f t="shared" si="28"/>
        <v>294.31613475104683</v>
      </c>
      <c r="GY51" s="59">
        <f t="shared" si="29"/>
        <v>571.0286129323606</v>
      </c>
      <c r="GZ51" s="59">
        <f ca="1">AVERAGE(OFFSET($GY$3,0,0,'Données projet'!$E$18+1,1))-AVERAGE(OFFSET($H$3,0,0,'Données projet'!$E$18+1,1))</f>
        <v>262.62914256200031</v>
      </c>
      <c r="HA51" s="59">
        <f t="shared" si="52"/>
        <v>256.45129229594409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projet'!$B$18,Paramètres!$A$1:$I$89,3,0)*0.475*44/12</f>
        <v>5.9949477606166415</v>
      </c>
      <c r="HH51" s="21">
        <f>EXP(-LN(2)/25)*HH50+(1-EXP(-LN(2)/25))/(LN(2)/25)*Calculateur!HC51*Calculateur!HE51*VLOOKUP('Données projet'!$B$18,Paramètres!$A$1:$I$89,3,0)*0.475*44/12</f>
        <v>0</v>
      </c>
      <c r="HI51" s="21">
        <f>EXP(-LN(2)/2)*HI50+(1-EXP(-LN(2)/2))/(LN(2)/2)*HC51*HF51*VLOOKUP('Données projet'!$B$18,Paramètres!$A$1:$I$89,3,0)*0.475*44/12</f>
        <v>0</v>
      </c>
      <c r="HJ51" s="22">
        <f t="shared" si="30"/>
        <v>5.9949477606166415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2.1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7.7</v>
      </c>
      <c r="H52" s="67">
        <f t="shared" si="1"/>
        <v>225.86666666666665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65.545676234418892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</v>
      </c>
      <c r="N52" s="13">
        <f>IF('Données projet'!$A$36&gt;35,N51+M52-V51,IF(A52&lt;'Données projet'!$A$36,$K$205^A52,IF(A52='Données projet'!$A$36,'Données projet'!$B$36,N51+M52-V51)))</f>
        <v>206.00000000000006</v>
      </c>
      <c r="O52" s="13">
        <f>N52*VLOOKUP('Données projet'!$B$9,Paramètres!$A$1:$I$89,3,0)*VLOOKUP('Données projet'!$B$9,Paramètres!$A$1:$I$89,5,0)</f>
        <v>176.74800000000008</v>
      </c>
      <c r="P52" s="13">
        <f t="shared" si="33"/>
        <v>44.597910160550732</v>
      </c>
      <c r="Q52" s="20">
        <f t="shared" si="53"/>
        <v>385.51079352962597</v>
      </c>
      <c r="R52" s="59">
        <f t="shared" si="0"/>
        <v>662.5116063891619</v>
      </c>
      <c r="S52" s="59">
        <f ca="1">AVERAGE(OFFSET($R$3,0,0,'Données projet'!$E$9+1,1))-AVERAGE(OFFSET($H$3,0,0,'Données projet'!$E$9+1,1))</f>
        <v>476.79071915271794</v>
      </c>
      <c r="T52" s="59">
        <f t="shared" si="34"/>
        <v>264.79929759351762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2.6007276009664722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2.6007276009664722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65.545676234418892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8.1999999999999993</v>
      </c>
      <c r="AI52" s="13">
        <f>IF('Données projet'!$A$62&gt;35,AI51+AH52-AQ51,IF(A52&lt;'Données projet'!$A$62,$AF$205^A52,IF(A52='Données projet'!$A$62,'Données projet'!$B$62,AI51+AH52-AQ51)))</f>
        <v>169.80000000000004</v>
      </c>
      <c r="AJ52" s="13">
        <f>AI52*VLOOKUP('Données projet'!$B$10,Paramètres!$A$1:$I$89,3,0)*VLOOKUP('Données projet'!$B$10,Paramètres!$A$1:$I$89,5,0)</f>
        <v>143.03952000000004</v>
      </c>
      <c r="AK52" s="13">
        <f t="shared" si="35"/>
        <v>36.992444033168439</v>
      </c>
      <c r="AL52" s="20">
        <f t="shared" si="4"/>
        <v>313.5556706911018</v>
      </c>
      <c r="AM52" s="59">
        <f t="shared" si="5"/>
        <v>590.55648355063772</v>
      </c>
      <c r="AN52" s="59">
        <f ca="1">AVERAGE(OFFSET($AM$3,0,0,'Données projet'!$E$10+1,1))-AVERAGE(OFFSET($H$3,0,0,'Données projet'!$E$10+1,1))</f>
        <v>365.104658862176</v>
      </c>
      <c r="AO52" s="59">
        <f t="shared" si="36"/>
        <v>226.29232910286325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2.9610089037499909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2.9610089037499909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65.545676234418892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8.1999999999999993</v>
      </c>
      <c r="BD52" s="12">
        <f>IF('Données projet'!$A$88&gt;35,BD51+BC52-BL51,IF(A52&lt;'Données projet'!$A$88,$BA$205^A52,IF(A52='Données projet'!$A$88,'Données projet'!$B$88,BD51+BC52-BL51)))</f>
        <v>169.80000000000004</v>
      </c>
      <c r="BE52" s="13">
        <f>BD52*VLOOKUP('Données projet'!$B$11,Paramètres!$A$1:$I$89,3,0)*VLOOKUP('Données projet'!$B$11,Paramètres!$A$1:$I$89,5,0)</f>
        <v>153.63504000000003</v>
      </c>
      <c r="BF52" s="13">
        <f t="shared" si="37"/>
        <v>39.403506785222667</v>
      </c>
      <c r="BG52" s="20">
        <f t="shared" si="7"/>
        <v>336.20880231759622</v>
      </c>
      <c r="BH52" s="59">
        <f t="shared" si="8"/>
        <v>613.20961517713215</v>
      </c>
      <c r="BI52" s="59">
        <f ca="1">AVERAGE(OFFSET($BH$3,0,0,'Données projet'!$E$11+1,1))-AVERAGE(OFFSET($H$3,0,0,'Données projet'!$E$11+1,1))</f>
        <v>388.12494342575195</v>
      </c>
      <c r="BJ52" s="59">
        <f t="shared" si="38"/>
        <v>239.39471445648454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3.1803428966203597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3.1803428966203597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65.545676234418892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8.1999999999999993</v>
      </c>
      <c r="BY52" s="12">
        <f>IF('Données projet'!$A$114&gt;35,BY51+BX52-CG51,IF(A52&lt;'Données projet'!$A$114,$BV$205^A52,IF(A52='Données projet'!$A$114,'Données projet'!$B$114,BY51+BX52-CG51)))</f>
        <v>169.80000000000004</v>
      </c>
      <c r="BZ52" s="13">
        <f>BY52*VLOOKUP('Données projet'!$B$12,Paramètres!$A$1:$I$89,3,0)*VLOOKUP('Données projet'!$B$12,Paramètres!$A$1:$I$89,5,0)</f>
        <v>172.17720000000006</v>
      </c>
      <c r="CA52" s="13">
        <f t="shared" si="39"/>
        <v>43.577282221917017</v>
      </c>
      <c r="CB52" s="20">
        <f t="shared" si="10"/>
        <v>375.77238986983889</v>
      </c>
      <c r="CC52" s="59">
        <f t="shared" si="11"/>
        <v>652.77320272937482</v>
      </c>
      <c r="CD52" s="59">
        <f ca="1">AVERAGE(OFFSET($CC$3,0,0,'Données projet'!$E$12+1,1))-AVERAGE(OFFSET($H$3,0,0,'Données projet'!$E$12+1,1))</f>
        <v>428.33148932885132</v>
      </c>
      <c r="CE52" s="59">
        <f t="shared" si="40"/>
        <v>262.27548054534373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3.5641773841435076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3.5641773841435076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65.545676234418892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5.6</v>
      </c>
      <c r="CT52" s="12">
        <f>IF('Données projet'!$A$140&gt;35,CT51+CS52-DB51,IF(A52&lt;'Données projet'!$A$140,$CQ$205^A52,IF(A52='Données projet'!$A$140,'Données projet'!$B$140,CT51+CS52-DB51)))</f>
        <v>115.39999999999996</v>
      </c>
      <c r="CU52" s="17">
        <f>CT52*VLOOKUP('Données projet'!$B$13,Paramètres!$A$1:$I$89,3,0)*VLOOKUP('Données projet'!$B$13,Paramètres!$A$1:$I$89,5,0)</f>
        <v>109.81463999999997</v>
      </c>
      <c r="CV52" s="13">
        <f t="shared" si="41"/>
        <v>29.287308025077461</v>
      </c>
      <c r="CW52" s="20">
        <f t="shared" si="13"/>
        <v>242.26922614367652</v>
      </c>
      <c r="CX52" s="59">
        <f t="shared" si="14"/>
        <v>519.27003900321245</v>
      </c>
      <c r="CY52" s="59">
        <f ca="1">AVERAGE(OFFSET($CX$3,0,0,'Données projet'!$E$13+1,1))-AVERAGE(OFFSET($H$3,0,0,'Données projet'!$E$13+1,1))</f>
        <v>307.62549820830162</v>
      </c>
      <c r="CZ52" s="59">
        <f t="shared" si="42"/>
        <v>160.26466014910304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2.2298955941820924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2.2298955941820924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65.545676234418892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7.2</v>
      </c>
      <c r="DO52" s="12">
        <f>IF('Données projet'!$A$166&gt;35,DO51+DN52-DW51,IF(A52&lt;'Données projet'!$A$166,$DL$205^A52,IF(A52='Données projet'!$A$166,'Données projet'!$B$166,DO51+DN52-DW51)))</f>
        <v>211.7999999999999</v>
      </c>
      <c r="DP52" s="17">
        <f>DO52*VLOOKUP('Données projet'!$B$14,Paramètres!$A$1:$I$89,3,0)*VLOOKUP('Données projet'!$B$14,Paramètres!$A$1:$I$89,5,0)</f>
        <v>168.50807999999992</v>
      </c>
      <c r="DQ52" s="13">
        <f t="shared" si="43"/>
        <v>42.755711908378117</v>
      </c>
      <c r="DR52" s="20">
        <f t="shared" si="16"/>
        <v>367.95110424042508</v>
      </c>
      <c r="DS52" s="59">
        <f t="shared" si="17"/>
        <v>644.95191709996107</v>
      </c>
      <c r="DT52" s="59">
        <f ca="1">AVERAGE(OFFSET($DS$3,0,0,'Données projet'!$E$14+1,1))-AVERAGE(OFFSET($H$3,0,0,'Données projet'!$E$14+1,1))</f>
        <v>309.14579005132464</v>
      </c>
      <c r="DU52" s="59">
        <f t="shared" si="44"/>
        <v>300.60311050289533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8.7965595231242766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8.7965595231242766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65.545676234418892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8.6</v>
      </c>
      <c r="EJ52" s="12">
        <f>IF('Données projet'!$A$192&gt;35,EJ51+EI52-ER51,IF(A52&lt;'Données projet'!$A$192,$EG$205^A52,IF(A52='Données projet'!$A$192,'Données projet'!$B$192,EJ51+EI52-ER51)))</f>
        <v>252.40000000000003</v>
      </c>
      <c r="EK52" s="17">
        <f>EJ52*VLOOKUP('Données projet'!$B$15,Paramètres!$A$1:$I$89,3,0)*VLOOKUP('Données projet'!$B$15,Paramètres!$A$1:$I$89,5,0)</f>
        <v>185.05968000000004</v>
      </c>
      <c r="EL52" s="13">
        <f t="shared" si="45"/>
        <v>46.44604914943055</v>
      </c>
      <c r="EM52" s="20">
        <f t="shared" si="19"/>
        <v>403.20581160192484</v>
      </c>
      <c r="EN52" s="59">
        <f t="shared" si="20"/>
        <v>680.20662446146071</v>
      </c>
      <c r="EO52" s="59">
        <f ca="1">AVERAGE(OFFSET($EN$3,0,0,'Données projet'!$E$15+1,1))-AVERAGE(OFFSET($H$3,0,0,'Données projet'!$E$15+1,1))</f>
        <v>338.59243085476896</v>
      </c>
      <c r="EP52" s="59">
        <f t="shared" si="46"/>
        <v>329.8393445823275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10.420722124396555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10.420722124396555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65.545676234418892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8.6</v>
      </c>
      <c r="FE52" s="12">
        <f>IF('Données projet'!$A$218&gt;35,FE51+FD52-FM51,IF(A52&lt;'Données projet'!$A$218,$FB$205^A52,IF(A52='Données projet'!$A$218,'Données projet'!$B$218,FE51+FD52-FM51)))</f>
        <v>252.40000000000003</v>
      </c>
      <c r="FF52" s="17">
        <f>FE52*VLOOKUP('Données projet'!$B$16,Paramètres!$A$1:$I$89,3,0)*VLOOKUP('Données projet'!$B$16,Paramètres!$A$1:$I$89,5,0)</f>
        <v>165.37248000000002</v>
      </c>
      <c r="FG52" s="13">
        <f t="shared" si="47"/>
        <v>42.051954238472845</v>
      </c>
      <c r="FH52" s="20">
        <f t="shared" si="22"/>
        <v>361.26422296534025</v>
      </c>
      <c r="FI52" s="59">
        <f t="shared" si="23"/>
        <v>638.26503582487612</v>
      </c>
      <c r="FJ52" s="59">
        <f ca="1">AVERAGE(OFFSET($FI$3,0,0,'Données projet'!$E$16+1,1))-AVERAGE(OFFSET($H$3,0,0,'Données projet'!$E$16+1,1))</f>
        <v>307.50573770128085</v>
      </c>
      <c r="FK52" s="59">
        <f t="shared" si="48"/>
        <v>300.2007312562655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9.3121346643543692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9.3121346643543692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65.545676234418892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8.6</v>
      </c>
      <c r="FZ52" s="12">
        <f>IF('Données projet'!$A$244&gt;35,FZ51+FY52-GH51,IF(A52&lt;'Données projet'!$A$244,$FW$205^A52,IF(A52='Données projet'!$A$244,'Données projet'!$B$244,FZ51+FY52-GH51)))</f>
        <v>252.40000000000003</v>
      </c>
      <c r="GA52" s="17">
        <f>FZ52*VLOOKUP('Données projet'!$B$17,Paramètres!$A$1:$I$89,3,0)*VLOOKUP('Données projet'!$B$17,Paramètres!$A$1:$I$89,5,0)</f>
        <v>204.74688000000003</v>
      </c>
      <c r="GB52" s="13">
        <f t="shared" si="49"/>
        <v>50.785959801489987</v>
      </c>
      <c r="GC52" s="20">
        <f t="shared" si="25"/>
        <v>445.05302932092837</v>
      </c>
      <c r="GD52" s="59">
        <f t="shared" si="26"/>
        <v>722.05384218046424</v>
      </c>
      <c r="GE52" s="59">
        <f ca="1">AVERAGE(OFFSET($GD$3,0,0,'Données projet'!$E$17+1,1))-AVERAGE(OFFSET($H$3,0,0,'Données projet'!$E$17+1,1))</f>
        <v>369.60865427618342</v>
      </c>
      <c r="GF52" s="59">
        <f t="shared" si="50"/>
        <v>359.40898775279197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11.529309584438739</v>
      </c>
      <c r="GM52" s="21">
        <f>EXP(-LN(2)/25)*GM51+(1-EXP(-LN(2)/25))/(LN(2)/25)*Calculateur!GH52*Calculateur!GJ52*VLOOKUP('Données projet'!$B$17,Paramètres!$A$1:$I$89,3,0)*0.475*44/12</f>
        <v>0</v>
      </c>
      <c r="GN52" s="21">
        <f>EXP(-LN(2)/2)*GN51+(1-EXP(-LN(2)/2))/(LN(2)/2)*GH52*GK52*VLOOKUP('Données projet'!$B$17,Paramètres!$A$1:$I$89,3,0)*0.475*44/12</f>
        <v>0</v>
      </c>
      <c r="GO52" s="21">
        <f t="shared" si="27"/>
        <v>11.529309584438739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65.545676234418892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7.2</v>
      </c>
      <c r="GU52" s="12">
        <f>IF('Données projet'!$A$270&gt;35,GU51+GT52-HC51,IF(A52&lt;'Données projet'!$A$270,$GR$205^A52,IF(A52='Données projet'!$A$270,'Données projet'!$B$270,GU51+GT52-HC51)))</f>
        <v>211.7999999999999</v>
      </c>
      <c r="GV52" s="17">
        <f>GU52*VLOOKUP('Données projet'!$B$18,Paramètres!$A$1:$I$89,3,0)*VLOOKUP('Données projet'!$B$18,Paramètres!$A$1:$I$89,5,0)</f>
        <v>138.77135999999993</v>
      </c>
      <c r="GW52" s="13">
        <f t="shared" si="51"/>
        <v>36.015397090902717</v>
      </c>
      <c r="GX52" s="20">
        <f t="shared" si="28"/>
        <v>304.42026859998879</v>
      </c>
      <c r="GY52" s="59">
        <f t="shared" si="29"/>
        <v>581.42108145952466</v>
      </c>
      <c r="GZ52" s="59">
        <f ca="1">AVERAGE(OFFSET($GY$3,0,0,'Données projet'!$E$18+1,1))-AVERAGE(OFFSET($H$3,0,0,'Données projet'!$E$18+1,1))</f>
        <v>262.62914256200031</v>
      </c>
      <c r="HA52" s="59">
        <f t="shared" si="52"/>
        <v>256.45129229594409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>
        <f>EXP(-LN(2)/35)*HG51+(1-EXP(-LN(2)/35))/(LN(2)/35)*HC52*HD52*VLOOKUP('Données projet'!$B$18,Paramètres!$A$1:$I$89,3,0)*0.475*44/12</f>
        <v>5.8773904915880282</v>
      </c>
      <c r="HH52" s="21">
        <f>EXP(-LN(2)/25)*HH51+(1-EXP(-LN(2)/25))/(LN(2)/25)*Calculateur!HC52*Calculateur!HE52*VLOOKUP('Données projet'!$B$18,Paramètres!$A$1:$I$89,3,0)*0.475*44/12</f>
        <v>0</v>
      </c>
      <c r="HI52" s="21">
        <f>EXP(-LN(2)/2)*HI51+(1-EXP(-LN(2)/2))/(LN(2)/2)*HC52*HF52*VLOOKUP('Données projet'!$B$18,Paramètres!$A$1:$I$89,3,0)*0.475*44/12</f>
        <v>0</v>
      </c>
      <c r="HJ52" s="22">
        <f t="shared" si="30"/>
        <v>5.8773904915880282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2.1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7.7</v>
      </c>
      <c r="H53" s="67">
        <f t="shared" si="1"/>
        <v>225.86666666666665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65.622948793375656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217</v>
      </c>
      <c r="L53" s="12">
        <f>VLOOKUP(A53,'Données projet'!$A$35:$I$55,9,0)</f>
        <v>11</v>
      </c>
      <c r="M53" s="12">
        <f t="array" ref="M53">INDEX(L:L,MIN(IF(ISNUMBER(L53:L249),ROW(L53:L249),"")))</f>
        <v>11</v>
      </c>
      <c r="N53" s="13">
        <f>IF('Données projet'!$A$36&gt;35,N52+M53-V52,IF(A53&lt;'Données projet'!$A$36,$K$205^A53,IF(A53='Données projet'!$A$36,'Données projet'!$B$36,N52+M53-V52)))</f>
        <v>217.00000000000006</v>
      </c>
      <c r="O53" s="13">
        <f>N53*VLOOKUP('Données projet'!$B$9,Paramètres!$A$1:$I$89,3,0)*VLOOKUP('Données projet'!$B$9,Paramètres!$A$1:$I$89,5,0)</f>
        <v>186.18600000000006</v>
      </c>
      <c r="P53" s="13">
        <f t="shared" si="33"/>
        <v>46.69573903947046</v>
      </c>
      <c r="Q53" s="20">
        <f t="shared" si="53"/>
        <v>405.60236216041108</v>
      </c>
      <c r="R53" s="59">
        <f t="shared" si="0"/>
        <v>682.88650773612176</v>
      </c>
      <c r="S53" s="59">
        <f ca="1">AVERAGE(OFFSET($R$3,0,0,'Données projet'!$E$9+1,1))-AVERAGE(OFFSET($H$3,0,0,'Données projet'!$E$9+1,1))</f>
        <v>476.79071915271794</v>
      </c>
      <c r="T53" s="59">
        <f t="shared" si="34"/>
        <v>264.79929759351762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28</v>
      </c>
      <c r="W53" s="16">
        <f>IF(ISNA(VLOOKUP(A53,'Données projet'!$A$35:$I$55,5,0)),0%,VLOOKUP(A53,'Données projet'!$A$35:$I$55,5,0)*VLOOKUP('Données projet'!$B$9,Paramètres!$A$1:$I$89,7,0))</f>
        <v>0.10600000000000001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5.3648578811760803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5.3648578811760803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65.622948793375656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178</v>
      </c>
      <c r="AG53" s="12">
        <f>VLOOKUP(A53,'Données projet'!$A$61:$I$81,9,0)</f>
        <v>8.1999999999999993</v>
      </c>
      <c r="AH53" s="12">
        <f t="array" ref="AH53">INDEX(AG:AG,MIN(IF(ISNUMBER(AG53:AG249),ROW(AG53:AG249),"")))</f>
        <v>8.1999999999999993</v>
      </c>
      <c r="AI53" s="13">
        <f>IF('Données projet'!$A$62&gt;35,AI52+AH53-AQ52,IF(A53&lt;'Données projet'!$A$62,$AF$205^A53,IF(A53='Données projet'!$A$62,'Données projet'!$B$62,AI52+AH53-AQ52)))</f>
        <v>178.00000000000003</v>
      </c>
      <c r="AJ53" s="13">
        <f>AI53*VLOOKUP('Données projet'!$B$10,Paramètres!$A$1:$I$89,3,0)*VLOOKUP('Données projet'!$B$10,Paramètres!$A$1:$I$89,5,0)</f>
        <v>149.94720000000004</v>
      </c>
      <c r="AK53" s="13">
        <f t="shared" si="35"/>
        <v>38.566586385539779</v>
      </c>
      <c r="AL53" s="20">
        <f t="shared" si="4"/>
        <v>328.32817795481515</v>
      </c>
      <c r="AM53" s="59">
        <f t="shared" si="5"/>
        <v>605.61232353052583</v>
      </c>
      <c r="AN53" s="59">
        <f ca="1">AVERAGE(OFFSET($AM$3,0,0,'Données projet'!$E$10+1,1))-AVERAGE(OFFSET($H$3,0,0,'Données projet'!$E$10+1,1))</f>
        <v>365.104658862176</v>
      </c>
      <c r="AO53" s="59">
        <f t="shared" si="36"/>
        <v>226.29232910286325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21</v>
      </c>
      <c r="AR53" s="16">
        <f>IF(ISNA(VLOOKUP(A53,'Données projet'!$A$61:$I$81,5,0)),0%,VLOOKUP(A53,'Données projet'!$A$61:$I$81,5,0)*VLOOKUP('Données projet'!$B$10,Paramètres!$A$1:$I$89,7,0))</f>
        <v>0.129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5.4256968282541251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5.4256968282541251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65.622948793375656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178</v>
      </c>
      <c r="BB53" s="12">
        <f>VLOOKUP(A53,'Données projet'!$A$87:$I$107,9,0)</f>
        <v>8.1999999999999993</v>
      </c>
      <c r="BC53" s="12">
        <f t="array" ref="BC53">INDEX(BB:BB,MIN(IF(ISNUMBER(BB53:BB249),ROW(BB53:BB249),"")))</f>
        <v>8.1999999999999993</v>
      </c>
      <c r="BD53" s="12">
        <f>IF('Données projet'!$A$88&gt;35,BD52+BC53-BL52,IF(A53&lt;'Données projet'!$A$88,$BA$205^A53,IF(A53='Données projet'!$A$88,'Données projet'!$B$88,BD52+BC53-BL52)))</f>
        <v>178.00000000000003</v>
      </c>
      <c r="BE53" s="13">
        <f>BD53*VLOOKUP('Données projet'!$B$11,Paramètres!$A$1:$I$89,3,0)*VLOOKUP('Données projet'!$B$11,Paramètres!$A$1:$I$89,5,0)</f>
        <v>161.05440000000002</v>
      </c>
      <c r="BF53" s="13">
        <f t="shared" si="37"/>
        <v>41.080247278685491</v>
      </c>
      <c r="BG53" s="20">
        <f t="shared" si="7"/>
        <v>352.05117734371061</v>
      </c>
      <c r="BH53" s="59">
        <f t="shared" si="8"/>
        <v>629.33532291942129</v>
      </c>
      <c r="BI53" s="59">
        <f ca="1">AVERAGE(OFFSET($BH$3,0,0,'Données projet'!$E$11+1,1))-AVERAGE(OFFSET($H$3,0,0,'Données projet'!$E$11+1,1))</f>
        <v>388.12494342575195</v>
      </c>
      <c r="BJ53" s="59">
        <f t="shared" si="38"/>
        <v>239.39471445648454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21</v>
      </c>
      <c r="BM53" s="16">
        <f>IF(ISNA(VLOOKUP(A53,'Données projet'!$A$87:$I$107,5,0)),0%,VLOOKUP(A53,'Données projet'!$A$87:$I$107,5,0)*VLOOKUP('Données projet'!$B$11,Paramètres!$A$1:$I$89,7,0))</f>
        <v>0.129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5.8276002970136886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5.8276002970136886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65.622948793375656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178</v>
      </c>
      <c r="BW53" s="12">
        <f>VLOOKUP(A53,'Données projet'!$A$113:$I$133,9,0)</f>
        <v>8.1999999999999993</v>
      </c>
      <c r="BX53" s="12">
        <f t="array" ref="BX53">INDEX(BW:BW,MIN(IF(ISNUMBER(BW53:BW249),ROW(BW53:BW249),"")))</f>
        <v>8.1999999999999993</v>
      </c>
      <c r="BY53" s="12">
        <f>IF('Données projet'!$A$114&gt;35,BY52+BX53-CG52,IF(A53&lt;'Données projet'!$A$114,$BV$205^A53,IF(A53='Données projet'!$A$114,'Données projet'!$B$114,BY52+BX53-CG52)))</f>
        <v>178.00000000000003</v>
      </c>
      <c r="BZ53" s="13">
        <f>BY53*VLOOKUP('Données projet'!$B$12,Paramètres!$A$1:$I$89,3,0)*VLOOKUP('Données projet'!$B$12,Paramètres!$A$1:$I$89,5,0)</f>
        <v>180.49200000000002</v>
      </c>
      <c r="CA53" s="13">
        <f t="shared" si="39"/>
        <v>45.431629706642653</v>
      </c>
      <c r="CB53" s="20">
        <f t="shared" si="10"/>
        <v>393.4836550724026</v>
      </c>
      <c r="CC53" s="59">
        <f t="shared" si="11"/>
        <v>670.76780064811328</v>
      </c>
      <c r="CD53" s="59">
        <f ca="1">AVERAGE(OFFSET($CC$3,0,0,'Données projet'!$E$12+1,1))-AVERAGE(OFFSET($H$3,0,0,'Données projet'!$E$12+1,1))</f>
        <v>428.33148932885132</v>
      </c>
      <c r="CE53" s="59">
        <f t="shared" si="40"/>
        <v>262.27548054534373</v>
      </c>
      <c r="CF53" s="15">
        <f>IF(ISNA(VLOOKUP(A53,'Données projet'!$A$113:$I$133,3,0)),0,VLOOKUP(A53,'Données projet'!$A$113:$I$133,3,0))</f>
        <v>7</v>
      </c>
      <c r="CG53" s="15">
        <f>IF(ISNA(VLOOKUP(A53,'Données projet'!$A$113:$I$133,4,0)),0,VLOOKUP(A53,'Données projet'!$A$113:$I$133,4,0))</f>
        <v>21</v>
      </c>
      <c r="CH53" s="16">
        <f>IF(ISNA(VLOOKUP(A53,'Données projet'!$A$113:$I$133,5,0)),0%,VLOOKUP(A53,'Données projet'!$A$113:$I$133,5,0)*VLOOKUP('Données projet'!$B$12,Paramètres!$A$1:$I$89,7,0))</f>
        <v>0.129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6.5309313673429283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6.5309313673429283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65.622948793375656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121</v>
      </c>
      <c r="CR53" s="12">
        <f>VLOOKUP(A53,'Données projet'!$A$139:$I$159,9,0)</f>
        <v>5.6</v>
      </c>
      <c r="CS53" s="12">
        <f t="array" ref="CS53">INDEX(CR:CR,MIN(IF(ISNUMBER(CR53:CR249),ROW(CR53:CR249),"")))</f>
        <v>5.6</v>
      </c>
      <c r="CT53" s="12">
        <f>IF('Données projet'!$A$140&gt;35,CT52+CS53-DB52,IF(A53&lt;'Données projet'!$A$140,$CQ$205^A53,IF(A53='Données projet'!$A$140,'Données projet'!$B$140,CT52+CS53-DB52)))</f>
        <v>120.99999999999996</v>
      </c>
      <c r="CU53" s="17">
        <f>CT53*VLOOKUP('Données projet'!$B$13,Paramètres!$A$1:$I$89,3,0)*VLOOKUP('Données projet'!$B$13,Paramètres!$A$1:$I$89,5,0)</f>
        <v>115.14359999999996</v>
      </c>
      <c r="CV53" s="13">
        <f t="shared" si="41"/>
        <v>30.539614832250223</v>
      </c>
      <c r="CW53" s="20">
        <f t="shared" si="13"/>
        <v>253.7315991661691</v>
      </c>
      <c r="CX53" s="59">
        <f t="shared" si="14"/>
        <v>531.01574474187987</v>
      </c>
      <c r="CY53" s="59">
        <f ca="1">AVERAGE(OFFSET($CX$3,0,0,'Données projet'!$E$13+1,1))-AVERAGE(OFFSET($H$3,0,0,'Données projet'!$E$13+1,1))</f>
        <v>307.62549820830162</v>
      </c>
      <c r="CZ53" s="59">
        <f t="shared" si="42"/>
        <v>160.26466014910304</v>
      </c>
      <c r="DA53" s="15">
        <f>IF(ISNA(VLOOKUP(A53,'Données projet'!$A$139:$I$159,3,0)),0,VLOOKUP(A53,'Données projet'!$A$139:$I$159,3,0))</f>
        <v>6</v>
      </c>
      <c r="DB53" s="15">
        <f>IF(ISNA(VLOOKUP(A53,'Données projet'!$A$139:$I$159,4,0)),0,VLOOKUP(A53,'Données projet'!$A$139:$I$159,4,0))</f>
        <v>14</v>
      </c>
      <c r="DC53" s="16">
        <f>IF(ISNA(VLOOKUP(A53,'Données projet'!$A$139:$I$159,5,0)),0%,VLOOKUP(A53,'Données projet'!$A$139:$I$159,5,0)*VLOOKUP('Données projet'!$B$13,Paramètres!$A$1:$I$89,7,0))</f>
        <v>8.6000000000000007E-2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3.4527352999311161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3.4527352999311161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65.622948793375656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219</v>
      </c>
      <c r="DM53" s="12">
        <f>VLOOKUP(A53,'Données projet'!$A$165:$I$185,9,0)</f>
        <v>7.2</v>
      </c>
      <c r="DN53" s="12">
        <f t="array" ref="DN53">INDEX(DM:DM,MIN(IF(ISNUMBER(DM53:DM249),ROW(DM53:DM249),"")))</f>
        <v>7.2</v>
      </c>
      <c r="DO53" s="12">
        <f>IF('Données projet'!$A$166&gt;35,DO52+DN53-DW52,IF(A53&lt;'Données projet'!$A$166,$DL$205^A53,IF(A53='Données projet'!$A$166,'Données projet'!$B$166,DO52+DN53-DW52)))</f>
        <v>218.99999999999989</v>
      </c>
      <c r="DP53" s="17">
        <f>DO53*VLOOKUP('Données projet'!$B$14,Paramètres!$A$1:$I$89,3,0)*VLOOKUP('Données projet'!$B$14,Paramètres!$A$1:$I$89,5,0)</f>
        <v>174.23639999999992</v>
      </c>
      <c r="DQ53" s="13">
        <f t="shared" si="43"/>
        <v>44.03747274965864</v>
      </c>
      <c r="DR53" s="20">
        <f t="shared" si="16"/>
        <v>380.160328372322</v>
      </c>
      <c r="DS53" s="59">
        <f t="shared" si="17"/>
        <v>657.44447394803274</v>
      </c>
      <c r="DT53" s="59">
        <f ca="1">AVERAGE(OFFSET($DS$3,0,0,'Données projet'!$E$14+1,1))-AVERAGE(OFFSET($H$3,0,0,'Données projet'!$E$14+1,1))</f>
        <v>309.14579005132464</v>
      </c>
      <c r="DU53" s="59">
        <f t="shared" si="44"/>
        <v>300.60311050289533</v>
      </c>
      <c r="DV53" s="15">
        <f>IF(ISNA(VLOOKUP(A53,'Données projet'!$A$165:$I$185,3,0)),0,VLOOKUP(A53,'Données projet'!$A$165:$I$185,3,0))</f>
        <v>8</v>
      </c>
      <c r="DW53" s="15">
        <f>IF(ISNA(VLOOKUP(A53,'Données projet'!$A$165:$I$185,4,0)),0,VLOOKUP(A53,'Données projet'!$A$165:$I$185,4,0))</f>
        <v>17</v>
      </c>
      <c r="DX53" s="16">
        <f>IF(ISNA(VLOOKUP(A53,'Données projet'!$A$165:$I$185,5,0)),0%,VLOOKUP(A53,'Données projet'!$A$165:$I$185,5,0)*VLOOKUP('Données projet'!$B$14,Paramètres!$A$1:$I$89,7,0))</f>
        <v>0.159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11.001385924631522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11.001385924631522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65.622948793375656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261</v>
      </c>
      <c r="EH53" s="12">
        <f>VLOOKUP(A53,'Données projet'!$A$191:$I$211,9,0)</f>
        <v>8.6</v>
      </c>
      <c r="EI53" s="12">
        <f t="array" ref="EI53">INDEX(EH:EH,MIN(IF(ISNUMBER(EH53:EH249),ROW(EH53:EH249),"")))</f>
        <v>8.6</v>
      </c>
      <c r="EJ53" s="12">
        <f>IF('Données projet'!$A$192&gt;35,EJ52+EI53-ER52,IF(A53&lt;'Données projet'!$A$192,$EG$205^A53,IF(A53='Données projet'!$A$192,'Données projet'!$B$192,EJ52+EI53-ER52)))</f>
        <v>261.00000000000006</v>
      </c>
      <c r="EK53" s="17">
        <f>EJ53*VLOOKUP('Données projet'!$B$15,Paramètres!$A$1:$I$89,3,0)*VLOOKUP('Données projet'!$B$15,Paramètres!$A$1:$I$89,5,0)</f>
        <v>191.36520000000004</v>
      </c>
      <c r="EL53" s="13">
        <f t="shared" si="45"/>
        <v>47.841653305605021</v>
      </c>
      <c r="EM53" s="20">
        <f t="shared" si="19"/>
        <v>416.61860284059549</v>
      </c>
      <c r="EN53" s="59">
        <f t="shared" si="20"/>
        <v>693.90274841630617</v>
      </c>
      <c r="EO53" s="59">
        <f ca="1">AVERAGE(OFFSET($EN$3,0,0,'Données projet'!$E$15+1,1))-AVERAGE(OFFSET($H$3,0,0,'Données projet'!$E$15+1,1))</f>
        <v>338.59243085476896</v>
      </c>
      <c r="EP53" s="59">
        <f t="shared" si="46"/>
        <v>329.8393445823275</v>
      </c>
      <c r="EQ53" s="15">
        <f>IF(ISNA(VLOOKUP(A53,'Données projet'!$A$191:$I$211,3,0)),0,VLOOKUP(A53,'Données projet'!$A$191:$I$211,3,0))</f>
        <v>9</v>
      </c>
      <c r="ER53" s="15">
        <f>IF(ISNA(VLOOKUP(A53,'Données projet'!$A$191:$I$211,4,0)),0,VLOOKUP(A53,'Données projet'!$A$191:$I$211,4,0))</f>
        <v>19</v>
      </c>
      <c r="ES53" s="16">
        <f>IF(ISNA(VLOOKUP(A53,'Données projet'!$A$191:$I$211,5,0)),0%,VLOOKUP(A53,'Données projet'!$A$191:$I$211,5,0)*VLOOKUP('Données projet'!$B$15,Paramètres!$A$1:$I$89,7,0))</f>
        <v>0.17200000000000001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12.865193042820021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12.865193042820021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65.622948793375656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261</v>
      </c>
      <c r="FC53" s="12">
        <f>VLOOKUP(A53,'Données projet'!$A$217:$I$237,9,0)</f>
        <v>8.6</v>
      </c>
      <c r="FD53" s="12">
        <f t="array" ref="FD53">INDEX(FC:FC,MIN(IF(ISNUMBER(FC53:FC249),ROW(FC53:FC249),"")))</f>
        <v>8.6</v>
      </c>
      <c r="FE53" s="12">
        <f>IF('Données projet'!$A$218&gt;35,FE52+FD53-FM52,IF(A53&lt;'Données projet'!$A$218,$FB$205^A53,IF(A53='Données projet'!$A$218,'Données projet'!$B$218,FE52+FD53-FM52)))</f>
        <v>261.00000000000006</v>
      </c>
      <c r="FF53" s="17">
        <f>FE53*VLOOKUP('Données projet'!$B$16,Paramètres!$A$1:$I$89,3,0)*VLOOKUP('Données projet'!$B$16,Paramètres!$A$1:$I$89,5,0)</f>
        <v>171.00720000000004</v>
      </c>
      <c r="FG53" s="13">
        <f t="shared" si="47"/>
        <v>43.315525267338089</v>
      </c>
      <c r="FH53" s="20">
        <f t="shared" si="22"/>
        <v>373.27874650728057</v>
      </c>
      <c r="FI53" s="59">
        <f t="shared" si="23"/>
        <v>650.56289208299131</v>
      </c>
      <c r="FJ53" s="59">
        <f ca="1">AVERAGE(OFFSET($FI$3,0,0,'Données projet'!$E$16+1,1))-AVERAGE(OFFSET($H$3,0,0,'Données projet'!$E$16+1,1))</f>
        <v>307.50573770128085</v>
      </c>
      <c r="FK53" s="59">
        <f t="shared" si="48"/>
        <v>300.2007312562655</v>
      </c>
      <c r="FL53" s="15">
        <f>IF(ISNA(VLOOKUP(A53,'Données projet'!$A$217:$I$237,3,0)),0,VLOOKUP(A53,'Données projet'!$A$217:$I$237,3,0))</f>
        <v>9</v>
      </c>
      <c r="FM53" s="15">
        <f>IF(ISNA(VLOOKUP(A53,'Données projet'!$A$217:$I$237,4,0)),0,VLOOKUP(A53,'Données projet'!$A$217:$I$237,4,0))</f>
        <v>19</v>
      </c>
      <c r="FN53" s="16">
        <f>IF(ISNA(VLOOKUP(A53,'Données projet'!$A$217:$I$237,5,0)),0%,VLOOKUP(A53,'Données projet'!$A$217:$I$237,5,0)*VLOOKUP('Données projet'!$B$16,Paramètres!$A$1:$I$89,7,0))</f>
        <v>0.17200000000000001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11.496555485073211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11.496555485073211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65.622948793375656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261</v>
      </c>
      <c r="FX53" s="12">
        <f>VLOOKUP(A53,'Données projet'!$A$243:$I$263,9,0)</f>
        <v>8.6</v>
      </c>
      <c r="FY53" s="12">
        <f t="array" ref="FY53">INDEX(FX:FX,MIN(IF(ISNUMBER(FX53:FX249),ROW(FX53:FX249),"")))</f>
        <v>8.6</v>
      </c>
      <c r="FZ53" s="12">
        <f>IF('Données projet'!$A$244&gt;35,FZ52+FY53-GH52,IF(A53&lt;'Données projet'!$A$244,$FW$205^A53,IF(A53='Données projet'!$A$244,'Données projet'!$B$244,FZ52+FY53-GH52)))</f>
        <v>261.00000000000006</v>
      </c>
      <c r="GA53" s="17">
        <f>FZ53*VLOOKUP('Données projet'!$B$17,Paramètres!$A$1:$I$89,3,0)*VLOOKUP('Données projet'!$B$17,Paramètres!$A$1:$I$89,5,0)</f>
        <v>211.72320000000005</v>
      </c>
      <c r="GB53" s="13">
        <f t="shared" si="49"/>
        <v>52.311968964212078</v>
      </c>
      <c r="GC53" s="20">
        <f t="shared" si="25"/>
        <v>459.86125261266943</v>
      </c>
      <c r="GD53" s="59">
        <f t="shared" si="26"/>
        <v>737.14539818838011</v>
      </c>
      <c r="GE53" s="59">
        <f ca="1">AVERAGE(OFFSET($GD$3,0,0,'Données projet'!$E$17+1,1))-AVERAGE(OFFSET($H$3,0,0,'Données projet'!$E$17+1,1))</f>
        <v>369.60865427618342</v>
      </c>
      <c r="GF53" s="59">
        <f t="shared" si="50"/>
        <v>359.40898775279197</v>
      </c>
      <c r="GG53" s="15">
        <f>IF(ISNA(VLOOKUP(A53,'Données projet'!$A$243:$I$263,3,0)),0,VLOOKUP(A53,'Données projet'!$A$243:$I$263,3,0))</f>
        <v>9</v>
      </c>
      <c r="GH53" s="15">
        <f>IF(ISNA(VLOOKUP(A53,'Données projet'!$A$243:$I$263,4,0)),0,VLOOKUP(A53,'Données projet'!$A$243:$I$263,4,0))</f>
        <v>19</v>
      </c>
      <c r="GI53" s="16">
        <f>IF(ISNA(VLOOKUP(A53,'Données projet'!$A$243:$I$263,5,0)),0%,VLOOKUP(A53,'Données projet'!$A$243:$I$263,5,0)*VLOOKUP('Données projet'!$B$17,Paramètres!$A$1:$I$89,7,0))</f>
        <v>0.17200000000000001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14.233830600566829</v>
      </c>
      <c r="GM53" s="21">
        <f>EXP(-LN(2)/25)*GM52+(1-EXP(-LN(2)/25))/(LN(2)/25)*Calculateur!GH53*Calculateur!GJ53*VLOOKUP('Données projet'!$B$17,Paramètres!$A$1:$I$89,3,0)*0.475*44/12</f>
        <v>0</v>
      </c>
      <c r="GN53" s="21">
        <f>EXP(-LN(2)/2)*GN52+(1-EXP(-LN(2)/2))/(LN(2)/2)*GH53*GK53*VLOOKUP('Données projet'!$B$17,Paramètres!$A$1:$I$89,3,0)*0.475*44/12</f>
        <v>0</v>
      </c>
      <c r="GO53" s="21">
        <f t="shared" si="27"/>
        <v>14.233830600566829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65.622948793375656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>
        <f>VLOOKUP(A53,'Données projet'!$A$269:$I$289,2,0)</f>
        <v>219</v>
      </c>
      <c r="GS53" s="12">
        <f>VLOOKUP(A53,'Données projet'!$A$269:$I$289,9,0)</f>
        <v>7.2</v>
      </c>
      <c r="GT53" s="12">
        <f t="array" ref="GT53">INDEX(GS:GS,MIN(IF(ISNUMBER(GS53:GS249),ROW(GS53:GS249),"")))</f>
        <v>7.2</v>
      </c>
      <c r="GU53" s="12">
        <f>IF('Données projet'!$A$270&gt;35,GU52+GT53-HC52,IF(A53&lt;'Données projet'!$A$270,$GR$205^A53,IF(A53='Données projet'!$A$270,'Données projet'!$B$270,GU52+GT53-HC52)))</f>
        <v>218.99999999999989</v>
      </c>
      <c r="GV53" s="17">
        <f>GU53*VLOOKUP('Données projet'!$B$18,Paramètres!$A$1:$I$89,3,0)*VLOOKUP('Données projet'!$B$18,Paramètres!$A$1:$I$89,5,0)</f>
        <v>143.48879999999991</v>
      </c>
      <c r="GW53" s="13">
        <f t="shared" si="51"/>
        <v>37.095092027878849</v>
      </c>
      <c r="GX53" s="20">
        <f t="shared" si="28"/>
        <v>314.51694528188881</v>
      </c>
      <c r="GY53" s="59">
        <f t="shared" si="29"/>
        <v>591.80109085759955</v>
      </c>
      <c r="GZ53" s="59">
        <f ca="1">AVERAGE(OFFSET($GY$3,0,0,'Données projet'!$E$18+1,1))-AVERAGE(OFFSET($H$3,0,0,'Données projet'!$E$18+1,1))</f>
        <v>262.62914256200031</v>
      </c>
      <c r="HA53" s="59">
        <f t="shared" si="52"/>
        <v>256.45129229594409</v>
      </c>
      <c r="HB53" s="15">
        <f>IF(ISNA(VLOOKUP(A53,'Données projet'!$A$269:$I$289,3,0)),0,VLOOKUP(A53,'Données projet'!$A$269:$I$289,3,0))</f>
        <v>8</v>
      </c>
      <c r="HC53" s="15">
        <f>IF(ISNA(VLOOKUP(A53,'Données projet'!$A$269:$I$289,4,0)),0,VLOOKUP(A53,'Données projet'!$A$269:$I$289,4,0))</f>
        <v>17</v>
      </c>
      <c r="HD53" s="16">
        <f>IF(ISNA(VLOOKUP(A53,'Données projet'!$A$269:$I$289,5,0)),0%,VLOOKUP(A53,'Données projet'!$A$269:$I$289,5,0)*VLOOKUP('Données projet'!$B$18,Paramètres!$A$1:$I$89,7,0))</f>
        <v>0.129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>
        <f>EXP(-LN(2)/35)*HG52+(1-EXP(-LN(2)/35))/(LN(2)/35)*HC53*HD53*VLOOKUP('Données projet'!$B$18,Paramètres!$A$1:$I$89,3,0)*0.475*44/12</f>
        <v>7.3505375434274969</v>
      </c>
      <c r="HH53" s="21">
        <f>EXP(-LN(2)/25)*HH52+(1-EXP(-LN(2)/25))/(LN(2)/25)*Calculateur!HC53*Calculateur!HE53*VLOOKUP('Données projet'!$B$18,Paramètres!$A$1:$I$89,3,0)*0.475*44/12</f>
        <v>0</v>
      </c>
      <c r="HI53" s="21">
        <f>EXP(-LN(2)/2)*HI52+(1-EXP(-LN(2)/2))/(LN(2)/2)*HC53*HF53*VLOOKUP('Données projet'!$B$18,Paramètres!$A$1:$I$89,3,0)*0.475*44/12</f>
        <v>0</v>
      </c>
      <c r="HJ53" s="22">
        <f t="shared" si="30"/>
        <v>7.3505375434274969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2.1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7.7</v>
      </c>
      <c r="H54" s="67">
        <f t="shared" si="1"/>
        <v>225.86666666666665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65.698880846190079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11</v>
      </c>
      <c r="N54" s="13">
        <f>IF('Données projet'!$A$36&gt;35,N53+M54-V53,IF(A54&lt;'Données projet'!$A$36,$K$205^A54,IF(A54='Données projet'!$A$36,'Données projet'!$B$36,N53+M54-V53)))</f>
        <v>200.00000000000006</v>
      </c>
      <c r="O54" s="13">
        <f>N54*VLOOKUP('Données projet'!$B$9,Paramètres!$A$1:$I$89,3,0)*VLOOKUP('Données projet'!$B$9,Paramètres!$A$1:$I$89,5,0)</f>
        <v>171.60000000000008</v>
      </c>
      <c r="P54" s="13">
        <f t="shared" si="33"/>
        <v>43.448174754648562</v>
      </c>
      <c r="Q54" s="20">
        <f t="shared" si="53"/>
        <v>374.5422376976797</v>
      </c>
      <c r="R54" s="59">
        <f t="shared" si="0"/>
        <v>652.10480080037667</v>
      </c>
      <c r="S54" s="59">
        <f ca="1">AVERAGE(OFFSET($R$3,0,0,'Données projet'!$E$9+1,1))-AVERAGE(OFFSET($H$3,0,0,'Données projet'!$E$9+1,1))</f>
        <v>476.79071915271794</v>
      </c>
      <c r="T54" s="59">
        <f t="shared" si="34"/>
        <v>264.79929759351762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5.2596562903664177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5.2596562903664177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65.698880846190079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</v>
      </c>
      <c r="AI54" s="13">
        <f>IF('Données projet'!$A$62&gt;35,AI53+AH54-AQ53,IF(A54&lt;'Données projet'!$A$62,$AF$205^A54,IF(A54='Données projet'!$A$62,'Données projet'!$B$62,AI53+AH54-AQ53)))</f>
        <v>165.00000000000003</v>
      </c>
      <c r="AJ54" s="13">
        <f>AI54*VLOOKUP('Données projet'!$B$10,Paramètres!$A$1:$I$89,3,0)*VLOOKUP('Données projet'!$B$10,Paramètres!$A$1:$I$89,5,0)</f>
        <v>138.99600000000004</v>
      </c>
      <c r="AK54" s="13">
        <f t="shared" si="35"/>
        <v>36.066906938767758</v>
      </c>
      <c r="AL54" s="20">
        <f t="shared" si="4"/>
        <v>304.90122958502059</v>
      </c>
      <c r="AM54" s="59">
        <f t="shared" si="5"/>
        <v>582.46379268771761</v>
      </c>
      <c r="AN54" s="59">
        <f ca="1">AVERAGE(OFFSET($AM$3,0,0,'Données projet'!$E$10+1,1))-AVERAGE(OFFSET($H$3,0,0,'Données projet'!$E$10+1,1))</f>
        <v>365.104658862176</v>
      </c>
      <c r="AO54" s="59">
        <f t="shared" si="36"/>
        <v>226.29232910286325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5.3193022228003564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5.3193022228003564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65.698880846190079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8</v>
      </c>
      <c r="BD54" s="12">
        <f>IF('Données projet'!$A$88&gt;35,BD53+BC54-BL53,IF(A54&lt;'Données projet'!$A$88,$BA$205^A54,IF(A54='Données projet'!$A$88,'Données projet'!$B$88,BD53+BC54-BL53)))</f>
        <v>165.00000000000003</v>
      </c>
      <c r="BE54" s="13">
        <f>BD54*VLOOKUP('Données projet'!$B$11,Paramètres!$A$1:$I$89,3,0)*VLOOKUP('Données projet'!$B$11,Paramètres!$A$1:$I$89,5,0)</f>
        <v>149.292</v>
      </c>
      <c r="BF54" s="13">
        <f t="shared" si="37"/>
        <v>38.417645803815446</v>
      </c>
      <c r="BG54" s="20">
        <f t="shared" si="7"/>
        <v>326.92763310831185</v>
      </c>
      <c r="BH54" s="59">
        <f t="shared" si="8"/>
        <v>604.49019621100888</v>
      </c>
      <c r="BI54" s="59">
        <f ca="1">AVERAGE(OFFSET($BH$3,0,0,'Données projet'!$E$11+1,1))-AVERAGE(OFFSET($H$3,0,0,'Données projet'!$E$11+1,1))</f>
        <v>388.12494342575195</v>
      </c>
      <c r="BJ54" s="59">
        <f t="shared" si="38"/>
        <v>239.39471445648454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5.713324609674455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5.713324609674455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65.698880846190079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</v>
      </c>
      <c r="BY54" s="12">
        <f>IF('Données projet'!$A$114&gt;35,BY53+BX54-CG53,IF(A54&lt;'Données projet'!$A$114,$BV$205^A54,IF(A54='Données projet'!$A$114,'Données projet'!$B$114,BY53+BX54-CG53)))</f>
        <v>165.00000000000003</v>
      </c>
      <c r="BZ54" s="13">
        <f>BY54*VLOOKUP('Données projet'!$B$12,Paramètres!$A$1:$I$89,3,0)*VLOOKUP('Données projet'!$B$12,Paramètres!$A$1:$I$89,5,0)</f>
        <v>167.31000000000006</v>
      </c>
      <c r="CA54" s="13">
        <f t="shared" si="39"/>
        <v>42.486994942347515</v>
      </c>
      <c r="CB54" s="20">
        <f t="shared" si="10"/>
        <v>365.39643285792204</v>
      </c>
      <c r="CC54" s="59">
        <f t="shared" si="11"/>
        <v>642.95899596061895</v>
      </c>
      <c r="CD54" s="59">
        <f ca="1">AVERAGE(OFFSET($CC$3,0,0,'Données projet'!$E$12+1,1))-AVERAGE(OFFSET($H$3,0,0,'Données projet'!$E$12+1,1))</f>
        <v>428.33148932885132</v>
      </c>
      <c r="CE54" s="59">
        <f t="shared" si="40"/>
        <v>262.27548054534373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6.402863786704132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6.402863786704132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65.698880846190079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5.6</v>
      </c>
      <c r="CT54" s="12">
        <f>IF('Données projet'!$A$140&gt;35,CT53+CS54-DB53,IF(A54&lt;'Données projet'!$A$140,$CQ$205^A54,IF(A54='Données projet'!$A$140,'Données projet'!$B$140,CT53+CS54-DB53)))</f>
        <v>112.59999999999995</v>
      </c>
      <c r="CU54" s="17">
        <f>CT54*VLOOKUP('Données projet'!$B$13,Paramètres!$A$1:$I$89,3,0)*VLOOKUP('Données projet'!$B$13,Paramètres!$A$1:$I$89,5,0)</f>
        <v>107.15015999999994</v>
      </c>
      <c r="CV54" s="13">
        <f t="shared" si="41"/>
        <v>28.658517723314318</v>
      </c>
      <c r="CW54" s="20">
        <f t="shared" si="13"/>
        <v>236.53344703477231</v>
      </c>
      <c r="CX54" s="59">
        <f t="shared" si="14"/>
        <v>514.09601013746931</v>
      </c>
      <c r="CY54" s="59">
        <f ca="1">AVERAGE(OFFSET($CX$3,0,0,'Données projet'!$E$13+1,1))-AVERAGE(OFFSET($H$3,0,0,'Données projet'!$E$13+1,1))</f>
        <v>307.62549820830162</v>
      </c>
      <c r="CZ54" s="59">
        <f t="shared" si="42"/>
        <v>160.26466014910304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3.3850292666600534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3.3850292666600534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65.698880846190079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6</v>
      </c>
      <c r="DO54" s="12">
        <f>IF('Données projet'!$A$166&gt;35,DO53+DN54-DW53,IF(A54&lt;'Données projet'!$A$166,$DL$205^A54,IF(A54='Données projet'!$A$166,'Données projet'!$B$166,DO53+DN54-DW53)))</f>
        <v>207.99999999999989</v>
      </c>
      <c r="DP54" s="17">
        <f>DO54*VLOOKUP('Données projet'!$B$14,Paramètres!$A$1:$I$89,3,0)*VLOOKUP('Données projet'!$B$14,Paramètres!$A$1:$I$89,5,0)</f>
        <v>165.48479999999992</v>
      </c>
      <c r="DQ54" s="13">
        <f t="shared" si="43"/>
        <v>42.077190125964002</v>
      </c>
      <c r="DR54" s="20">
        <f t="shared" si="16"/>
        <v>361.5037994693871</v>
      </c>
      <c r="DS54" s="59">
        <f t="shared" si="17"/>
        <v>639.06636257208402</v>
      </c>
      <c r="DT54" s="59">
        <f ca="1">AVERAGE(OFFSET($DS$3,0,0,'Données projet'!$E$14+1,1))-AVERAGE(OFFSET($H$3,0,0,'Données projet'!$E$14+1,1))</f>
        <v>309.14579005132464</v>
      </c>
      <c r="DU54" s="59">
        <f t="shared" si="44"/>
        <v>300.60311050289533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10.785655456832338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10.785655456832338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65.698880846190079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7.4</v>
      </c>
      <c r="EJ54" s="12">
        <f>IF('Données projet'!$A$192&gt;35,EJ53+EI54-ER53,IF(A54&lt;'Données projet'!$A$192,$EG$205^A54,IF(A54='Données projet'!$A$192,'Données projet'!$B$192,EJ53+EI54-ER53)))</f>
        <v>249.40000000000003</v>
      </c>
      <c r="EK54" s="17">
        <f>EJ54*VLOOKUP('Données projet'!$B$15,Paramètres!$A$1:$I$89,3,0)*VLOOKUP('Données projet'!$B$15,Paramètres!$A$1:$I$89,5,0)</f>
        <v>182.86008000000001</v>
      </c>
      <c r="EL54" s="13">
        <f t="shared" si="45"/>
        <v>45.957916284909473</v>
      </c>
      <c r="EM54" s="20">
        <f t="shared" si="19"/>
        <v>398.52467686288401</v>
      </c>
      <c r="EN54" s="59">
        <f t="shared" si="20"/>
        <v>676.08723996558092</v>
      </c>
      <c r="EO54" s="59">
        <f ca="1">AVERAGE(OFFSET($EN$3,0,0,'Données projet'!$E$15+1,1))-AVERAGE(OFFSET($H$3,0,0,'Données projet'!$E$15+1,1))</f>
        <v>338.59243085476896</v>
      </c>
      <c r="EP54" s="59">
        <f t="shared" si="46"/>
        <v>329.8393445823275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12.612914454243251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12.612914454243251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65.698880846190079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7.4</v>
      </c>
      <c r="FE54" s="12">
        <f>IF('Données projet'!$A$218&gt;35,FE53+FD54-FM53,IF(A54&lt;'Données projet'!$A$218,$FB$205^A54,IF(A54='Données projet'!$A$218,'Données projet'!$B$218,FE53+FD54-FM53)))</f>
        <v>249.40000000000003</v>
      </c>
      <c r="FF54" s="17">
        <f>FE54*VLOOKUP('Données projet'!$B$16,Paramètres!$A$1:$I$89,3,0)*VLOOKUP('Données projet'!$B$16,Paramètres!$A$1:$I$89,5,0)</f>
        <v>163.40688</v>
      </c>
      <c r="FG54" s="13">
        <f t="shared" si="47"/>
        <v>41.610001881769797</v>
      </c>
      <c r="FH54" s="20">
        <f t="shared" si="22"/>
        <v>357.07106927741569</v>
      </c>
      <c r="FI54" s="59">
        <f t="shared" si="23"/>
        <v>634.63363238011266</v>
      </c>
      <c r="FJ54" s="59">
        <f ca="1">AVERAGE(OFFSET($FI$3,0,0,'Données projet'!$E$16+1,1))-AVERAGE(OFFSET($H$3,0,0,'Données projet'!$E$16+1,1))</f>
        <v>307.50573770128085</v>
      </c>
      <c r="FK54" s="59">
        <f t="shared" si="48"/>
        <v>300.2007312562655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11.271115044217373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11.271115044217373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65.698880846190079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7.4</v>
      </c>
      <c r="FZ54" s="12">
        <f>IF('Données projet'!$A$244&gt;35,FZ53+FY54-GH53,IF(A54&lt;'Données projet'!$A$244,$FW$205^A54,IF(A54='Données projet'!$A$244,'Données projet'!$B$244,FZ53+FY54-GH53)))</f>
        <v>249.40000000000003</v>
      </c>
      <c r="GA54" s="17">
        <f>FZ54*VLOOKUP('Données projet'!$B$17,Paramètres!$A$1:$I$89,3,0)*VLOOKUP('Données projet'!$B$17,Paramètres!$A$1:$I$89,5,0)</f>
        <v>202.31328000000002</v>
      </c>
      <c r="GB54" s="13">
        <f t="shared" si="49"/>
        <v>50.25221588808207</v>
      </c>
      <c r="GC54" s="20">
        <f t="shared" si="25"/>
        <v>439.88490533840962</v>
      </c>
      <c r="GD54" s="59">
        <f t="shared" si="26"/>
        <v>717.44746844110659</v>
      </c>
      <c r="GE54" s="59">
        <f ca="1">AVERAGE(OFFSET($GD$3,0,0,'Données projet'!$E$17+1,1))-AVERAGE(OFFSET($H$3,0,0,'Données projet'!$E$17+1,1))</f>
        <v>369.60865427618342</v>
      </c>
      <c r="GF54" s="59">
        <f t="shared" si="50"/>
        <v>359.40898775279197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13.954713864269126</v>
      </c>
      <c r="GM54" s="21">
        <f>EXP(-LN(2)/25)*GM53+(1-EXP(-LN(2)/25))/(LN(2)/25)*Calculateur!GH54*Calculateur!GJ54*VLOOKUP('Données projet'!$B$17,Paramètres!$A$1:$I$89,3,0)*0.475*44/12</f>
        <v>0</v>
      </c>
      <c r="GN54" s="21">
        <f>EXP(-LN(2)/2)*GN53+(1-EXP(-LN(2)/2))/(LN(2)/2)*GH54*GK54*VLOOKUP('Données projet'!$B$17,Paramètres!$A$1:$I$89,3,0)*0.475*44/12</f>
        <v>0</v>
      </c>
      <c r="GO54" s="21">
        <f t="shared" si="27"/>
        <v>13.954713864269126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65.698880846190079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6</v>
      </c>
      <c r="GU54" s="12">
        <f>IF('Données projet'!$A$270&gt;35,GU53+GT54-HC53,IF(A54&lt;'Données projet'!$A$270,$GR$205^A54,IF(A54='Données projet'!$A$270,'Données projet'!$B$270,GU53+GT54-HC53)))</f>
        <v>207.99999999999989</v>
      </c>
      <c r="GV54" s="17">
        <f>GU54*VLOOKUP('Données projet'!$B$18,Paramètres!$A$1:$I$89,3,0)*VLOOKUP('Données projet'!$B$18,Paramètres!$A$1:$I$89,5,0)</f>
        <v>136.28159999999991</v>
      </c>
      <c r="GW54" s="13">
        <f t="shared" si="51"/>
        <v>35.443842312892279</v>
      </c>
      <c r="GX54" s="20">
        <f t="shared" si="28"/>
        <v>299.08847869495389</v>
      </c>
      <c r="GY54" s="59">
        <f t="shared" si="29"/>
        <v>576.65104179765081</v>
      </c>
      <c r="GZ54" s="59">
        <f ca="1">AVERAGE(OFFSET($GY$3,0,0,'Données projet'!$E$18+1,1))-AVERAGE(OFFSET($H$3,0,0,'Données projet'!$E$18+1,1))</f>
        <v>262.62914256200031</v>
      </c>
      <c r="HA54" s="59">
        <f t="shared" si="52"/>
        <v>256.45129229594409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projet'!$B$18,Paramètres!$A$1:$I$89,3,0)*0.475*44/12</f>
        <v>7.2063979855860874</v>
      </c>
      <c r="HH54" s="21">
        <f>EXP(-LN(2)/25)*HH53+(1-EXP(-LN(2)/25))/(LN(2)/25)*Calculateur!HC54*Calculateur!HE54*VLOOKUP('Données projet'!$B$18,Paramètres!$A$1:$I$89,3,0)*0.475*44/12</f>
        <v>0</v>
      </c>
      <c r="HI54" s="21">
        <f>EXP(-LN(2)/2)*HI53+(1-EXP(-LN(2)/2))/(LN(2)/2)*HC54*HF54*VLOOKUP('Données projet'!$B$18,Paramètres!$A$1:$I$89,3,0)*0.475*44/12</f>
        <v>0</v>
      </c>
      <c r="HJ54" s="22">
        <f t="shared" si="30"/>
        <v>7.2063979855860874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2.1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7.7</v>
      </c>
      <c r="H55" s="67">
        <f t="shared" si="1"/>
        <v>225.86666666666665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65.773495647646811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11</v>
      </c>
      <c r="N55" s="13">
        <f>IF('Données projet'!$A$36&gt;35,N54+M55-V54,IF(A55&lt;'Données projet'!$A$36,$K$205^A55,IF(A55='Données projet'!$A$36,'Données projet'!$B$36,N54+M55-V54)))</f>
        <v>211.00000000000006</v>
      </c>
      <c r="O55" s="13">
        <f>N55*VLOOKUP('Données projet'!$B$9,Paramètres!$A$1:$I$89,3,0)*VLOOKUP('Données projet'!$B$9,Paramètres!$A$1:$I$89,5,0)</f>
        <v>181.03800000000007</v>
      </c>
      <c r="P55" s="13">
        <f t="shared" si="33"/>
        <v>45.553044701671382</v>
      </c>
      <c r="Q55" s="20">
        <f t="shared" si="53"/>
        <v>394.64606952207777</v>
      </c>
      <c r="R55" s="59">
        <f t="shared" si="0"/>
        <v>672.48222023011613</v>
      </c>
      <c r="S55" s="59">
        <f ca="1">AVERAGE(OFFSET($R$3,0,0,'Données projet'!$E$9+1,1))-AVERAGE(OFFSET($H$3,0,0,'Données projet'!$E$9+1,1))</f>
        <v>476.79071915271794</v>
      </c>
      <c r="T55" s="59">
        <f t="shared" si="34"/>
        <v>264.79929759351762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5.1565176385858988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5.1565176385858988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65.773495647646811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</v>
      </c>
      <c r="AI55" s="13">
        <f>IF('Données projet'!$A$62&gt;35,AI54+AH55-AQ54,IF(A55&lt;'Données projet'!$A$62,$AF$205^A55,IF(A55='Données projet'!$A$62,'Données projet'!$B$62,AI54+AH55-AQ54)))</f>
        <v>173.00000000000003</v>
      </c>
      <c r="AJ55" s="13">
        <f>AI55*VLOOKUP('Données projet'!$B$10,Paramètres!$A$1:$I$89,3,0)*VLOOKUP('Données projet'!$B$10,Paramètres!$A$1:$I$89,5,0)</f>
        <v>145.73520000000002</v>
      </c>
      <c r="AK55" s="13">
        <f t="shared" si="35"/>
        <v>37.607773527116258</v>
      </c>
      <c r="AL55" s="20">
        <f t="shared" si="4"/>
        <v>319.32234555972747</v>
      </c>
      <c r="AM55" s="59">
        <f t="shared" si="5"/>
        <v>597.15849626776571</v>
      </c>
      <c r="AN55" s="59">
        <f ca="1">AVERAGE(OFFSET($AM$3,0,0,'Données projet'!$E$10+1,1))-AVERAGE(OFFSET($H$3,0,0,'Données projet'!$E$10+1,1))</f>
        <v>365.104658862176</v>
      </c>
      <c r="AO55" s="59">
        <f t="shared" si="36"/>
        <v>226.29232910286325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5.2149939506652343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5.2149939506652343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65.773495647646811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</v>
      </c>
      <c r="BD55" s="12">
        <f>IF('Données projet'!$A$88&gt;35,BD54+BC55-BL54,IF(A55&lt;'Données projet'!$A$88,$BA$205^A55,IF(A55='Données projet'!$A$88,'Données projet'!$B$88,BD54+BC55-BL54)))</f>
        <v>173.00000000000003</v>
      </c>
      <c r="BE55" s="13">
        <f>BD55*VLOOKUP('Données projet'!$B$11,Paramètres!$A$1:$I$89,3,0)*VLOOKUP('Données projet'!$B$11,Paramètres!$A$1:$I$89,5,0)</f>
        <v>156.53040000000001</v>
      </c>
      <c r="BF55" s="13">
        <f t="shared" si="37"/>
        <v>40.058941713182037</v>
      </c>
      <c r="BG55" s="20">
        <f t="shared" si="7"/>
        <v>342.39310348379212</v>
      </c>
      <c r="BH55" s="59">
        <f t="shared" si="8"/>
        <v>620.22925419183048</v>
      </c>
      <c r="BI55" s="59">
        <f ca="1">AVERAGE(OFFSET($BH$3,0,0,'Données projet'!$E$11+1,1))-AVERAGE(OFFSET($H$3,0,0,'Données projet'!$E$11+1,1))</f>
        <v>388.12494342575195</v>
      </c>
      <c r="BJ55" s="59">
        <f t="shared" si="38"/>
        <v>239.39471445648454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5.6012897988626573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5.6012897988626573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65.773495647646811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8</v>
      </c>
      <c r="BY55" s="12">
        <f>IF('Données projet'!$A$114&gt;35,BY54+BX55-CG54,IF(A55&lt;'Données projet'!$A$114,$BV$205^A55,IF(A55='Données projet'!$A$114,'Données projet'!$B$114,BY54+BX55-CG54)))</f>
        <v>173.00000000000003</v>
      </c>
      <c r="BZ55" s="13">
        <f>BY55*VLOOKUP('Données projet'!$B$12,Paramètres!$A$1:$I$89,3,0)*VLOOKUP('Données projet'!$B$12,Paramètres!$A$1:$I$89,5,0)</f>
        <v>175.42200000000003</v>
      </c>
      <c r="CA55" s="13">
        <f t="shared" si="39"/>
        <v>44.302143412304737</v>
      </c>
      <c r="CB55" s="20">
        <f t="shared" si="10"/>
        <v>382.68621644309746</v>
      </c>
      <c r="CC55" s="59">
        <f t="shared" si="11"/>
        <v>660.52236715113577</v>
      </c>
      <c r="CD55" s="59">
        <f ca="1">AVERAGE(OFFSET($CC$3,0,0,'Données projet'!$E$12+1,1))-AVERAGE(OFFSET($H$3,0,0,'Données projet'!$E$12+1,1))</f>
        <v>428.33148932885132</v>
      </c>
      <c r="CE55" s="59">
        <f t="shared" si="40"/>
        <v>262.27548054534373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6.2773075332081518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6.2773075332081518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65.773495647646811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5.6</v>
      </c>
      <c r="CT55" s="12">
        <f>IF('Données projet'!$A$140&gt;35,CT54+CS55-DB54,IF(A55&lt;'Données projet'!$A$140,$CQ$205^A55,IF(A55='Données projet'!$A$140,'Données projet'!$B$140,CT54+CS55-DB54)))</f>
        <v>118.19999999999995</v>
      </c>
      <c r="CU55" s="17">
        <f>CT55*VLOOKUP('Données projet'!$B$13,Paramètres!$A$1:$I$89,3,0)*VLOOKUP('Données projet'!$B$13,Paramètres!$A$1:$I$89,5,0)</f>
        <v>112.47911999999994</v>
      </c>
      <c r="CV55" s="13">
        <f t="shared" si="41"/>
        <v>29.914324778874605</v>
      </c>
      <c r="CW55" s="20">
        <f t="shared" si="13"/>
        <v>248.00191632320647</v>
      </c>
      <c r="CX55" s="59">
        <f t="shared" si="14"/>
        <v>525.8380670312448</v>
      </c>
      <c r="CY55" s="59">
        <f ca="1">AVERAGE(OFFSET($CX$3,0,0,'Données projet'!$E$13+1,1))-AVERAGE(OFFSET($H$3,0,0,'Données projet'!$E$13+1,1))</f>
        <v>307.62549820830162</v>
      </c>
      <c r="CZ55" s="59">
        <f t="shared" si="42"/>
        <v>160.26466014910304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3.3186509074048338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3.3186509074048338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65.773495647646811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6</v>
      </c>
      <c r="DO55" s="12">
        <f>IF('Données projet'!$A$166&gt;35,DO54+DN55-DW54,IF(A55&lt;'Données projet'!$A$166,$DL$205^A55,IF(A55='Données projet'!$A$166,'Données projet'!$B$166,DO54+DN55-DW54)))</f>
        <v>213.99999999999989</v>
      </c>
      <c r="DP55" s="17">
        <f>DO55*VLOOKUP('Données projet'!$B$14,Paramètres!$A$1:$I$89,3,0)*VLOOKUP('Données projet'!$B$14,Paramètres!$A$1:$I$89,5,0)</f>
        <v>170.25839999999991</v>
      </c>
      <c r="DQ55" s="13">
        <f t="shared" si="43"/>
        <v>43.147891472685018</v>
      </c>
      <c r="DR55" s="20">
        <f t="shared" si="16"/>
        <v>371.68262431492622</v>
      </c>
      <c r="DS55" s="59">
        <f t="shared" si="17"/>
        <v>649.51877502296452</v>
      </c>
      <c r="DT55" s="59">
        <f ca="1">AVERAGE(OFFSET($DS$3,0,0,'Données projet'!$E$14+1,1))-AVERAGE(OFFSET($H$3,0,0,'Données projet'!$E$14+1,1))</f>
        <v>309.14579005132464</v>
      </c>
      <c r="DU55" s="59">
        <f t="shared" si="44"/>
        <v>300.60311050289533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10.574155331924102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10.574155331924102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65.773495647646811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7.4</v>
      </c>
      <c r="EJ55" s="12">
        <f>IF('Données projet'!$A$192&gt;35,EJ54+EI55-ER54,IF(A55&lt;'Données projet'!$A$192,$EG$205^A55,IF(A55='Données projet'!$A$192,'Données projet'!$B$192,EJ54+EI55-ER54)))</f>
        <v>256.8</v>
      </c>
      <c r="EK55" s="17">
        <f>EJ55*VLOOKUP('Données projet'!$B$15,Paramètres!$A$1:$I$89,3,0)*VLOOKUP('Données projet'!$B$15,Paramètres!$A$1:$I$89,5,0)</f>
        <v>188.28576000000001</v>
      </c>
      <c r="EL55" s="13">
        <f t="shared" si="45"/>
        <v>47.160759045639651</v>
      </c>
      <c r="EM55" s="20">
        <f t="shared" si="19"/>
        <v>410.06935400448907</v>
      </c>
      <c r="EN55" s="59">
        <f t="shared" si="20"/>
        <v>687.90550471252732</v>
      </c>
      <c r="EO55" s="59">
        <f ca="1">AVERAGE(OFFSET($EN$3,0,0,'Données projet'!$E$15+1,1))-AVERAGE(OFFSET($H$3,0,0,'Données projet'!$E$15+1,1))</f>
        <v>338.59243085476896</v>
      </c>
      <c r="EP55" s="59">
        <f t="shared" si="46"/>
        <v>329.8393445823275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12.365582894913725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12.365582894913725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65.773495647646811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7.4</v>
      </c>
      <c r="FE55" s="12">
        <f>IF('Données projet'!$A$218&gt;35,FE54+FD55-FM54,IF(A55&lt;'Données projet'!$A$218,$FB$205^A55,IF(A55='Données projet'!$A$218,'Données projet'!$B$218,FE54+FD55-FM54)))</f>
        <v>256.8</v>
      </c>
      <c r="FF55" s="17">
        <f>FE55*VLOOKUP('Données projet'!$B$16,Paramètres!$A$1:$I$89,3,0)*VLOOKUP('Données projet'!$B$16,Paramètres!$A$1:$I$89,5,0)</f>
        <v>168.25536</v>
      </c>
      <c r="FG55" s="13">
        <f t="shared" si="47"/>
        <v>42.699047982710887</v>
      </c>
      <c r="FH55" s="20">
        <f t="shared" si="22"/>
        <v>367.41226056988808</v>
      </c>
      <c r="FI55" s="59">
        <f t="shared" si="23"/>
        <v>645.24841127792638</v>
      </c>
      <c r="FJ55" s="59">
        <f ca="1">AVERAGE(OFFSET($FI$3,0,0,'Données projet'!$E$16+1,1))-AVERAGE(OFFSET($H$3,0,0,'Données projet'!$E$16+1,1))</f>
        <v>307.50573770128085</v>
      </c>
      <c r="FK55" s="59">
        <f t="shared" si="48"/>
        <v>300.2007312562655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11.050095352901627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11.050095352901627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65.773495647646811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7.4</v>
      </c>
      <c r="FZ55" s="12">
        <f>IF('Données projet'!$A$244&gt;35,FZ54+FY55-GH54,IF(A55&lt;'Données projet'!$A$244,$FW$205^A55,IF(A55='Données projet'!$A$244,'Données projet'!$B$244,FZ54+FY55-GH54)))</f>
        <v>256.8</v>
      </c>
      <c r="GA55" s="17">
        <f>FZ55*VLOOKUP('Données projet'!$B$17,Paramètres!$A$1:$I$89,3,0)*VLOOKUP('Données projet'!$B$17,Paramètres!$A$1:$I$89,5,0)</f>
        <v>208.31616</v>
      </c>
      <c r="GB55" s="13">
        <f t="shared" si="49"/>
        <v>51.567452064520282</v>
      </c>
      <c r="GC55" s="20">
        <f t="shared" si="25"/>
        <v>452.63062434570611</v>
      </c>
      <c r="GD55" s="59">
        <f t="shared" si="26"/>
        <v>730.46677505374441</v>
      </c>
      <c r="GE55" s="59">
        <f ca="1">AVERAGE(OFFSET($GD$3,0,0,'Données projet'!$E$17+1,1))-AVERAGE(OFFSET($H$3,0,0,'Données projet'!$E$17+1,1))</f>
        <v>369.60865427618342</v>
      </c>
      <c r="GF55" s="59">
        <f t="shared" si="50"/>
        <v>359.40898775279197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13.68107043692582</v>
      </c>
      <c r="GM55" s="21">
        <f>EXP(-LN(2)/25)*GM54+(1-EXP(-LN(2)/25))/(LN(2)/25)*Calculateur!GH55*Calculateur!GJ55*VLOOKUP('Données projet'!$B$17,Paramètres!$A$1:$I$89,3,0)*0.475*44/12</f>
        <v>0</v>
      </c>
      <c r="GN55" s="21">
        <f>EXP(-LN(2)/2)*GN54+(1-EXP(-LN(2)/2))/(LN(2)/2)*GH55*GK55*VLOOKUP('Données projet'!$B$17,Paramètres!$A$1:$I$89,3,0)*0.475*44/12</f>
        <v>0</v>
      </c>
      <c r="GO55" s="21">
        <f t="shared" si="27"/>
        <v>13.68107043692582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65.773495647646811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6</v>
      </c>
      <c r="GU55" s="12">
        <f>IF('Données projet'!$A$270&gt;35,GU54+GT55-HC54,IF(A55&lt;'Données projet'!$A$270,$GR$205^A55,IF(A55='Données projet'!$A$270,'Données projet'!$B$270,GU54+GT55-HC54)))</f>
        <v>213.99999999999989</v>
      </c>
      <c r="GV55" s="17">
        <f>GU55*VLOOKUP('Données projet'!$B$18,Paramètres!$A$1:$I$89,3,0)*VLOOKUP('Données projet'!$B$18,Paramètres!$A$1:$I$89,5,0)</f>
        <v>140.21279999999993</v>
      </c>
      <c r="GW55" s="13">
        <f t="shared" si="51"/>
        <v>36.345750676634552</v>
      </c>
      <c r="GX55" s="20">
        <f t="shared" si="28"/>
        <v>307.50614242847166</v>
      </c>
      <c r="GY55" s="59">
        <f t="shared" si="29"/>
        <v>585.34229313650997</v>
      </c>
      <c r="GZ55" s="59">
        <f ca="1">AVERAGE(OFFSET($GY$3,0,0,'Données projet'!$E$18+1,1))-AVERAGE(OFFSET($H$3,0,0,'Données projet'!$E$18+1,1))</f>
        <v>262.62914256200031</v>
      </c>
      <c r="HA55" s="59">
        <f t="shared" si="52"/>
        <v>256.45129229594409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>
        <f>EXP(-LN(2)/35)*HG54+(1-EXP(-LN(2)/35))/(LN(2)/35)*HC55*HD55*VLOOKUP('Données projet'!$B$18,Paramètres!$A$1:$I$89,3,0)*0.475*44/12</f>
        <v>7.0650849165574989</v>
      </c>
      <c r="HH55" s="21">
        <f>EXP(-LN(2)/25)*HH54+(1-EXP(-LN(2)/25))/(LN(2)/25)*Calculateur!HC55*Calculateur!HE55*VLOOKUP('Données projet'!$B$18,Paramètres!$A$1:$I$89,3,0)*0.475*44/12</f>
        <v>0</v>
      </c>
      <c r="HI55" s="21">
        <f>EXP(-LN(2)/2)*HI54+(1-EXP(-LN(2)/2))/(LN(2)/2)*HC55*HF55*VLOOKUP('Données projet'!$B$18,Paramètres!$A$1:$I$89,3,0)*0.475*44/12</f>
        <v>0</v>
      </c>
      <c r="HJ55" s="22">
        <f t="shared" si="30"/>
        <v>7.0650849165574989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2.1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7.7</v>
      </c>
      <c r="H56" s="67">
        <f t="shared" si="1"/>
        <v>225.86666666666665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65.846816049111979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11</v>
      </c>
      <c r="N56" s="13">
        <f>IF('Données projet'!$A$36&gt;35,N55+M56-V55,IF(A56&lt;'Données projet'!$A$36,$K$205^A56,IF(A56='Données projet'!$A$36,'Données projet'!$B$36,N55+M56-V55)))</f>
        <v>222.00000000000006</v>
      </c>
      <c r="O56" s="13">
        <f>N56*VLOOKUP('Données projet'!$B$9,Paramètres!$A$1:$I$89,3,0)*VLOOKUP('Données projet'!$B$9,Paramètres!$A$1:$I$89,5,0)</f>
        <v>190.47600000000006</v>
      </c>
      <c r="P56" s="13">
        <f t="shared" si="33"/>
        <v>47.645174362968355</v>
      </c>
      <c r="Q56" s="20">
        <f t="shared" si="53"/>
        <v>414.7277120155033</v>
      </c>
      <c r="R56" s="59">
        <f t="shared" si="0"/>
        <v>692.83270419558062</v>
      </c>
      <c r="S56" s="59">
        <f ca="1">AVERAGE(OFFSET($R$3,0,0,'Données projet'!$E$9+1,1))-AVERAGE(OFFSET($H$3,0,0,'Données projet'!$E$9+1,1))</f>
        <v>476.79071915271794</v>
      </c>
      <c r="T56" s="59">
        <f t="shared" si="34"/>
        <v>264.79929759351762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5.0554014728584296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5.0554014728584296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65.846816049111979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</v>
      </c>
      <c r="AI56" s="13">
        <f>IF('Données projet'!$A$62&gt;35,AI55+AH56-AQ55,IF(A56&lt;'Données projet'!$A$62,$AF$205^A56,IF(A56='Données projet'!$A$62,'Données projet'!$B$62,AI55+AH56-AQ55)))</f>
        <v>181.00000000000003</v>
      </c>
      <c r="AJ56" s="13">
        <f>AI56*VLOOKUP('Données projet'!$B$10,Paramètres!$A$1:$I$89,3,0)*VLOOKUP('Données projet'!$B$10,Paramètres!$A$1:$I$89,5,0)</f>
        <v>152.47440000000003</v>
      </c>
      <c r="AK56" s="13">
        <f t="shared" si="35"/>
        <v>39.140365323908171</v>
      </c>
      <c r="AL56" s="20">
        <f t="shared" si="4"/>
        <v>333.72904960580678</v>
      </c>
      <c r="AM56" s="59">
        <f t="shared" si="5"/>
        <v>611.83404178588398</v>
      </c>
      <c r="AN56" s="59">
        <f ca="1">AVERAGE(OFFSET($AM$3,0,0,'Données projet'!$E$10+1,1))-AVERAGE(OFFSET($H$3,0,0,'Données projet'!$E$10+1,1))</f>
        <v>365.104658862176</v>
      </c>
      <c r="AO56" s="59">
        <f t="shared" si="36"/>
        <v>226.29232910286325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5.1127311001249183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5.1127311001249183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65.846816049111979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</v>
      </c>
      <c r="BD56" s="12">
        <f>IF('Données projet'!$A$88&gt;35,BD55+BC56-BL55,IF(A56&lt;'Données projet'!$A$88,$BA$205^A56,IF(A56='Données projet'!$A$88,'Données projet'!$B$88,BD55+BC56-BL55)))</f>
        <v>181.00000000000003</v>
      </c>
      <c r="BE56" s="13">
        <f>BD56*VLOOKUP('Données projet'!$B$11,Paramètres!$A$1:$I$89,3,0)*VLOOKUP('Données projet'!$B$11,Paramètres!$A$1:$I$89,5,0)</f>
        <v>163.7688</v>
      </c>
      <c r="BF56" s="13">
        <f t="shared" si="37"/>
        <v>41.691423503509803</v>
      </c>
      <c r="BG56" s="20">
        <f t="shared" si="7"/>
        <v>357.84322260194625</v>
      </c>
      <c r="BH56" s="59">
        <f t="shared" si="8"/>
        <v>635.94821478202357</v>
      </c>
      <c r="BI56" s="59">
        <f ca="1">AVERAGE(OFFSET($BH$3,0,0,'Données projet'!$E$11+1,1))-AVERAGE(OFFSET($H$3,0,0,'Données projet'!$E$11+1,1))</f>
        <v>388.12494342575195</v>
      </c>
      <c r="BJ56" s="59">
        <f t="shared" si="38"/>
        <v>239.39471445648454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5.4914519223563918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5.4914519223563918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65.846816049111979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</v>
      </c>
      <c r="BY56" s="12">
        <f>IF('Données projet'!$A$114&gt;35,BY55+BX56-CG55,IF(A56&lt;'Données projet'!$A$114,$BV$205^A56,IF(A56='Données projet'!$A$114,'Données projet'!$B$114,BY55+BX56-CG55)))</f>
        <v>181.00000000000003</v>
      </c>
      <c r="BZ56" s="13">
        <f>BY56*VLOOKUP('Données projet'!$B$12,Paramètres!$A$1:$I$89,3,0)*VLOOKUP('Données projet'!$B$12,Paramètres!$A$1:$I$89,5,0)</f>
        <v>183.53400000000005</v>
      </c>
      <c r="CA56" s="13">
        <f t="shared" si="39"/>
        <v>46.107544136839593</v>
      </c>
      <c r="CB56" s="20">
        <f t="shared" si="10"/>
        <v>399.95902270499568</v>
      </c>
      <c r="CC56" s="59">
        <f t="shared" si="11"/>
        <v>678.06401488507299</v>
      </c>
      <c r="CD56" s="59">
        <f ca="1">AVERAGE(OFFSET($CC$3,0,0,'Données projet'!$E$12+1,1))-AVERAGE(OFFSET($H$3,0,0,'Données projet'!$E$12+1,1))</f>
        <v>428.33148932885132</v>
      </c>
      <c r="CE56" s="59">
        <f t="shared" si="40"/>
        <v>262.27548054534373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6.1542133612614744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6.1542133612614744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65.846816049111979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5.6</v>
      </c>
      <c r="CT56" s="12">
        <f>IF('Données projet'!$A$140&gt;35,CT55+CS56-DB55,IF(A56&lt;'Données projet'!$A$140,$CQ$205^A56,IF(A56='Données projet'!$A$140,'Données projet'!$B$140,CT55+CS56-DB55)))</f>
        <v>123.79999999999994</v>
      </c>
      <c r="CU56" s="17">
        <f>CT56*VLOOKUP('Données projet'!$B$13,Paramètres!$A$1:$I$89,3,0)*VLOOKUP('Données projet'!$B$13,Paramètres!$A$1:$I$89,5,0)</f>
        <v>117.80807999999993</v>
      </c>
      <c r="CV56" s="13">
        <f t="shared" si="41"/>
        <v>31.163222740883338</v>
      </c>
      <c r="CW56" s="20">
        <f t="shared" si="13"/>
        <v>259.45835227370497</v>
      </c>
      <c r="CX56" s="59">
        <f t="shared" si="14"/>
        <v>537.56334445378229</v>
      </c>
      <c r="CY56" s="59">
        <f ca="1">AVERAGE(OFFSET($CX$3,0,0,'Données projet'!$E$13+1,1))-AVERAGE(OFFSET($H$3,0,0,'Données projet'!$E$13+1,1))</f>
        <v>307.62549820830162</v>
      </c>
      <c r="CZ56" s="59">
        <f t="shared" si="42"/>
        <v>160.26466014910304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3.2535741872878075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3.2535741872878075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65.846816049111979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6</v>
      </c>
      <c r="DO56" s="12">
        <f>IF('Données projet'!$A$166&gt;35,DO55+DN56-DW55,IF(A56&lt;'Données projet'!$A$166,$DL$205^A56,IF(A56='Données projet'!$A$166,'Données projet'!$B$166,DO55+DN56-DW55)))</f>
        <v>219.99999999999989</v>
      </c>
      <c r="DP56" s="17">
        <f>DO56*VLOOKUP('Données projet'!$B$14,Paramètres!$A$1:$I$89,3,0)*VLOOKUP('Données projet'!$B$14,Paramètres!$A$1:$I$89,5,0)</f>
        <v>175.03199999999993</v>
      </c>
      <c r="DQ56" s="13">
        <f t="shared" si="43"/>
        <v>44.215103743191008</v>
      </c>
      <c r="DR56" s="20">
        <f t="shared" si="16"/>
        <v>381.85537235272426</v>
      </c>
      <c r="DS56" s="59">
        <f t="shared" si="17"/>
        <v>659.96036453280158</v>
      </c>
      <c r="DT56" s="59">
        <f ca="1">AVERAGE(OFFSET($DS$3,0,0,'Données projet'!$E$14+1,1))-AVERAGE(OFFSET($H$3,0,0,'Données projet'!$E$14+1,1))</f>
        <v>309.14579005132464</v>
      </c>
      <c r="DU56" s="59">
        <f t="shared" si="44"/>
        <v>300.60311050289533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10.366802595462978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10.366802595462978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65.846816049111979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7.4</v>
      </c>
      <c r="EJ56" s="12">
        <f>IF('Données projet'!$A$192&gt;35,EJ55+EI56-ER55,IF(A56&lt;'Données projet'!$A$192,$EG$205^A56,IF(A56='Données projet'!$A$192,'Données projet'!$B$192,EJ55+EI56-ER55)))</f>
        <v>264.2</v>
      </c>
      <c r="EK56" s="17">
        <f>EJ56*VLOOKUP('Données projet'!$B$15,Paramètres!$A$1:$I$89,3,0)*VLOOKUP('Données projet'!$B$15,Paramètres!$A$1:$I$89,5,0)</f>
        <v>193.71143999999998</v>
      </c>
      <c r="EL56" s="13">
        <f t="shared" si="45"/>
        <v>48.359573394195209</v>
      </c>
      <c r="EM56" s="20">
        <f t="shared" si="19"/>
        <v>421.60701499488988</v>
      </c>
      <c r="EN56" s="59">
        <f t="shared" si="20"/>
        <v>699.71200717496708</v>
      </c>
      <c r="EO56" s="59">
        <f ca="1">AVERAGE(OFFSET($EN$3,0,0,'Données projet'!$E$15+1,1))-AVERAGE(OFFSET($H$3,0,0,'Données projet'!$E$15+1,1))</f>
        <v>338.59243085476896</v>
      </c>
      <c r="EP56" s="59">
        <f t="shared" si="46"/>
        <v>329.8393445823275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12.123101356605297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12.123101356605297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65.846816049111979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7.4</v>
      </c>
      <c r="FE56" s="12">
        <f>IF('Données projet'!$A$218&gt;35,FE55+FD56-FM55,IF(A56&lt;'Données projet'!$A$218,$FB$205^A56,IF(A56='Données projet'!$A$218,'Données projet'!$B$218,FE55+FD56-FM55)))</f>
        <v>264.2</v>
      </c>
      <c r="FF56" s="17">
        <f>FE56*VLOOKUP('Données projet'!$B$16,Paramètres!$A$1:$I$89,3,0)*VLOOKUP('Données projet'!$B$16,Paramètres!$A$1:$I$89,5,0)</f>
        <v>173.10383999999999</v>
      </c>
      <c r="FG56" s="13">
        <f t="shared" si="47"/>
        <v>43.784446785172882</v>
      </c>
      <c r="FH56" s="20">
        <f t="shared" si="22"/>
        <v>377.74709948417603</v>
      </c>
      <c r="FI56" s="59">
        <f t="shared" si="23"/>
        <v>655.85209166425329</v>
      </c>
      <c r="FJ56" s="59">
        <f ca="1">AVERAGE(OFFSET($FI$3,0,0,'Données projet'!$E$16+1,1))-AVERAGE(OFFSET($H$3,0,0,'Données projet'!$E$16+1,1))</f>
        <v>307.50573770128085</v>
      </c>
      <c r="FK56" s="59">
        <f t="shared" si="48"/>
        <v>300.2007312562655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10.833409722923882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10.833409722923882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65.846816049111979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7.4</v>
      </c>
      <c r="FZ56" s="12">
        <f>IF('Données projet'!$A$244&gt;35,FZ55+FY56-GH55,IF(A56&lt;'Données projet'!$A$244,$FW$205^A56,IF(A56='Données projet'!$A$244,'Données projet'!$B$244,FZ55+FY56-GH55)))</f>
        <v>264.2</v>
      </c>
      <c r="GA56" s="17">
        <f>FZ56*VLOOKUP('Données projet'!$B$17,Paramètres!$A$1:$I$89,3,0)*VLOOKUP('Données projet'!$B$17,Paramètres!$A$1:$I$89,5,0)</f>
        <v>214.31903999999997</v>
      </c>
      <c r="GB56" s="13">
        <f t="shared" si="49"/>
        <v>52.878283414659698</v>
      </c>
      <c r="GC56" s="20">
        <f t="shared" si="25"/>
        <v>465.3686716138655</v>
      </c>
      <c r="GD56" s="59">
        <f t="shared" si="26"/>
        <v>743.47366379394271</v>
      </c>
      <c r="GE56" s="59">
        <f ca="1">AVERAGE(OFFSET($GD$3,0,0,'Données projet'!$E$17+1,1))-AVERAGE(OFFSET($H$3,0,0,'Données projet'!$E$17+1,1))</f>
        <v>369.60865427618342</v>
      </c>
      <c r="GF56" s="59">
        <f t="shared" si="50"/>
        <v>359.40898775279197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13.412792990286707</v>
      </c>
      <c r="GM56" s="21">
        <f>EXP(-LN(2)/25)*GM55+(1-EXP(-LN(2)/25))/(LN(2)/25)*Calculateur!GH56*Calculateur!GJ56*VLOOKUP('Données projet'!$B$17,Paramètres!$A$1:$I$89,3,0)*0.475*44/12</f>
        <v>0</v>
      </c>
      <c r="GN56" s="21">
        <f>EXP(-LN(2)/2)*GN55+(1-EXP(-LN(2)/2))/(LN(2)/2)*GH56*GK56*VLOOKUP('Données projet'!$B$17,Paramètres!$A$1:$I$89,3,0)*0.475*44/12</f>
        <v>0</v>
      </c>
      <c r="GO56" s="21">
        <f t="shared" si="27"/>
        <v>13.412792990286707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65.846816049111979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6</v>
      </c>
      <c r="GU56" s="12">
        <f>IF('Données projet'!$A$270&gt;35,GU55+GT56-HC55,IF(A56&lt;'Données projet'!$A$270,$GR$205^A56,IF(A56='Données projet'!$A$270,'Données projet'!$B$270,GU55+GT56-HC55)))</f>
        <v>219.99999999999989</v>
      </c>
      <c r="GV56" s="17">
        <f>GU56*VLOOKUP('Données projet'!$B$18,Paramètres!$A$1:$I$89,3,0)*VLOOKUP('Données projet'!$B$18,Paramètres!$A$1:$I$89,5,0)</f>
        <v>144.14399999999992</v>
      </c>
      <c r="GW56" s="13">
        <f t="shared" si="51"/>
        <v>37.244720006976216</v>
      </c>
      <c r="GX56" s="20">
        <f t="shared" si="28"/>
        <v>315.91868734548342</v>
      </c>
      <c r="GY56" s="59">
        <f t="shared" si="29"/>
        <v>594.02367952556074</v>
      </c>
      <c r="GZ56" s="59">
        <f ca="1">AVERAGE(OFFSET($GY$3,0,0,'Données projet'!$E$18+1,1))-AVERAGE(OFFSET($H$3,0,0,'Données projet'!$E$18+1,1))</f>
        <v>262.62914256200031</v>
      </c>
      <c r="HA56" s="59">
        <f t="shared" si="52"/>
        <v>256.45129229594409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projet'!$B$18,Paramètres!$A$1:$I$89,3,0)*0.475*44/12</f>
        <v>6.9265429106200997</v>
      </c>
      <c r="HH56" s="21">
        <f>EXP(-LN(2)/25)*HH55+(1-EXP(-LN(2)/25))/(LN(2)/25)*Calculateur!HC56*Calculateur!HE56*VLOOKUP('Données projet'!$B$18,Paramètres!$A$1:$I$89,3,0)*0.475*44/12</f>
        <v>0</v>
      </c>
      <c r="HI56" s="21">
        <f>EXP(-LN(2)/2)*HI55+(1-EXP(-LN(2)/2))/(LN(2)/2)*HC56*HF56*VLOOKUP('Données projet'!$B$18,Paramètres!$A$1:$I$89,3,0)*0.475*44/12</f>
        <v>0</v>
      </c>
      <c r="HJ56" s="22">
        <f t="shared" si="30"/>
        <v>6.9265429106200997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2.1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7.7</v>
      </c>
      <c r="H57" s="67">
        <f t="shared" si="1"/>
        <v>225.86666666666665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65.918864505531587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11</v>
      </c>
      <c r="N57" s="13">
        <f>IF('Données projet'!$A$36&gt;35,N56+M57-V56,IF(A57&lt;'Données projet'!$A$36,$K$205^A57,IF(A57='Données projet'!$A$36,'Données projet'!$B$36,N56+M57-V56)))</f>
        <v>233.00000000000006</v>
      </c>
      <c r="O57" s="13">
        <f>N57*VLOOKUP('Données projet'!$B$9,Paramètres!$A$1:$I$89,3,0)*VLOOKUP('Données projet'!$B$9,Paramètres!$A$1:$I$89,5,0)</f>
        <v>199.91400000000007</v>
      </c>
      <c r="P57" s="13">
        <f t="shared" si="33"/>
        <v>49.725267055272241</v>
      </c>
      <c r="Q57" s="20">
        <f t="shared" si="53"/>
        <v>434.78839012126599</v>
      </c>
      <c r="R57" s="59">
        <f t="shared" si="0"/>
        <v>713.15755997488179</v>
      </c>
      <c r="S57" s="59">
        <f ca="1">AVERAGE(OFFSET($R$3,0,0,'Données projet'!$E$9+1,1))-AVERAGE(OFFSET($H$3,0,0,'Données projet'!$E$9+1,1))</f>
        <v>476.79071915271794</v>
      </c>
      <c r="T57" s="59">
        <f t="shared" si="34"/>
        <v>264.79929759351762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4.9562681334661045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4.9562681334661045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65.918864505531587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</v>
      </c>
      <c r="AI57" s="13">
        <f>IF('Données projet'!$A$62&gt;35,AI56+AH57-AQ56,IF(A57&lt;'Données projet'!$A$62,$AF$205^A57,IF(A57='Données projet'!$A$62,'Données projet'!$B$62,AI56+AH57-AQ56)))</f>
        <v>189.00000000000003</v>
      </c>
      <c r="AJ57" s="13">
        <f>AI57*VLOOKUP('Données projet'!$B$10,Paramètres!$A$1:$I$89,3,0)*VLOOKUP('Données projet'!$B$10,Paramètres!$A$1:$I$89,5,0)</f>
        <v>159.21360000000004</v>
      </c>
      <c r="AK57" s="13">
        <f t="shared" si="35"/>
        <v>40.665089859977108</v>
      </c>
      <c r="AL57" s="20">
        <f t="shared" si="4"/>
        <v>348.12205150612687</v>
      </c>
      <c r="AM57" s="59">
        <f t="shared" si="5"/>
        <v>626.49122135974267</v>
      </c>
      <c r="AN57" s="59">
        <f ca="1">AVERAGE(OFFSET($AM$3,0,0,'Données projet'!$E$10+1,1))-AVERAGE(OFFSET($H$3,0,0,'Données projet'!$E$10+1,1))</f>
        <v>365.104658862176</v>
      </c>
      <c r="AO57" s="59">
        <f t="shared" si="36"/>
        <v>226.29232910286325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5.012473561709518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5.012473561709518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65.918864505531587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</v>
      </c>
      <c r="BD57" s="12">
        <f>IF('Données projet'!$A$88&gt;35,BD56+BC57-BL56,IF(A57&lt;'Données projet'!$A$88,$BA$205^A57,IF(A57='Données projet'!$A$88,'Données projet'!$B$88,BD56+BC57-BL56)))</f>
        <v>189.00000000000003</v>
      </c>
      <c r="BE57" s="13">
        <f>BD57*VLOOKUP('Données projet'!$B$11,Paramètres!$A$1:$I$89,3,0)*VLOOKUP('Données projet'!$B$11,Paramètres!$A$1:$I$89,5,0)</f>
        <v>171.00720000000001</v>
      </c>
      <c r="BF57" s="13">
        <f t="shared" si="37"/>
        <v>43.315525267338089</v>
      </c>
      <c r="BG57" s="20">
        <f t="shared" si="7"/>
        <v>373.27874650728057</v>
      </c>
      <c r="BH57" s="59">
        <f t="shared" si="8"/>
        <v>651.64791636089637</v>
      </c>
      <c r="BI57" s="59">
        <f ca="1">AVERAGE(OFFSET($BH$3,0,0,'Données projet'!$E$11+1,1))-AVERAGE(OFFSET($H$3,0,0,'Données projet'!$E$11+1,1))</f>
        <v>388.12494342575195</v>
      </c>
      <c r="BJ57" s="59">
        <f t="shared" si="38"/>
        <v>239.39471445648454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5.3837678996139244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5.3837678996139244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65.918864505531587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</v>
      </c>
      <c r="BY57" s="12">
        <f>IF('Données projet'!$A$114&gt;35,BY56+BX57-CG56,IF(A57&lt;'Données projet'!$A$114,$BV$205^A57,IF(A57='Données projet'!$A$114,'Données projet'!$B$114,BY56+BX57-CG56)))</f>
        <v>189.00000000000003</v>
      </c>
      <c r="BZ57" s="13">
        <f>BY57*VLOOKUP('Données projet'!$B$12,Paramètres!$A$1:$I$89,3,0)*VLOOKUP('Données projet'!$B$12,Paramètres!$A$1:$I$89,5,0)</f>
        <v>191.64600000000004</v>
      </c>
      <c r="CA57" s="13">
        <f t="shared" si="39"/>
        <v>47.903677189291635</v>
      </c>
      <c r="CB57" s="20">
        <f t="shared" si="10"/>
        <v>417.21568777134962</v>
      </c>
      <c r="CC57" s="59">
        <f t="shared" si="11"/>
        <v>695.58485762496548</v>
      </c>
      <c r="CD57" s="59">
        <f ca="1">AVERAGE(OFFSET($CC$3,0,0,'Données projet'!$E$12+1,1))-AVERAGE(OFFSET($H$3,0,0,'Données projet'!$E$12+1,1))</f>
        <v>428.33148932885132</v>
      </c>
      <c r="CE57" s="59">
        <f t="shared" si="40"/>
        <v>262.27548054534373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6.0335329909466404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6.0335329909466404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65.918864505531587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5.6</v>
      </c>
      <c r="CT57" s="12">
        <f>IF('Données projet'!$A$140&gt;35,CT56+CS57-DB56,IF(A57&lt;'Données projet'!$A$140,$CQ$205^A57,IF(A57='Données projet'!$A$140,'Données projet'!$B$140,CT56+CS57-DB56)))</f>
        <v>129.39999999999995</v>
      </c>
      <c r="CU57" s="17">
        <f>CT57*VLOOKUP('Données projet'!$B$13,Paramètres!$A$1:$I$89,3,0)*VLOOKUP('Données projet'!$B$13,Paramètres!$A$1:$I$89,5,0)</f>
        <v>123.13703999999996</v>
      </c>
      <c r="CV57" s="13">
        <f t="shared" si="41"/>
        <v>32.40555984092714</v>
      </c>
      <c r="CW57" s="20">
        <f t="shared" si="13"/>
        <v>270.9033613896147</v>
      </c>
      <c r="CX57" s="59">
        <f t="shared" si="14"/>
        <v>549.27253124323056</v>
      </c>
      <c r="CY57" s="59">
        <f ca="1">AVERAGE(OFFSET($CX$3,0,0,'Données projet'!$E$13+1,1))-AVERAGE(OFFSET($H$3,0,0,'Données projet'!$E$13+1,1))</f>
        <v>307.62549820830162</v>
      </c>
      <c r="CZ57" s="59">
        <f t="shared" si="42"/>
        <v>160.26466014910304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3.1897735819593964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3.1897735819593964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65.918864505531587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6</v>
      </c>
      <c r="DO57" s="12">
        <f>IF('Données projet'!$A$166&gt;35,DO56+DN57-DW56,IF(A57&lt;'Données projet'!$A$166,$DL$205^A57,IF(A57='Données projet'!$A$166,'Données projet'!$B$166,DO56+DN57-DW56)))</f>
        <v>225.99999999999989</v>
      </c>
      <c r="DP57" s="17">
        <f>DO57*VLOOKUP('Données projet'!$B$14,Paramètres!$A$1:$I$89,3,0)*VLOOKUP('Données projet'!$B$14,Paramètres!$A$1:$I$89,5,0)</f>
        <v>179.80559999999991</v>
      </c>
      <c r="DQ57" s="13">
        <f t="shared" si="43"/>
        <v>45.278933028529984</v>
      </c>
      <c r="DR57" s="20">
        <f t="shared" si="16"/>
        <v>392.02222835802286</v>
      </c>
      <c r="DS57" s="59">
        <f t="shared" si="17"/>
        <v>670.39139821163872</v>
      </c>
      <c r="DT57" s="59">
        <f ca="1">AVERAGE(OFFSET($DS$3,0,0,'Données projet'!$E$14+1,1))-AVERAGE(OFFSET($H$3,0,0,'Données projet'!$E$14+1,1))</f>
        <v>309.14579005132464</v>
      </c>
      <c r="DU57" s="59">
        <f t="shared" si="44"/>
        <v>300.60311050289533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10.163515919691175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10.163515919691175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65.918864505531587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7.4</v>
      </c>
      <c r="EJ57" s="12">
        <f>IF('Données projet'!$A$192&gt;35,EJ56+EI57-ER56,IF(A57&lt;'Données projet'!$A$192,$EG$205^A57,IF(A57='Données projet'!$A$192,'Données projet'!$B$192,EJ56+EI57-ER56)))</f>
        <v>271.59999999999997</v>
      </c>
      <c r="EK57" s="17">
        <f>EJ57*VLOOKUP('Données projet'!$B$15,Paramètres!$A$1:$I$89,3,0)*VLOOKUP('Données projet'!$B$15,Paramètres!$A$1:$I$89,5,0)</f>
        <v>199.13711999999995</v>
      </c>
      <c r="EL57" s="13">
        <f t="shared" si="45"/>
        <v>49.554485124576232</v>
      </c>
      <c r="EM57" s="20">
        <f t="shared" si="19"/>
        <v>433.13787892530354</v>
      </c>
      <c r="EN57" s="59">
        <f t="shared" si="20"/>
        <v>711.5070487789194</v>
      </c>
      <c r="EO57" s="59">
        <f ca="1">AVERAGE(OFFSET($EN$3,0,0,'Données projet'!$E$15+1,1))-AVERAGE(OFFSET($H$3,0,0,'Données projet'!$E$15+1,1))</f>
        <v>338.59243085476896</v>
      </c>
      <c r="EP57" s="59">
        <f t="shared" si="46"/>
        <v>329.8393445823275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11.885374733363962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11.885374733363962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65.918864505531587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7.4</v>
      </c>
      <c r="FE57" s="12">
        <f>IF('Données projet'!$A$218&gt;35,FE56+FD57-FM56,IF(A57&lt;'Données projet'!$A$218,$FB$205^A57,IF(A57='Données projet'!$A$218,'Données projet'!$B$218,FE56+FD57-FM56)))</f>
        <v>271.59999999999997</v>
      </c>
      <c r="FF57" s="17">
        <f>FE57*VLOOKUP('Données projet'!$B$16,Paramètres!$A$1:$I$89,3,0)*VLOOKUP('Données projet'!$B$16,Paramètres!$A$1:$I$89,5,0)</f>
        <v>177.95231999999999</v>
      </c>
      <c r="FG57" s="13">
        <f t="shared" si="47"/>
        <v>44.866312182234566</v>
      </c>
      <c r="FH57" s="20">
        <f t="shared" si="22"/>
        <v>388.07578438405852</v>
      </c>
      <c r="FI57" s="59">
        <f t="shared" si="23"/>
        <v>666.44495423767432</v>
      </c>
      <c r="FJ57" s="59">
        <f ca="1">AVERAGE(OFFSET($FI$3,0,0,'Données projet'!$E$16+1,1))-AVERAGE(OFFSET($H$3,0,0,'Données projet'!$E$16+1,1))</f>
        <v>307.50573770128085</v>
      </c>
      <c r="FK57" s="59">
        <f t="shared" si="48"/>
        <v>300.2007312562655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10.620973165984816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10.620973165984816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65.918864505531587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7.4</v>
      </c>
      <c r="FZ57" s="12">
        <f>IF('Données projet'!$A$244&gt;35,FZ56+FY57-GH56,IF(A57&lt;'Données projet'!$A$244,$FW$205^A57,IF(A57='Données projet'!$A$244,'Données projet'!$B$244,FZ56+FY57-GH56)))</f>
        <v>271.59999999999997</v>
      </c>
      <c r="GA57" s="17">
        <f>FZ57*VLOOKUP('Données projet'!$B$17,Paramètres!$A$1:$I$89,3,0)*VLOOKUP('Données projet'!$B$17,Paramètres!$A$1:$I$89,5,0)</f>
        <v>220.32192000000001</v>
      </c>
      <c r="GB57" s="13">
        <f t="shared" si="49"/>
        <v>54.18484748666976</v>
      </c>
      <c r="GC57" s="20">
        <f t="shared" si="25"/>
        <v>478.09928670594991</v>
      </c>
      <c r="GD57" s="59">
        <f t="shared" si="26"/>
        <v>756.46845655956577</v>
      </c>
      <c r="GE57" s="59">
        <f ca="1">AVERAGE(OFFSET($GD$3,0,0,'Données projet'!$E$17+1,1))-AVERAGE(OFFSET($H$3,0,0,'Données projet'!$E$17+1,1))</f>
        <v>369.60865427618342</v>
      </c>
      <c r="GF57" s="59">
        <f t="shared" si="50"/>
        <v>359.40898775279197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13.149776300743103</v>
      </c>
      <c r="GM57" s="21">
        <f>EXP(-LN(2)/25)*GM56+(1-EXP(-LN(2)/25))/(LN(2)/25)*Calculateur!GH57*Calculateur!GJ57*VLOOKUP('Données projet'!$B$17,Paramètres!$A$1:$I$89,3,0)*0.475*44/12</f>
        <v>0</v>
      </c>
      <c r="GN57" s="21">
        <f>EXP(-LN(2)/2)*GN56+(1-EXP(-LN(2)/2))/(LN(2)/2)*GH57*GK57*VLOOKUP('Données projet'!$B$17,Paramètres!$A$1:$I$89,3,0)*0.475*44/12</f>
        <v>0</v>
      </c>
      <c r="GO57" s="21">
        <f t="shared" si="27"/>
        <v>13.149776300743103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65.918864505531587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6</v>
      </c>
      <c r="GU57" s="12">
        <f>IF('Données projet'!$A$270&gt;35,GU56+GT57-HC56,IF(A57&lt;'Données projet'!$A$270,$GR$205^A57,IF(A57='Données projet'!$A$270,'Données projet'!$B$270,GU56+GT57-HC56)))</f>
        <v>225.99999999999989</v>
      </c>
      <c r="GV57" s="17">
        <f>GU57*VLOOKUP('Données projet'!$B$18,Paramètres!$A$1:$I$89,3,0)*VLOOKUP('Données projet'!$B$18,Paramètres!$A$1:$I$89,5,0)</f>
        <v>148.07519999999991</v>
      </c>
      <c r="GW57" s="13">
        <f t="shared" si="51"/>
        <v>38.140839670017236</v>
      </c>
      <c r="GX57" s="20">
        <f t="shared" si="28"/>
        <v>324.32626909194659</v>
      </c>
      <c r="GY57" s="59">
        <f t="shared" si="29"/>
        <v>602.69543894556239</v>
      </c>
      <c r="GZ57" s="59">
        <f ca="1">AVERAGE(OFFSET($GY$3,0,0,'Données projet'!$E$18+1,1))-AVERAGE(OFFSET($H$3,0,0,'Données projet'!$E$18+1,1))</f>
        <v>262.62914256200031</v>
      </c>
      <c r="HA57" s="59">
        <f t="shared" si="52"/>
        <v>256.45129229594409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projet'!$B$18,Paramètres!$A$1:$I$89,3,0)*0.475*44/12</f>
        <v>6.7907176289168536</v>
      </c>
      <c r="HH57" s="21">
        <f>EXP(-LN(2)/25)*HH56+(1-EXP(-LN(2)/25))/(LN(2)/25)*Calculateur!HC57*Calculateur!HE57*VLOOKUP('Données projet'!$B$18,Paramètres!$A$1:$I$89,3,0)*0.475*44/12</f>
        <v>0</v>
      </c>
      <c r="HI57" s="21">
        <f>EXP(-LN(2)/2)*HI56+(1-EXP(-LN(2)/2))/(LN(2)/2)*HC57*HF57*VLOOKUP('Données projet'!$B$18,Paramètres!$A$1:$I$89,3,0)*0.475*44/12</f>
        <v>0</v>
      </c>
      <c r="HJ57" s="22">
        <f t="shared" si="30"/>
        <v>6.7907176289168536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2.1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7.7</v>
      </c>
      <c r="H58" s="67">
        <f t="shared" si="1"/>
        <v>225.86666666666665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65.989663082308539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244</v>
      </c>
      <c r="L58" s="12">
        <f>VLOOKUP(A58,'Données projet'!$A$35:$I$55,9,0)</f>
        <v>11</v>
      </c>
      <c r="M58" s="12">
        <f t="array" ref="M58">INDEX(L:L,MIN(IF(ISNUMBER(L58:L254),ROW(L58:L254),"")))</f>
        <v>11</v>
      </c>
      <c r="N58" s="13">
        <f>IF('Données projet'!$A$36&gt;35,N57+M58-V57,IF(A58&lt;'Données projet'!$A$36,$K$205^A58,IF(A58='Données projet'!$A$36,'Données projet'!$B$36,N57+M58-V57)))</f>
        <v>244.00000000000006</v>
      </c>
      <c r="O58" s="13">
        <f>N58*VLOOKUP('Données projet'!$B$9,Paramètres!$A$1:$I$89,3,0)*VLOOKUP('Données projet'!$B$9,Paramètres!$A$1:$I$89,5,0)</f>
        <v>209.35200000000009</v>
      </c>
      <c r="P58" s="13">
        <f t="shared" si="33"/>
        <v>51.793955935094402</v>
      </c>
      <c r="Q58" s="20">
        <f t="shared" si="53"/>
        <v>454.82920658695622</v>
      </c>
      <c r="R58" s="59">
        <f t="shared" si="0"/>
        <v>733.45797122208751</v>
      </c>
      <c r="S58" s="59">
        <f ca="1">AVERAGE(OFFSET($R$3,0,0,'Données projet'!$E$9+1,1))-AVERAGE(OFFSET($H$3,0,0,'Données projet'!$E$9+1,1))</f>
        <v>476.79071915271794</v>
      </c>
      <c r="T58" s="59">
        <f t="shared" si="34"/>
        <v>264.79929759351762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28</v>
      </c>
      <c r="W58" s="16">
        <f>IF(ISNA(VLOOKUP(A58,'Données projet'!$A$35:$I$55,5,0)),0%,VLOOKUP(A58,'Données projet'!$A$35:$I$55,5,0)*VLOOKUP('Données projet'!$B$9,Paramètres!$A$1:$I$89,7,0))</f>
        <v>0.159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9.0817721816599324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9.0817721816599324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65.989663082308539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197</v>
      </c>
      <c r="AG58" s="12">
        <f>VLOOKUP(A58,'Données projet'!$A$61:$I$81,9,0)</f>
        <v>8</v>
      </c>
      <c r="AH58" s="12">
        <f t="array" ref="AH58">INDEX(AG:AG,MIN(IF(ISNUMBER(AG58:AG254),ROW(AG58:AG254),"")))</f>
        <v>8</v>
      </c>
      <c r="AI58" s="13">
        <f>IF('Données projet'!$A$62&gt;35,AI57+AH58-AQ57,IF(A58&lt;'Données projet'!$A$62,$AF$205^A58,IF(A58='Données projet'!$A$62,'Données projet'!$B$62,AI57+AH58-AQ57)))</f>
        <v>197.00000000000003</v>
      </c>
      <c r="AJ58" s="13">
        <f>AI58*VLOOKUP('Données projet'!$B$10,Paramètres!$A$1:$I$89,3,0)*VLOOKUP('Données projet'!$B$10,Paramètres!$A$1:$I$89,5,0)</f>
        <v>165.95280000000005</v>
      </c>
      <c r="AK58" s="13">
        <f t="shared" si="35"/>
        <v>42.182318214665827</v>
      </c>
      <c r="AL58" s="20">
        <f t="shared" si="4"/>
        <v>362.50199755720973</v>
      </c>
      <c r="AM58" s="59">
        <f t="shared" si="5"/>
        <v>641.13076219234108</v>
      </c>
      <c r="AN58" s="59">
        <f ca="1">AVERAGE(OFFSET($AM$3,0,0,'Données projet'!$E$10+1,1))-AVERAGE(OFFSET($H$3,0,0,'Données projet'!$E$10+1,1))</f>
        <v>365.104658862176</v>
      </c>
      <c r="AO58" s="59">
        <f t="shared" si="36"/>
        <v>226.29232910286325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21</v>
      </c>
      <c r="AR58" s="16">
        <f>IF(ISNA(VLOOKUP(A58,'Données projet'!$A$61:$I$81,5,0)),0%,VLOOKUP(A58,'Données projet'!$A$61:$I$81,5,0)*VLOOKUP('Données projet'!$B$10,Paramètres!$A$1:$I$89,7,0))</f>
        <v>0.129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7.4369335155409555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7.4369335155409555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65.989663082308539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197</v>
      </c>
      <c r="BB58" s="12">
        <f>VLOOKUP(A58,'Données projet'!$A$87:$I$107,9,0)</f>
        <v>8</v>
      </c>
      <c r="BC58" s="12">
        <f t="array" ref="BC58">INDEX(BB:BB,MIN(IF(ISNUMBER(BB58:BB254),ROW(BB58:BB254),"")))</f>
        <v>8</v>
      </c>
      <c r="BD58" s="12">
        <f>IF('Données projet'!$A$88&gt;35,BD57+BC58-BL57,IF(A58&lt;'Données projet'!$A$88,$BA$205^A58,IF(A58='Données projet'!$A$88,'Données projet'!$B$88,BD57+BC58-BL57)))</f>
        <v>197.00000000000003</v>
      </c>
      <c r="BE58" s="13">
        <f>BD58*VLOOKUP('Données projet'!$B$11,Paramètres!$A$1:$I$89,3,0)*VLOOKUP('Données projet'!$B$11,Paramètres!$A$1:$I$89,5,0)</f>
        <v>178.24560000000002</v>
      </c>
      <c r="BF58" s="13">
        <f t="shared" si="37"/>
        <v>44.931642269910427</v>
      </c>
      <c r="BG58" s="20">
        <f t="shared" si="7"/>
        <v>388.70036362009404</v>
      </c>
      <c r="BH58" s="59">
        <f t="shared" si="8"/>
        <v>667.32912825522533</v>
      </c>
      <c r="BI58" s="59">
        <f ca="1">AVERAGE(OFFSET($BH$3,0,0,'Données projet'!$E$11+1,1))-AVERAGE(OFFSET($H$3,0,0,'Données projet'!$E$11+1,1))</f>
        <v>388.12494342575195</v>
      </c>
      <c r="BJ58" s="59">
        <f t="shared" si="38"/>
        <v>239.39471445648454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21</v>
      </c>
      <c r="BM58" s="16">
        <f>IF(ISNA(VLOOKUP(A58,'Données projet'!$A$87:$I$107,5,0)),0%,VLOOKUP(A58,'Données projet'!$A$87:$I$107,5,0)*VLOOKUP('Données projet'!$B$11,Paramètres!$A$1:$I$89,7,0))</f>
        <v>0.129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7.9878174796550976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7.9878174796550976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65.989663082308539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197</v>
      </c>
      <c r="BW58" s="12">
        <f>VLOOKUP(A58,'Données projet'!$A$113:$I$133,9,0)</f>
        <v>8</v>
      </c>
      <c r="BX58" s="12">
        <f t="array" ref="BX58">INDEX(BW:BW,MIN(IF(ISNUMBER(BW58:BW254),ROW(BW58:BW254),"")))</f>
        <v>8</v>
      </c>
      <c r="BY58" s="12">
        <f>IF('Données projet'!$A$114&gt;35,BY57+BX58-CG57,IF(A58&lt;'Données projet'!$A$114,$BV$205^A58,IF(A58='Données projet'!$A$114,'Données projet'!$B$114,BY57+BX58-CG57)))</f>
        <v>197.00000000000003</v>
      </c>
      <c r="BZ58" s="13">
        <f>BY58*VLOOKUP('Données projet'!$B$12,Paramètres!$A$1:$I$89,3,0)*VLOOKUP('Données projet'!$B$12,Paramètres!$A$1:$I$89,5,0)</f>
        <v>199.75800000000004</v>
      </c>
      <c r="CA58" s="13">
        <f t="shared" si="39"/>
        <v>49.690979702964015</v>
      </c>
      <c r="CB58" s="20">
        <f t="shared" si="10"/>
        <v>434.45697298266236</v>
      </c>
      <c r="CC58" s="59">
        <f t="shared" si="11"/>
        <v>713.08573761779371</v>
      </c>
      <c r="CD58" s="59">
        <f ca="1">AVERAGE(OFFSET($CC$3,0,0,'Données projet'!$E$12+1,1))-AVERAGE(OFFSET($H$3,0,0,'Données projet'!$E$12+1,1))</f>
        <v>428.33148932885132</v>
      </c>
      <c r="CE58" s="59">
        <f t="shared" si="40"/>
        <v>262.27548054534373</v>
      </c>
      <c r="CF58" s="15">
        <f>IF(ISNA(VLOOKUP(A58,'Données projet'!$A$113:$I$133,3,0)),0,VLOOKUP(A58,'Données projet'!$A$113:$I$133,3,0))</f>
        <v>8</v>
      </c>
      <c r="CG58" s="15">
        <f>IF(ISNA(VLOOKUP(A58,'Données projet'!$A$113:$I$133,4,0)),0,VLOOKUP(A58,'Données projet'!$A$113:$I$133,4,0))</f>
        <v>21</v>
      </c>
      <c r="CH58" s="16">
        <f>IF(ISNA(VLOOKUP(A58,'Données projet'!$A$113:$I$133,5,0)),0%,VLOOKUP(A58,'Données projet'!$A$113:$I$133,5,0)*VLOOKUP('Données projet'!$B$12,Paramètres!$A$1:$I$89,7,0))</f>
        <v>0.129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8.9518644168548498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8.9518644168548498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65.989663082308539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135</v>
      </c>
      <c r="CR58" s="12">
        <f>VLOOKUP(A58,'Données projet'!$A$139:$I$159,9,0)</f>
        <v>5.6</v>
      </c>
      <c r="CS58" s="12">
        <f t="array" ref="CS58">INDEX(CR:CR,MIN(IF(ISNUMBER(CR58:CR254),ROW(CR58:CR254),"")))</f>
        <v>5.6</v>
      </c>
      <c r="CT58" s="12">
        <f>IF('Données projet'!$A$140&gt;35,CT57+CS58-DB57,IF(A58&lt;'Données projet'!$A$140,$CQ$205^A58,IF(A58='Données projet'!$A$140,'Données projet'!$B$140,CT57+CS58-DB57)))</f>
        <v>134.99999999999994</v>
      </c>
      <c r="CU58" s="17">
        <f>CT58*VLOOKUP('Données projet'!$B$13,Paramètres!$A$1:$I$89,3,0)*VLOOKUP('Données projet'!$B$13,Paramètres!$A$1:$I$89,5,0)</f>
        <v>128.46599999999995</v>
      </c>
      <c r="CV58" s="13">
        <f t="shared" si="41"/>
        <v>33.64165246545825</v>
      </c>
      <c r="CW58" s="20">
        <f t="shared" si="13"/>
        <v>282.33749471067301</v>
      </c>
      <c r="CX58" s="59">
        <f t="shared" si="14"/>
        <v>560.96625934580425</v>
      </c>
      <c r="CY58" s="59">
        <f ca="1">AVERAGE(OFFSET($CX$3,0,0,'Données projet'!$E$13+1,1))-AVERAGE(OFFSET($H$3,0,0,'Données projet'!$E$13+1,1))</f>
        <v>307.62549820830162</v>
      </c>
      <c r="CZ58" s="59">
        <f t="shared" si="42"/>
        <v>160.26466014910304</v>
      </c>
      <c r="DA58" s="15">
        <f>IF(ISNA(VLOOKUP(A58,'Données projet'!$A$139:$I$159,3,0)),0,VLOOKUP(A58,'Données projet'!$A$139:$I$159,3,0))</f>
        <v>7</v>
      </c>
      <c r="DB58" s="15">
        <f>IF(ISNA(VLOOKUP(A58,'Données projet'!$A$139:$I$159,4,0)),0,VLOOKUP(A58,'Données projet'!$A$139:$I$159,4,0))</f>
        <v>14</v>
      </c>
      <c r="DC58" s="16">
        <f>IF(ISNA(VLOOKUP(A58,'Données projet'!$A$139:$I$159,5,0)),0%,VLOOKUP(A58,'Données projet'!$A$139:$I$159,5,0)*VLOOKUP('Données projet'!$B$13,Paramètres!$A$1:$I$89,7,0))</f>
        <v>0.129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5.0270739649603291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5.0270739649603291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65.989663082308539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232</v>
      </c>
      <c r="DM58" s="12">
        <f>VLOOKUP(A58,'Données projet'!$A$165:$I$185,9,0)</f>
        <v>6</v>
      </c>
      <c r="DN58" s="12">
        <f t="array" ref="DN58">INDEX(DM:DM,MIN(IF(ISNUMBER(DM58:DM254),ROW(DM58:DM254),"")))</f>
        <v>6</v>
      </c>
      <c r="DO58" s="12">
        <f>IF('Données projet'!$A$166&gt;35,DO57+DN58-DW57,IF(A58&lt;'Données projet'!$A$166,$DL$205^A58,IF(A58='Données projet'!$A$166,'Données projet'!$B$166,DO57+DN58-DW57)))</f>
        <v>231.99999999999989</v>
      </c>
      <c r="DP58" s="17">
        <f>DO58*VLOOKUP('Données projet'!$B$14,Paramètres!$A$1:$I$89,3,0)*VLOOKUP('Données projet'!$B$14,Paramètres!$A$1:$I$89,5,0)</f>
        <v>184.57919999999993</v>
      </c>
      <c r="DQ58" s="13">
        <f t="shared" si="43"/>
        <v>46.339479465836618</v>
      </c>
      <c r="DR58" s="20">
        <f t="shared" si="16"/>
        <v>402.18336673633195</v>
      </c>
      <c r="DS58" s="59">
        <f t="shared" si="17"/>
        <v>680.81213137146324</v>
      </c>
      <c r="DT58" s="59">
        <f ca="1">AVERAGE(OFFSET($DS$3,0,0,'Données projet'!$E$14+1,1))-AVERAGE(OFFSET($H$3,0,0,'Données projet'!$E$14+1,1))</f>
        <v>309.14579005132464</v>
      </c>
      <c r="DU58" s="59">
        <f t="shared" si="44"/>
        <v>300.60311050289533</v>
      </c>
      <c r="DV58" s="15">
        <f>IF(ISNA(VLOOKUP(A58,'Données projet'!$A$165:$I$185,3,0)),0,VLOOKUP(A58,'Données projet'!$A$165:$I$185,3,0))</f>
        <v>9</v>
      </c>
      <c r="DW58" s="15">
        <f>IF(ISNA(VLOOKUP(A58,'Données projet'!$A$165:$I$185,4,0)),0,VLOOKUP(A58,'Données projet'!$A$165:$I$185,4,0))</f>
        <v>13</v>
      </c>
      <c r="DX58" s="16">
        <f>IF(ISNA(VLOOKUP(A58,'Données projet'!$A$165:$I$185,5,0)),0%,VLOOKUP(A58,'Données projet'!$A$165:$I$185,5,0)*VLOOKUP('Données projet'!$B$14,Paramètres!$A$1:$I$89,7,0))</f>
        <v>0.21200000000000002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12.38815128842251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12.38815128842251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65.989663082308539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279</v>
      </c>
      <c r="EH58" s="12">
        <f>VLOOKUP(A58,'Données projet'!$A$191:$I$211,9,0)</f>
        <v>7.4</v>
      </c>
      <c r="EI58" s="12">
        <f t="array" ref="EI58">INDEX(EH:EH,MIN(IF(ISNUMBER(EH58:EH254),ROW(EH58:EH254),"")))</f>
        <v>7.4</v>
      </c>
      <c r="EJ58" s="12">
        <f>IF('Données projet'!$A$192&gt;35,EJ57+EI58-ER57,IF(A58&lt;'Données projet'!$A$192,$EG$205^A58,IF(A58='Données projet'!$A$192,'Données projet'!$B$192,EJ57+EI58-ER57)))</f>
        <v>278.99999999999994</v>
      </c>
      <c r="EK58" s="17">
        <f>EJ58*VLOOKUP('Données projet'!$B$15,Paramètres!$A$1:$I$89,3,0)*VLOOKUP('Données projet'!$B$15,Paramètres!$A$1:$I$89,5,0)</f>
        <v>204.56279999999995</v>
      </c>
      <c r="EL58" s="13">
        <f t="shared" si="45"/>
        <v>50.74561278586372</v>
      </c>
      <c r="EM58" s="20">
        <f t="shared" si="19"/>
        <v>444.66215226871259</v>
      </c>
      <c r="EN58" s="59">
        <f t="shared" si="20"/>
        <v>723.29091690384394</v>
      </c>
      <c r="EO58" s="59">
        <f ca="1">AVERAGE(OFFSET($EN$3,0,0,'Données projet'!$E$15+1,1))-AVERAGE(OFFSET($H$3,0,0,'Données projet'!$E$15+1,1))</f>
        <v>338.59243085476896</v>
      </c>
      <c r="EP58" s="59">
        <f t="shared" si="46"/>
        <v>329.8393445823275</v>
      </c>
      <c r="EQ58" s="15">
        <f>IF(ISNA(VLOOKUP(A58,'Données projet'!$A$191:$I$211,3,0)),0,VLOOKUP(A58,'Données projet'!$A$191:$I$211,3,0))</f>
        <v>10</v>
      </c>
      <c r="ER58" s="15">
        <f>IF(ISNA(VLOOKUP(A58,'Données projet'!$A$191:$I$211,4,0)),0,VLOOKUP(A58,'Données projet'!$A$191:$I$211,4,0))</f>
        <v>16</v>
      </c>
      <c r="ES58" s="16">
        <f>IF(ISNA(VLOOKUP(A58,'Données projet'!$A$191:$I$211,5,0)),0%,VLOOKUP(A58,'Données projet'!$A$191:$I$211,5,0)*VLOOKUP('Données projet'!$B$15,Paramètres!$A$1:$I$89,7,0))</f>
        <v>0.17200000000000001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13.882890772222302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13.882890772222302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65.989663082308539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279</v>
      </c>
      <c r="FC58" s="12">
        <f>VLOOKUP(A58,'Données projet'!$A$217:$I$237,9,0)</f>
        <v>7.4</v>
      </c>
      <c r="FD58" s="12">
        <f t="array" ref="FD58">INDEX(FC:FC,MIN(IF(ISNUMBER(FC58:FC254),ROW(FC58:FC254),"")))</f>
        <v>7.4</v>
      </c>
      <c r="FE58" s="12">
        <f>IF('Données projet'!$A$218&gt;35,FE57+FD58-FM57,IF(A58&lt;'Données projet'!$A$218,$FB$205^A58,IF(A58='Données projet'!$A$218,'Données projet'!$B$218,FE57+FD58-FM57)))</f>
        <v>278.99999999999994</v>
      </c>
      <c r="FF58" s="17">
        <f>FE58*VLOOKUP('Données projet'!$B$16,Paramètres!$A$1:$I$89,3,0)*VLOOKUP('Données projet'!$B$16,Paramètres!$A$1:$I$89,5,0)</f>
        <v>182.80079999999998</v>
      </c>
      <c r="FG58" s="13">
        <f t="shared" si="47"/>
        <v>45.944751507471658</v>
      </c>
      <c r="FH58" s="20">
        <f t="shared" si="22"/>
        <v>398.39850220884642</v>
      </c>
      <c r="FI58" s="59">
        <f t="shared" si="23"/>
        <v>677.02726684397771</v>
      </c>
      <c r="FJ58" s="59">
        <f ca="1">AVERAGE(OFFSET($FI$3,0,0,'Données projet'!$E$16+1,1))-AVERAGE(OFFSET($H$3,0,0,'Données projet'!$E$16+1,1))</f>
        <v>307.50573770128085</v>
      </c>
      <c r="FK58" s="59">
        <f t="shared" si="48"/>
        <v>300.2007312562655</v>
      </c>
      <c r="FL58" s="15">
        <f>IF(ISNA(VLOOKUP(A58,'Données projet'!$A$217:$I$237,3,0)),0,VLOOKUP(A58,'Données projet'!$A$217:$I$237,3,0))</f>
        <v>10</v>
      </c>
      <c r="FM58" s="15">
        <f>IF(ISNA(VLOOKUP(A58,'Données projet'!$A$217:$I$237,4,0)),0,VLOOKUP(A58,'Données projet'!$A$217:$I$237,4,0))</f>
        <v>16</v>
      </c>
      <c r="FN58" s="16">
        <f>IF(ISNA(VLOOKUP(A58,'Données projet'!$A$217:$I$237,5,0)),0%,VLOOKUP(A58,'Données projet'!$A$217:$I$237,5,0)*VLOOKUP('Données projet'!$B$16,Paramètres!$A$1:$I$89,7,0))</f>
        <v>0.17200000000000001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12.405987498581631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12.405987498581631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65.989663082308539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>
        <f>VLOOKUP(A58,'Données projet'!$A$243:$I$263,2,0)</f>
        <v>279</v>
      </c>
      <c r="FX58" s="12">
        <f>VLOOKUP(A58,'Données projet'!$A$243:$I$263,9,0)</f>
        <v>7.4</v>
      </c>
      <c r="FY58" s="12">
        <f t="array" ref="FY58">INDEX(FX:FX,MIN(IF(ISNUMBER(FX58:FX254),ROW(FX58:FX254),"")))</f>
        <v>7.4</v>
      </c>
      <c r="FZ58" s="12">
        <f>IF('Données projet'!$A$244&gt;35,FZ57+FY58-GH57,IF(A58&lt;'Données projet'!$A$244,$FW$205^A58,IF(A58='Données projet'!$A$244,'Données projet'!$B$244,FZ57+FY58-GH57)))</f>
        <v>278.99999999999994</v>
      </c>
      <c r="GA58" s="17">
        <f>FZ58*VLOOKUP('Données projet'!$B$17,Paramètres!$A$1:$I$89,3,0)*VLOOKUP('Données projet'!$B$17,Paramètres!$A$1:$I$89,5,0)</f>
        <v>226.32479999999998</v>
      </c>
      <c r="GB58" s="13">
        <f t="shared" si="49"/>
        <v>55.48727390683667</v>
      </c>
      <c r="GC58" s="20">
        <f t="shared" si="25"/>
        <v>490.82269538774045</v>
      </c>
      <c r="GD58" s="59">
        <f t="shared" si="26"/>
        <v>769.45146002287174</v>
      </c>
      <c r="GE58" s="59">
        <f ca="1">AVERAGE(OFFSET($GD$3,0,0,'Données projet'!$E$17+1,1))-AVERAGE(OFFSET($H$3,0,0,'Données projet'!$E$17+1,1))</f>
        <v>369.60865427618342</v>
      </c>
      <c r="GF58" s="59">
        <f t="shared" si="50"/>
        <v>359.40898775279197</v>
      </c>
      <c r="GG58" s="15">
        <f>IF(ISNA(VLOOKUP(A58,'Données projet'!$A$243:$I$263,3,0)),0,VLOOKUP(A58,'Données projet'!$A$243:$I$263,3,0))</f>
        <v>10</v>
      </c>
      <c r="GH58" s="15">
        <f>IF(ISNA(VLOOKUP(A58,'Données projet'!$A$243:$I$263,4,0)),0,VLOOKUP(A58,'Données projet'!$A$243:$I$263,4,0))</f>
        <v>16</v>
      </c>
      <c r="GI58" s="16">
        <f>IF(ISNA(VLOOKUP(A58,'Données projet'!$A$243:$I$263,5,0)),0%,VLOOKUP(A58,'Données projet'!$A$243:$I$263,5,0)*VLOOKUP('Données projet'!$B$17,Paramètres!$A$1:$I$89,7,0))</f>
        <v>0.17200000000000001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15.359794045862968</v>
      </c>
      <c r="GM58" s="21">
        <f>EXP(-LN(2)/25)*GM57+(1-EXP(-LN(2)/25))/(LN(2)/25)*Calculateur!GH58*Calculateur!GJ58*VLOOKUP('Données projet'!$B$17,Paramètres!$A$1:$I$89,3,0)*0.475*44/12</f>
        <v>0</v>
      </c>
      <c r="GN58" s="21">
        <f>EXP(-LN(2)/2)*GN57+(1-EXP(-LN(2)/2))/(LN(2)/2)*GH58*GK58*VLOOKUP('Données projet'!$B$17,Paramètres!$A$1:$I$89,3,0)*0.475*44/12</f>
        <v>0</v>
      </c>
      <c r="GO58" s="21">
        <f t="shared" si="27"/>
        <v>15.359794045862968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65.989663082308539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>
        <f>VLOOKUP(A58,'Données projet'!$A$269:$I$289,2,0)</f>
        <v>232</v>
      </c>
      <c r="GS58" s="12">
        <f>VLOOKUP(A58,'Données projet'!$A$269:$I$289,9,0)</f>
        <v>6</v>
      </c>
      <c r="GT58" s="12">
        <f t="array" ref="GT58">INDEX(GS:GS,MIN(IF(ISNUMBER(GS58:GS254),ROW(GS58:GS254),"")))</f>
        <v>6</v>
      </c>
      <c r="GU58" s="12">
        <f>IF('Données projet'!$A$270&gt;35,GU57+GT58-HC57,IF(A58&lt;'Données projet'!$A$270,$GR$205^A58,IF(A58='Données projet'!$A$270,'Données projet'!$B$270,GU57+GT58-HC57)))</f>
        <v>231.99999999999989</v>
      </c>
      <c r="GV58" s="17">
        <f>GU58*VLOOKUP('Données projet'!$B$18,Paramètres!$A$1:$I$89,3,0)*VLOOKUP('Données projet'!$B$18,Paramètres!$A$1:$I$89,5,0)</f>
        <v>152.00639999999993</v>
      </c>
      <c r="GW58" s="13">
        <f t="shared" si="51"/>
        <v>39.03419401656145</v>
      </c>
      <c r="GX58" s="20">
        <f t="shared" si="28"/>
        <v>332.72903457884439</v>
      </c>
      <c r="GY58" s="59">
        <f t="shared" si="29"/>
        <v>611.35779921397568</v>
      </c>
      <c r="GZ58" s="59">
        <f ca="1">AVERAGE(OFFSET($GY$3,0,0,'Données projet'!$E$18+1,1))-AVERAGE(OFFSET($H$3,0,0,'Données projet'!$E$18+1,1))</f>
        <v>262.62914256200031</v>
      </c>
      <c r="HA58" s="59">
        <f t="shared" si="52"/>
        <v>256.45129229594409</v>
      </c>
      <c r="HB58" s="15">
        <f>IF(ISNA(VLOOKUP(A58,'Données projet'!$A$269:$I$289,3,0)),0,VLOOKUP(A58,'Données projet'!$A$269:$I$289,3,0))</f>
        <v>9</v>
      </c>
      <c r="HC58" s="15">
        <f>IF(ISNA(VLOOKUP(A58,'Données projet'!$A$269:$I$289,4,0)),0,VLOOKUP(A58,'Données projet'!$A$269:$I$289,4,0))</f>
        <v>13</v>
      </c>
      <c r="HD58" s="16">
        <f>IF(ISNA(VLOOKUP(A58,'Données projet'!$A$269:$I$289,5,0)),0%,VLOOKUP(A58,'Données projet'!$A$269:$I$289,5,0)*VLOOKUP('Données projet'!$B$18,Paramètres!$A$1:$I$89,7,0))</f>
        <v>0.17200000000000001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>
        <f>EXP(-LN(2)/35)*HG57+(1-EXP(-LN(2)/35))/(LN(2)/35)*HC58*HD58*VLOOKUP('Données projet'!$B$18,Paramètres!$A$1:$I$89,3,0)*0.475*44/12</f>
        <v>8.2770999729526622</v>
      </c>
      <c r="HH58" s="21">
        <f>EXP(-LN(2)/25)*HH57+(1-EXP(-LN(2)/25))/(LN(2)/25)*Calculateur!HC58*Calculateur!HE58*VLOOKUP('Données projet'!$B$18,Paramètres!$A$1:$I$89,3,0)*0.475*44/12</f>
        <v>0</v>
      </c>
      <c r="HI58" s="21">
        <f>EXP(-LN(2)/2)*HI57+(1-EXP(-LN(2)/2))/(LN(2)/2)*HC58*HF58*VLOOKUP('Données projet'!$B$18,Paramètres!$A$1:$I$89,3,0)*0.475*44/12</f>
        <v>0</v>
      </c>
      <c r="HJ58" s="22">
        <f t="shared" si="30"/>
        <v>8.2770999729526622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2.1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7.7</v>
      </c>
      <c r="H59" s="67">
        <f t="shared" si="1"/>
        <v>225.86666666666665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66.059233462060291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10.8</v>
      </c>
      <c r="N59" s="13">
        <f>IF('Données projet'!$A$36&gt;35,N58+M59-V58,IF(A59&lt;'Données projet'!$A$36,$K$205^A59,IF(A59='Données projet'!$A$36,'Données projet'!$B$36,N58+M59-V58)))</f>
        <v>226.80000000000007</v>
      </c>
      <c r="O59" s="13">
        <f>N59*VLOOKUP('Données projet'!$B$9,Paramètres!$A$1:$I$89,3,0)*VLOOKUP('Données projet'!$B$9,Paramètres!$A$1:$I$89,5,0)</f>
        <v>194.59440000000009</v>
      </c>
      <c r="P59" s="13">
        <f t="shared" si="33"/>
        <v>48.554292648263498</v>
      </c>
      <c r="Q59" s="20">
        <f t="shared" si="53"/>
        <v>423.48397302905909</v>
      </c>
      <c r="R59" s="59">
        <f t="shared" si="0"/>
        <v>702.36782905661346</v>
      </c>
      <c r="S59" s="59">
        <f ca="1">AVERAGE(OFFSET($R$3,0,0,'Données projet'!$E$9+1,1))-AVERAGE(OFFSET($H$3,0,0,'Données projet'!$E$9+1,1))</f>
        <v>476.79071915271794</v>
      </c>
      <c r="T59" s="59">
        <f t="shared" si="34"/>
        <v>264.79929759351762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8.9036841685116475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8.9036841685116475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66.059233462060291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7.6</v>
      </c>
      <c r="AI59" s="13">
        <f>IF('Données projet'!$A$62&gt;35,AI58+AH59-AQ58,IF(A59&lt;'Données projet'!$A$62,$AF$205^A59,IF(A59='Données projet'!$A$62,'Données projet'!$B$62,AI58+AH59-AQ58)))</f>
        <v>183.60000000000002</v>
      </c>
      <c r="AJ59" s="13">
        <f>AI59*VLOOKUP('Données projet'!$B$10,Paramètres!$A$1:$I$89,3,0)*VLOOKUP('Données projet'!$B$10,Paramètres!$A$1:$I$89,5,0)</f>
        <v>154.66464000000005</v>
      </c>
      <c r="AK59" s="13">
        <f t="shared" si="35"/>
        <v>39.636745068698936</v>
      </c>
      <c r="AL59" s="20">
        <f t="shared" si="4"/>
        <v>338.40824566131738</v>
      </c>
      <c r="AM59" s="59">
        <f t="shared" si="5"/>
        <v>617.29210168887175</v>
      </c>
      <c r="AN59" s="59">
        <f ca="1">AVERAGE(OFFSET($AM$3,0,0,'Données projet'!$E$10+1,1))-AVERAGE(OFFSET($H$3,0,0,'Données projet'!$E$10+1,1))</f>
        <v>365.104658862176</v>
      </c>
      <c r="AO59" s="59">
        <f t="shared" si="36"/>
        <v>226.29232910286325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7.2910997853827411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7.2910997853827411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66.059233462060291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7.6</v>
      </c>
      <c r="BD59" s="12">
        <f>IF('Données projet'!$A$88&gt;35,BD58+BC59-BL58,IF(A59&lt;'Données projet'!$A$88,$BA$205^A59,IF(A59='Données projet'!$A$88,'Données projet'!$B$88,BD58+BC59-BL58)))</f>
        <v>183.60000000000002</v>
      </c>
      <c r="BE59" s="13">
        <f>BD59*VLOOKUP('Données projet'!$B$11,Paramètres!$A$1:$I$89,3,0)*VLOOKUP('Données projet'!$B$11,Paramètres!$A$1:$I$89,5,0)</f>
        <v>166.12128000000001</v>
      </c>
      <c r="BF59" s="13">
        <f t="shared" si="37"/>
        <v>42.220155874487318</v>
      </c>
      <c r="BG59" s="20">
        <f t="shared" si="7"/>
        <v>362.86133414806545</v>
      </c>
      <c r="BH59" s="59">
        <f t="shared" si="8"/>
        <v>641.74519017561988</v>
      </c>
      <c r="BI59" s="59">
        <f ca="1">AVERAGE(OFFSET($BH$3,0,0,'Données projet'!$E$11+1,1))-AVERAGE(OFFSET($H$3,0,0,'Données projet'!$E$11+1,1))</f>
        <v>388.12494342575195</v>
      </c>
      <c r="BJ59" s="59">
        <f t="shared" si="38"/>
        <v>239.39471445648454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7.8311812509666447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7.8311812509666447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66.059233462060291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7.6</v>
      </c>
      <c r="BY59" s="12">
        <f>IF('Données projet'!$A$114&gt;35,BY58+BX59-CG58,IF(A59&lt;'Données projet'!$A$114,$BV$205^A59,IF(A59='Données projet'!$A$114,'Données projet'!$B$114,BY58+BX59-CG58)))</f>
        <v>183.60000000000002</v>
      </c>
      <c r="BZ59" s="13">
        <f>BY59*VLOOKUP('Données projet'!$B$12,Paramètres!$A$1:$I$89,3,0)*VLOOKUP('Données projet'!$B$12,Paramètres!$A$1:$I$89,5,0)</f>
        <v>186.17040000000003</v>
      </c>
      <c r="CA59" s="13">
        <f t="shared" si="39"/>
        <v>46.692281933796018</v>
      </c>
      <c r="CB59" s="20">
        <f t="shared" si="10"/>
        <v>405.56917103469476</v>
      </c>
      <c r="CC59" s="59">
        <f t="shared" si="11"/>
        <v>684.45302706224913</v>
      </c>
      <c r="CD59" s="59">
        <f ca="1">AVERAGE(OFFSET($CC$3,0,0,'Données projet'!$E$12+1,1))-AVERAGE(OFFSET($H$3,0,0,'Données projet'!$E$12+1,1))</f>
        <v>428.33148932885132</v>
      </c>
      <c r="CE59" s="59">
        <f t="shared" si="40"/>
        <v>262.27548054534373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8.7763238157384809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8.7763238157384809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66.059233462060291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5.4</v>
      </c>
      <c r="CT59" s="12">
        <f>IF('Données projet'!$A$140&gt;35,CT58+CS59-DB58,IF(A59&lt;'Données projet'!$A$140,$CQ$205^A59,IF(A59='Données projet'!$A$140,'Données projet'!$B$140,CT58+CS59-DB58)))</f>
        <v>126.39999999999995</v>
      </c>
      <c r="CU59" s="17">
        <f>CT59*VLOOKUP('Données projet'!$B$13,Paramètres!$A$1:$I$89,3,0)*VLOOKUP('Données projet'!$B$13,Paramètres!$A$1:$I$89,5,0)</f>
        <v>120.28223999999996</v>
      </c>
      <c r="CV59" s="13">
        <f t="shared" si="41"/>
        <v>31.74081813615641</v>
      </c>
      <c r="CW59" s="20">
        <f t="shared" si="13"/>
        <v>264.77349292047239</v>
      </c>
      <c r="CX59" s="59">
        <f t="shared" si="14"/>
        <v>543.65734894802677</v>
      </c>
      <c r="CY59" s="59">
        <f ca="1">AVERAGE(OFFSET($CX$3,0,0,'Données projet'!$E$13+1,1))-AVERAGE(OFFSET($H$3,0,0,'Données projet'!$E$13+1,1))</f>
        <v>307.62549820830162</v>
      </c>
      <c r="CZ59" s="59">
        <f t="shared" si="42"/>
        <v>160.26466014910304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4.928496110719812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4.928496110719812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66.059233462060291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5.2</v>
      </c>
      <c r="DO59" s="12">
        <f>IF('Données projet'!$A$166&gt;35,DO58+DN59-DW58,IF(A59&lt;'Données projet'!$A$166,$DL$205^A59,IF(A59='Données projet'!$A$166,'Données projet'!$B$166,DO58+DN59-DW58)))</f>
        <v>224.19999999999987</v>
      </c>
      <c r="DP59" s="17">
        <f>DO59*VLOOKUP('Données projet'!$B$14,Paramètres!$A$1:$I$89,3,0)*VLOOKUP('Données projet'!$B$14,Paramètres!$A$1:$I$89,5,0)</f>
        <v>178.37351999999993</v>
      </c>
      <c r="DQ59" s="13">
        <f t="shared" si="43"/>
        <v>44.960133388294842</v>
      </c>
      <c r="DR59" s="20">
        <f t="shared" si="16"/>
        <v>388.97277965128006</v>
      </c>
      <c r="DS59" s="59">
        <f t="shared" si="17"/>
        <v>667.85663567883444</v>
      </c>
      <c r="DT59" s="59">
        <f ca="1">AVERAGE(OFFSET($DS$3,0,0,'Données projet'!$E$14+1,1))-AVERAGE(OFFSET($H$3,0,0,'Données projet'!$E$14+1,1))</f>
        <v>309.14579005132464</v>
      </c>
      <c r="DU59" s="59">
        <f t="shared" si="44"/>
        <v>300.60311050289533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12.145227197682734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12.145227197682734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66.059233462060291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6.2</v>
      </c>
      <c r="EJ59" s="12">
        <f>IF('Données projet'!$A$192&gt;35,EJ58+EI59-ER58,IF(A59&lt;'Données projet'!$A$192,$EG$205^A59,IF(A59='Données projet'!$A$192,'Données projet'!$B$192,EJ58+EI59-ER58)))</f>
        <v>269.19999999999993</v>
      </c>
      <c r="EK59" s="17">
        <f>EJ59*VLOOKUP('Données projet'!$B$15,Paramètres!$A$1:$I$89,3,0)*VLOOKUP('Données projet'!$B$15,Paramètres!$A$1:$I$89,5,0)</f>
        <v>197.37743999999995</v>
      </c>
      <c r="EL59" s="13">
        <f t="shared" si="45"/>
        <v>49.167366395757924</v>
      </c>
      <c r="EM59" s="20">
        <f t="shared" si="19"/>
        <v>429.39887113927824</v>
      </c>
      <c r="EN59" s="59">
        <f t="shared" si="20"/>
        <v>708.28272716683261</v>
      </c>
      <c r="EO59" s="59">
        <f ca="1">AVERAGE(OFFSET($EN$3,0,0,'Données projet'!$E$15+1,1))-AVERAGE(OFFSET($H$3,0,0,'Données projet'!$E$15+1,1))</f>
        <v>338.59243085476896</v>
      </c>
      <c r="EP59" s="59">
        <f t="shared" si="46"/>
        <v>329.8393445823275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13.610655751906275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13.610655751906275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66.059233462060291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6.2</v>
      </c>
      <c r="FE59" s="12">
        <f>IF('Données projet'!$A$218&gt;35,FE58+FD59-FM58,IF(A59&lt;'Données projet'!$A$218,$FB$205^A59,IF(A59='Données projet'!$A$218,'Données projet'!$B$218,FE58+FD59-FM58)))</f>
        <v>269.19999999999993</v>
      </c>
      <c r="FF59" s="17">
        <f>FE59*VLOOKUP('Données projet'!$B$16,Paramètres!$A$1:$I$89,3,0)*VLOOKUP('Données projet'!$B$16,Paramètres!$A$1:$I$89,5,0)</f>
        <v>176.37983999999994</v>
      </c>
      <c r="FG59" s="13">
        <f t="shared" si="47"/>
        <v>44.51581737444701</v>
      </c>
      <c r="FH59" s="20">
        <f t="shared" si="22"/>
        <v>384.7266032604951</v>
      </c>
      <c r="FI59" s="59">
        <f t="shared" si="23"/>
        <v>663.61045928804947</v>
      </c>
      <c r="FJ59" s="59">
        <f ca="1">AVERAGE(OFFSET($FI$3,0,0,'Données projet'!$E$16+1,1))-AVERAGE(OFFSET($H$3,0,0,'Données projet'!$E$16+1,1))</f>
        <v>307.50573770128085</v>
      </c>
      <c r="FK59" s="59">
        <f t="shared" si="48"/>
        <v>300.2007312562655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12.162713650639649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12.162713650639649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66.059233462060291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6.2</v>
      </c>
      <c r="FZ59" s="12">
        <f>IF('Données projet'!$A$244&gt;35,FZ58+FY59-GH58,IF(A59&lt;'Données projet'!$A$244,$FW$205^A59,IF(A59='Données projet'!$A$244,'Données projet'!$B$244,FZ58+FY59-GH58)))</f>
        <v>269.19999999999993</v>
      </c>
      <c r="GA59" s="17">
        <f>FZ59*VLOOKUP('Données projet'!$B$17,Paramètres!$A$1:$I$89,3,0)*VLOOKUP('Données projet'!$B$17,Paramètres!$A$1:$I$89,5,0)</f>
        <v>218.37503999999998</v>
      </c>
      <c r="GB59" s="13">
        <f t="shared" si="49"/>
        <v>53.761556452013281</v>
      </c>
      <c r="GC59" s="20">
        <f t="shared" si="25"/>
        <v>473.97123882058969</v>
      </c>
      <c r="GD59" s="59">
        <f t="shared" si="26"/>
        <v>752.85509484814406</v>
      </c>
      <c r="GE59" s="59">
        <f ca="1">AVERAGE(OFFSET($GD$3,0,0,'Données projet'!$E$17+1,1))-AVERAGE(OFFSET($H$3,0,0,'Données projet'!$E$17+1,1))</f>
        <v>369.60865427618342</v>
      </c>
      <c r="GF59" s="59">
        <f t="shared" si="50"/>
        <v>359.40898775279197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15.058597853172895</v>
      </c>
      <c r="GM59" s="21">
        <f>EXP(-LN(2)/25)*GM58+(1-EXP(-LN(2)/25))/(LN(2)/25)*Calculateur!GH59*Calculateur!GJ59*VLOOKUP('Données projet'!$B$17,Paramètres!$A$1:$I$89,3,0)*0.475*44/12</f>
        <v>0</v>
      </c>
      <c r="GN59" s="21">
        <f>EXP(-LN(2)/2)*GN58+(1-EXP(-LN(2)/2))/(LN(2)/2)*GH59*GK59*VLOOKUP('Données projet'!$B$17,Paramètres!$A$1:$I$89,3,0)*0.475*44/12</f>
        <v>0</v>
      </c>
      <c r="GO59" s="21">
        <f t="shared" si="27"/>
        <v>15.058597853172895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66.059233462060291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5.2</v>
      </c>
      <c r="GU59" s="12">
        <f>IF('Données projet'!$A$270&gt;35,GU58+GT59-HC58,IF(A59&lt;'Données projet'!$A$270,$GR$205^A59,IF(A59='Données projet'!$A$270,'Données projet'!$B$270,GU58+GT59-HC58)))</f>
        <v>224.19999999999987</v>
      </c>
      <c r="GV59" s="17">
        <f>GU59*VLOOKUP('Données projet'!$B$18,Paramètres!$A$1:$I$89,3,0)*VLOOKUP('Données projet'!$B$18,Paramètres!$A$1:$I$89,5,0)</f>
        <v>146.89583999999991</v>
      </c>
      <c r="GW59" s="13">
        <f t="shared" si="51"/>
        <v>37.872297874710249</v>
      </c>
      <c r="GX59" s="20">
        <f t="shared" si="28"/>
        <v>321.80450679845353</v>
      </c>
      <c r="GY59" s="59">
        <f t="shared" si="29"/>
        <v>600.68836282600796</v>
      </c>
      <c r="GZ59" s="59">
        <f ca="1">AVERAGE(OFFSET($GY$3,0,0,'Données projet'!$E$18+1,1))-AVERAGE(OFFSET($H$3,0,0,'Données projet'!$E$18+1,1))</f>
        <v>262.62914256200031</v>
      </c>
      <c r="HA59" s="59">
        <f t="shared" si="52"/>
        <v>256.45129229594409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>
        <f>EXP(-LN(2)/35)*HG58+(1-EXP(-LN(2)/35))/(LN(2)/35)*HC59*HD59*VLOOKUP('Données projet'!$B$18,Paramètres!$A$1:$I$89,3,0)*0.475*44/12</f>
        <v>8.1147910910155421</v>
      </c>
      <c r="HH59" s="21">
        <f>EXP(-LN(2)/25)*HH58+(1-EXP(-LN(2)/25))/(LN(2)/25)*Calculateur!HC59*Calculateur!HE59*VLOOKUP('Données projet'!$B$18,Paramètres!$A$1:$I$89,3,0)*0.475*44/12</f>
        <v>0</v>
      </c>
      <c r="HI59" s="21">
        <f>EXP(-LN(2)/2)*HI58+(1-EXP(-LN(2)/2))/(LN(2)/2)*HC59*HF59*VLOOKUP('Données projet'!$B$18,Paramètres!$A$1:$I$89,3,0)*0.475*44/12</f>
        <v>0</v>
      </c>
      <c r="HJ59" s="22">
        <f t="shared" si="30"/>
        <v>8.1147910910155421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2.1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7.7</v>
      </c>
      <c r="H60" s="67">
        <f t="shared" si="1"/>
        <v>225.86666666666665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66.127596951259449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10.8</v>
      </c>
      <c r="N60" s="13">
        <f>IF('Données projet'!$A$36&gt;35,N59+M60-V59,IF(A60&lt;'Données projet'!$A$36,$K$205^A60,IF(A60='Données projet'!$A$36,'Données projet'!$B$36,N59+M60-V59)))</f>
        <v>237.60000000000008</v>
      </c>
      <c r="O60" s="13">
        <f>N60*VLOOKUP('Données projet'!$B$9,Paramètres!$A$1:$I$89,3,0)*VLOOKUP('Données projet'!$B$9,Paramètres!$A$1:$I$89,5,0)</f>
        <v>203.8608000000001</v>
      </c>
      <c r="P60" s="13">
        <f t="shared" si="33"/>
        <v>50.591708220421786</v>
      </c>
      <c r="Q60" s="20">
        <f t="shared" si="53"/>
        <v>443.17145181723475</v>
      </c>
      <c r="R60" s="59">
        <f t="shared" si="0"/>
        <v>722.30597397185272</v>
      </c>
      <c r="S60" s="59">
        <f ca="1">AVERAGE(OFFSET($R$3,0,0,'Données projet'!$E$9+1,1))-AVERAGE(OFFSET($H$3,0,0,'Données projet'!$E$9+1,1))</f>
        <v>476.79071915271794</v>
      </c>
      <c r="T60" s="59">
        <f t="shared" si="34"/>
        <v>264.79929759351762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8.7290883526782395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8.7290883526782395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66.127596951259449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7.6</v>
      </c>
      <c r="AI60" s="13">
        <f>IF('Données projet'!$A$62&gt;35,AI59+AH60-AQ59,IF(A60&lt;'Données projet'!$A$62,$AF$205^A60,IF(A60='Données projet'!$A$62,'Données projet'!$B$62,AI59+AH60-AQ59)))</f>
        <v>191.20000000000002</v>
      </c>
      <c r="AJ60" s="13">
        <f>AI60*VLOOKUP('Données projet'!$B$10,Paramètres!$A$1:$I$89,3,0)*VLOOKUP('Données projet'!$B$10,Paramètres!$A$1:$I$89,5,0)</f>
        <v>161.06688000000003</v>
      </c>
      <c r="AK60" s="13">
        <f t="shared" si="35"/>
        <v>41.083060013501324</v>
      </c>
      <c r="AL60" s="20">
        <f t="shared" si="4"/>
        <v>352.07781219018153</v>
      </c>
      <c r="AM60" s="59">
        <f t="shared" si="5"/>
        <v>631.2123343447995</v>
      </c>
      <c r="AN60" s="59">
        <f ca="1">AVERAGE(OFFSET($AM$3,0,0,'Données projet'!$E$10+1,1))-AVERAGE(OFFSET($H$3,0,0,'Données projet'!$E$10+1,1))</f>
        <v>365.104658862176</v>
      </c>
      <c r="AO60" s="59">
        <f t="shared" si="36"/>
        <v>226.29232910286325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7.1481257657231367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7.1481257657231367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66.127596951259449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7.6</v>
      </c>
      <c r="BD60" s="12">
        <f>IF('Données projet'!$A$88&gt;35,BD59+BC60-BL59,IF(A60&lt;'Données projet'!$A$88,$BA$205^A60,IF(A60='Données projet'!$A$88,'Données projet'!$B$88,BD59+BC60-BL59)))</f>
        <v>191.20000000000002</v>
      </c>
      <c r="BE60" s="13">
        <f>BD60*VLOOKUP('Données projet'!$B$11,Paramètres!$A$1:$I$89,3,0)*VLOOKUP('Données projet'!$B$11,Paramètres!$A$1:$I$89,5,0)</f>
        <v>172.99776</v>
      </c>
      <c r="BF60" s="13">
        <f t="shared" si="37"/>
        <v>43.760737531919609</v>
      </c>
      <c r="BG60" s="20">
        <f t="shared" si="7"/>
        <v>377.52104986809331</v>
      </c>
      <c r="BH60" s="59">
        <f t="shared" si="8"/>
        <v>656.65557202271134</v>
      </c>
      <c r="BI60" s="59">
        <f ca="1">AVERAGE(OFFSET($BH$3,0,0,'Données projet'!$E$11+1,1))-AVERAGE(OFFSET($H$3,0,0,'Données projet'!$E$11+1,1))</f>
        <v>388.12494342575195</v>
      </c>
      <c r="BJ60" s="59">
        <f t="shared" si="38"/>
        <v>239.39471445648454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7.6776165631841069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7.6776165631841069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66.127596951259449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7.6</v>
      </c>
      <c r="BY60" s="12">
        <f>IF('Données projet'!$A$114&gt;35,BY59+BX60-CG59,IF(A60&lt;'Données projet'!$A$114,$BV$205^A60,IF(A60='Données projet'!$A$114,'Données projet'!$B$114,BY59+BX60-CG59)))</f>
        <v>191.20000000000002</v>
      </c>
      <c r="BZ60" s="13">
        <f>BY60*VLOOKUP('Données projet'!$B$12,Paramètres!$A$1:$I$89,3,0)*VLOOKUP('Données projet'!$B$12,Paramètres!$A$1:$I$89,5,0)</f>
        <v>193.87680000000003</v>
      </c>
      <c r="CA60" s="13">
        <f t="shared" si="39"/>
        <v>48.396048099527611</v>
      </c>
      <c r="CB60" s="20">
        <f t="shared" si="10"/>
        <v>421.95854377334399</v>
      </c>
      <c r="CC60" s="59">
        <f t="shared" si="11"/>
        <v>701.09306592796202</v>
      </c>
      <c r="CD60" s="59">
        <f ca="1">AVERAGE(OFFSET($CC$3,0,0,'Données projet'!$E$12+1,1))-AVERAGE(OFFSET($H$3,0,0,'Données projet'!$E$12+1,1))</f>
        <v>428.33148932885132</v>
      </c>
      <c r="CE60" s="59">
        <f t="shared" si="40"/>
        <v>262.27548054534373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8.6042254587408085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8.6042254587408085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66.127596951259449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5.4</v>
      </c>
      <c r="CT60" s="12">
        <f>IF('Données projet'!$A$140&gt;35,CT59+CS60-DB59,IF(A60&lt;'Données projet'!$A$140,$CQ$205^A60,IF(A60='Données projet'!$A$140,'Données projet'!$B$140,CT59+CS60-DB59)))</f>
        <v>131.79999999999995</v>
      </c>
      <c r="CU60" s="17">
        <f>CT60*VLOOKUP('Données projet'!$B$13,Paramètres!$A$1:$I$89,3,0)*VLOOKUP('Données projet'!$B$13,Paramètres!$A$1:$I$89,5,0)</f>
        <v>125.42087999999995</v>
      </c>
      <c r="CV60" s="13">
        <f t="shared" si="41"/>
        <v>32.936061027273531</v>
      </c>
      <c r="CW60" s="20">
        <f t="shared" si="13"/>
        <v>275.80500562250131</v>
      </c>
      <c r="CX60" s="59">
        <f t="shared" si="14"/>
        <v>554.93952777711934</v>
      </c>
      <c r="CY60" s="59">
        <f ca="1">AVERAGE(OFFSET($CX$3,0,0,'Données projet'!$E$13+1,1))-AVERAGE(OFFSET($H$3,0,0,'Données projet'!$E$13+1,1))</f>
        <v>307.62549820830162</v>
      </c>
      <c r="CZ60" s="59">
        <f t="shared" si="42"/>
        <v>160.26466014910304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4.8318513080743974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4.8318513080743974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66.127596951259449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5.2</v>
      </c>
      <c r="DO60" s="12">
        <f>IF('Données projet'!$A$166&gt;35,DO59+DN60-DW59,IF(A60&lt;'Données projet'!$A$166,$DL$205^A60,IF(A60='Données projet'!$A$166,'Données projet'!$B$166,DO59+DN60-DW59)))</f>
        <v>229.39999999999986</v>
      </c>
      <c r="DP60" s="17">
        <f>DO60*VLOOKUP('Données projet'!$B$14,Paramètres!$A$1:$I$89,3,0)*VLOOKUP('Données projet'!$B$14,Paramètres!$A$1:$I$89,5,0)</f>
        <v>182.51063999999988</v>
      </c>
      <c r="DQ60" s="13">
        <f t="shared" si="43"/>
        <v>45.880306213791371</v>
      </c>
      <c r="DR60" s="20">
        <f t="shared" si="16"/>
        <v>397.78089798901971</v>
      </c>
      <c r="DS60" s="59">
        <f t="shared" si="17"/>
        <v>676.91542014363768</v>
      </c>
      <c r="DT60" s="59">
        <f ca="1">AVERAGE(OFFSET($DS$3,0,0,'Données projet'!$E$14+1,1))-AVERAGE(OFFSET($H$3,0,0,'Données projet'!$E$14+1,1))</f>
        <v>309.14579005132464</v>
      </c>
      <c r="DU60" s="59">
        <f t="shared" si="44"/>
        <v>300.60311050289533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11.907066700193301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11.907066700193301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66.127596951259449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6.2</v>
      </c>
      <c r="EJ60" s="12">
        <f>IF('Données projet'!$A$192&gt;35,EJ59+EI60-ER59,IF(A60&lt;'Données projet'!$A$192,$EG$205^A60,IF(A60='Données projet'!$A$192,'Données projet'!$B$192,EJ59+EI60-ER59)))</f>
        <v>275.39999999999992</v>
      </c>
      <c r="EK60" s="17">
        <f>EJ60*VLOOKUP('Données projet'!$B$15,Paramètres!$A$1:$I$89,3,0)*VLOOKUP('Données projet'!$B$15,Paramètres!$A$1:$I$89,5,0)</f>
        <v>201.92327999999995</v>
      </c>
      <c r="EL60" s="13">
        <f t="shared" si="45"/>
        <v>50.166610737265309</v>
      </c>
      <c r="EM60" s="20">
        <f t="shared" si="19"/>
        <v>439.05655970073695</v>
      </c>
      <c r="EN60" s="59">
        <f t="shared" si="20"/>
        <v>718.19108185535492</v>
      </c>
      <c r="EO60" s="59">
        <f ca="1">AVERAGE(OFFSET($EN$3,0,0,'Données projet'!$E$15+1,1))-AVERAGE(OFFSET($H$3,0,0,'Données projet'!$E$15+1,1))</f>
        <v>338.59243085476896</v>
      </c>
      <c r="EP60" s="59">
        <f t="shared" si="46"/>
        <v>329.8393445823275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13.343759094291679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13.343759094291679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66.127596951259449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6.2</v>
      </c>
      <c r="FE60" s="12">
        <f>IF('Données projet'!$A$218&gt;35,FE59+FD60-FM59,IF(A60&lt;'Données projet'!$A$218,$FB$205^A60,IF(A60='Données projet'!$A$218,'Données projet'!$B$218,FE59+FD60-FM59)))</f>
        <v>275.39999999999992</v>
      </c>
      <c r="FF60" s="17">
        <f>FE60*VLOOKUP('Données projet'!$B$16,Paramètres!$A$1:$I$89,3,0)*VLOOKUP('Données projet'!$B$16,Paramètres!$A$1:$I$89,5,0)</f>
        <v>180.44207999999995</v>
      </c>
      <c r="FG60" s="13">
        <f t="shared" si="47"/>
        <v>45.420526775820029</v>
      </c>
      <c r="FH60" s="20">
        <f t="shared" si="22"/>
        <v>393.37737346788646</v>
      </c>
      <c r="FI60" s="59">
        <f t="shared" si="23"/>
        <v>672.51189562250443</v>
      </c>
      <c r="FJ60" s="59">
        <f ca="1">AVERAGE(OFFSET($FI$3,0,0,'Données projet'!$E$16+1,1))-AVERAGE(OFFSET($H$3,0,0,'Données projet'!$E$16+1,1))</f>
        <v>307.50573770128085</v>
      </c>
      <c r="FK60" s="59">
        <f t="shared" si="48"/>
        <v>300.2007312562655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11.924210254473413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11.924210254473413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66.127596951259449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6.2</v>
      </c>
      <c r="FZ60" s="12">
        <f>IF('Données projet'!$A$244&gt;35,FZ59+FY60-GH59,IF(A60&lt;'Données projet'!$A$244,$FW$205^A60,IF(A60='Données projet'!$A$244,'Données projet'!$B$244,FZ59+FY60-GH59)))</f>
        <v>275.39999999999992</v>
      </c>
      <c r="GA60" s="17">
        <f>FZ60*VLOOKUP('Données projet'!$B$17,Paramètres!$A$1:$I$89,3,0)*VLOOKUP('Données projet'!$B$17,Paramètres!$A$1:$I$89,5,0)</f>
        <v>223.40447999999995</v>
      </c>
      <c r="GB60" s="13">
        <f t="shared" si="49"/>
        <v>54.854170008795911</v>
      </c>
      <c r="GC60" s="20">
        <f t="shared" si="25"/>
        <v>484.63381543198619</v>
      </c>
      <c r="GD60" s="59">
        <f t="shared" si="26"/>
        <v>763.76833758660416</v>
      </c>
      <c r="GE60" s="59">
        <f ca="1">AVERAGE(OFFSET($GD$3,0,0,'Données projet'!$E$17+1,1))-AVERAGE(OFFSET($H$3,0,0,'Données projet'!$E$17+1,1))</f>
        <v>369.60865427618342</v>
      </c>
      <c r="GF60" s="59">
        <f t="shared" si="50"/>
        <v>359.40898775279197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14.763307934109937</v>
      </c>
      <c r="GM60" s="21">
        <f>EXP(-LN(2)/25)*GM59+(1-EXP(-LN(2)/25))/(LN(2)/25)*Calculateur!GH60*Calculateur!GJ60*VLOOKUP('Données projet'!$B$17,Paramètres!$A$1:$I$89,3,0)*0.475*44/12</f>
        <v>0</v>
      </c>
      <c r="GN60" s="21">
        <f>EXP(-LN(2)/2)*GN59+(1-EXP(-LN(2)/2))/(LN(2)/2)*GH60*GK60*VLOOKUP('Données projet'!$B$17,Paramètres!$A$1:$I$89,3,0)*0.475*44/12</f>
        <v>0</v>
      </c>
      <c r="GO60" s="21">
        <f t="shared" si="27"/>
        <v>14.763307934109937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66.127596951259449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5.2</v>
      </c>
      <c r="GU60" s="12">
        <f>IF('Données projet'!$A$270&gt;35,GU59+GT60-HC59,IF(A60&lt;'Données projet'!$A$270,$GR$205^A60,IF(A60='Données projet'!$A$270,'Données projet'!$B$270,GU59+GT60-HC59)))</f>
        <v>229.39999999999986</v>
      </c>
      <c r="GV60" s="17">
        <f>GU60*VLOOKUP('Données projet'!$B$18,Paramètres!$A$1:$I$89,3,0)*VLOOKUP('Données projet'!$B$18,Paramètres!$A$1:$I$89,5,0)</f>
        <v>150.3028799999999</v>
      </c>
      <c r="GW60" s="13">
        <f t="shared" si="51"/>
        <v>38.647408104976812</v>
      </c>
      <c r="GX60" s="20">
        <f t="shared" si="28"/>
        <v>329.08841844950109</v>
      </c>
      <c r="GY60" s="59">
        <f t="shared" si="29"/>
        <v>608.222940604119</v>
      </c>
      <c r="GZ60" s="59">
        <f ca="1">AVERAGE(OFFSET($GY$3,0,0,'Données projet'!$E$18+1,1))-AVERAGE(OFFSET($H$3,0,0,'Données projet'!$E$18+1,1))</f>
        <v>262.62914256200031</v>
      </c>
      <c r="HA60" s="59">
        <f t="shared" si="52"/>
        <v>256.45129229594409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projet'!$B$18,Paramètres!$A$1:$I$89,3,0)*0.475*44/12</f>
        <v>7.9556649872545666</v>
      </c>
      <c r="HH60" s="21">
        <f>EXP(-LN(2)/25)*HH59+(1-EXP(-LN(2)/25))/(LN(2)/25)*Calculateur!HC60*Calculateur!HE60*VLOOKUP('Données projet'!$B$18,Paramètres!$A$1:$I$89,3,0)*0.475*44/12</f>
        <v>0</v>
      </c>
      <c r="HI60" s="21">
        <f>EXP(-LN(2)/2)*HI59+(1-EXP(-LN(2)/2))/(LN(2)/2)*HC60*HF60*VLOOKUP('Données projet'!$B$18,Paramètres!$A$1:$I$89,3,0)*0.475*44/12</f>
        <v>0</v>
      </c>
      <c r="HJ60" s="22">
        <f t="shared" si="30"/>
        <v>7.9556649872545666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2.1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7.7</v>
      </c>
      <c r="H61" s="67">
        <f t="shared" si="1"/>
        <v>225.86666666666665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66.194774486758845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10.8</v>
      </c>
      <c r="N61" s="13">
        <f>IF('Données projet'!$A$36&gt;35,N60+M61-V60,IF(A61&lt;'Données projet'!$A$36,$K$205^A61,IF(A61='Données projet'!$A$36,'Données projet'!$B$36,N60+M61-V60)))</f>
        <v>248.40000000000009</v>
      </c>
      <c r="O61" s="13">
        <f>N61*VLOOKUP('Données projet'!$B$9,Paramètres!$A$1:$I$89,3,0)*VLOOKUP('Données projet'!$B$9,Paramètres!$A$1:$I$89,5,0)</f>
        <v>213.1272000000001</v>
      </c>
      <c r="P61" s="13">
        <f t="shared" si="33"/>
        <v>52.618368568459893</v>
      </c>
      <c r="Q61" s="20">
        <f t="shared" si="53"/>
        <v>462.84019859006776</v>
      </c>
      <c r="R61" s="59">
        <f t="shared" si="0"/>
        <v>742.2210383748502</v>
      </c>
      <c r="S61" s="59">
        <f ca="1">AVERAGE(OFFSET($R$3,0,0,'Données projet'!$E$9+1,1))-AVERAGE(OFFSET($H$3,0,0,'Données projet'!$E$9+1,1))</f>
        <v>476.79071915271794</v>
      </c>
      <c r="T61" s="59">
        <f t="shared" si="34"/>
        <v>264.79929759351762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8.557916254300391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8.557916254300391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66.194774486758845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7.6</v>
      </c>
      <c r="AI61" s="13">
        <f>IF('Données projet'!$A$62&gt;35,AI60+AH61-AQ60,IF(A61&lt;'Données projet'!$A$62,$AF$205^A61,IF(A61='Données projet'!$A$62,'Données projet'!$B$62,AI60+AH61-AQ60)))</f>
        <v>198.8</v>
      </c>
      <c r="AJ61" s="13">
        <f>AI61*VLOOKUP('Données projet'!$B$10,Paramètres!$A$1:$I$89,3,0)*VLOOKUP('Données projet'!$B$10,Paramètres!$A$1:$I$89,5,0)</f>
        <v>167.46912000000003</v>
      </c>
      <c r="AK61" s="13">
        <f t="shared" si="35"/>
        <v>42.52269677930262</v>
      </c>
      <c r="AL61" s="20">
        <f t="shared" si="4"/>
        <v>365.73574755728549</v>
      </c>
      <c r="AM61" s="59">
        <f t="shared" si="5"/>
        <v>645.11658734206799</v>
      </c>
      <c r="AN61" s="59">
        <f ca="1">AVERAGE(OFFSET($AM$3,0,0,'Données projet'!$E$10+1,1))-AVERAGE(OFFSET($H$3,0,0,'Données projet'!$E$10+1,1))</f>
        <v>365.104658862176</v>
      </c>
      <c r="AO61" s="59">
        <f t="shared" si="36"/>
        <v>226.29232910286325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7.0079553793835165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7.0079553793835165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66.194774486758845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7.6</v>
      </c>
      <c r="BD61" s="12">
        <f>IF('Données projet'!$A$88&gt;35,BD60+BC61-BL60,IF(A61&lt;'Données projet'!$A$88,$BA$205^A61,IF(A61='Données projet'!$A$88,'Données projet'!$B$88,BD60+BC61-BL60)))</f>
        <v>198.8</v>
      </c>
      <c r="BE61" s="13">
        <f>BD61*VLOOKUP('Données projet'!$B$11,Paramètres!$A$1:$I$89,3,0)*VLOOKUP('Données projet'!$B$11,Paramètres!$A$1:$I$89,5,0)</f>
        <v>179.87424000000001</v>
      </c>
      <c r="BF61" s="13">
        <f t="shared" si="37"/>
        <v>45.294205745553846</v>
      </c>
      <c r="BG61" s="20">
        <f t="shared" si="7"/>
        <v>392.16837634017293</v>
      </c>
      <c r="BH61" s="59">
        <f t="shared" si="8"/>
        <v>671.54921612495536</v>
      </c>
      <c r="BI61" s="59">
        <f ca="1">AVERAGE(OFFSET($BH$3,0,0,'Données projet'!$E$11+1,1))-AVERAGE(OFFSET($H$3,0,0,'Données projet'!$E$11+1,1))</f>
        <v>388.12494342575195</v>
      </c>
      <c r="BJ61" s="59">
        <f t="shared" si="38"/>
        <v>239.39471445648454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7.5270631852637742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7.5270631852637742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66.194774486758845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7.6</v>
      </c>
      <c r="BY61" s="12">
        <f>IF('Données projet'!$A$114&gt;35,BY60+BX61-CG60,IF(A61&lt;'Données projet'!$A$114,$BV$205^A61,IF(A61='Données projet'!$A$114,'Données projet'!$B$114,BY60+BX61-CG60)))</f>
        <v>198.8</v>
      </c>
      <c r="BZ61" s="13">
        <f>BY61*VLOOKUP('Données projet'!$B$12,Paramètres!$A$1:$I$89,3,0)*VLOOKUP('Données projet'!$B$12,Paramètres!$A$1:$I$89,5,0)</f>
        <v>201.58320000000001</v>
      </c>
      <c r="CA61" s="13">
        <f t="shared" si="39"/>
        <v>50.091947337331924</v>
      </c>
      <c r="CB61" s="20">
        <f t="shared" si="10"/>
        <v>438.33421494585309</v>
      </c>
      <c r="CC61" s="59">
        <f t="shared" si="11"/>
        <v>717.71505473063553</v>
      </c>
      <c r="CD61" s="59">
        <f ca="1">AVERAGE(OFFSET($CC$3,0,0,'Données projet'!$E$12+1,1))-AVERAGE(OFFSET($H$3,0,0,'Données projet'!$E$12+1,1))</f>
        <v>428.33148932885132</v>
      </c>
      <c r="CE61" s="59">
        <f t="shared" si="40"/>
        <v>262.27548054534373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8.4355018455542279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8.4355018455542279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66.194774486758845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5.4</v>
      </c>
      <c r="CT61" s="12">
        <f>IF('Données projet'!$A$140&gt;35,CT60+CS61-DB60,IF(A61&lt;'Données projet'!$A$140,$CQ$205^A61,IF(A61='Données projet'!$A$140,'Données projet'!$B$140,CT60+CS61-DB60)))</f>
        <v>137.19999999999996</v>
      </c>
      <c r="CU61" s="17">
        <f>CT61*VLOOKUP('Données projet'!$B$13,Paramètres!$A$1:$I$89,3,0)*VLOOKUP('Données projet'!$B$13,Paramètres!$A$1:$I$89,5,0)</f>
        <v>130.55951999999996</v>
      </c>
      <c r="CV61" s="13">
        <f t="shared" si="41"/>
        <v>34.125615642317207</v>
      </c>
      <c r="CW61" s="20">
        <f t="shared" si="13"/>
        <v>286.82661124370242</v>
      </c>
      <c r="CX61" s="59">
        <f t="shared" si="14"/>
        <v>566.20745102848491</v>
      </c>
      <c r="CY61" s="59">
        <f ca="1">AVERAGE(OFFSET($CX$3,0,0,'Données projet'!$E$13+1,1))-AVERAGE(OFFSET($H$3,0,0,'Données projet'!$E$13+1,1))</f>
        <v>307.62549820830162</v>
      </c>
      <c r="CZ61" s="59">
        <f t="shared" si="42"/>
        <v>160.26466014910304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4.7371016510613506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4.7371016510613506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66.194774486758845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5.2</v>
      </c>
      <c r="DO61" s="12">
        <f>IF('Données projet'!$A$166&gt;35,DO60+DN61-DW60,IF(A61&lt;'Données projet'!$A$166,$DL$205^A61,IF(A61='Données projet'!$A$166,'Données projet'!$B$166,DO60+DN61-DW60)))</f>
        <v>234.59999999999985</v>
      </c>
      <c r="DP61" s="17">
        <f>DO61*VLOOKUP('Données projet'!$B$14,Paramètres!$A$1:$I$89,3,0)*VLOOKUP('Données projet'!$B$14,Paramètres!$A$1:$I$89,5,0)</f>
        <v>186.64775999999989</v>
      </c>
      <c r="DQ61" s="13">
        <f t="shared" si="43"/>
        <v>46.79805411155214</v>
      </c>
      <c r="DR61" s="20">
        <f t="shared" si="16"/>
        <v>406.58479291095313</v>
      </c>
      <c r="DS61" s="59">
        <f t="shared" si="17"/>
        <v>685.96563269573562</v>
      </c>
      <c r="DT61" s="59">
        <f ca="1">AVERAGE(OFFSET($DS$3,0,0,'Données projet'!$E$14+1,1))-AVERAGE(OFFSET($H$3,0,0,'Données projet'!$E$14+1,1))</f>
        <v>309.14579005132464</v>
      </c>
      <c r="DU61" s="59">
        <f t="shared" si="44"/>
        <v>300.60311050289533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11.673576384796077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11.673576384796077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66.194774486758845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6.2</v>
      </c>
      <c r="EJ61" s="12">
        <f>IF('Données projet'!$A$192&gt;35,EJ60+EI61-ER60,IF(A61&lt;'Données projet'!$A$192,$EG$205^A61,IF(A61='Données projet'!$A$192,'Données projet'!$B$192,EJ60+EI61-ER60)))</f>
        <v>281.59999999999991</v>
      </c>
      <c r="EK61" s="17">
        <f>EJ61*VLOOKUP('Données projet'!$B$15,Paramètres!$A$1:$I$89,3,0)*VLOOKUP('Données projet'!$B$15,Paramètres!$A$1:$I$89,5,0)</f>
        <v>206.46911999999992</v>
      </c>
      <c r="EL61" s="13">
        <f t="shared" si="45"/>
        <v>51.163239774028327</v>
      </c>
      <c r="EM61" s="20">
        <f t="shared" si="19"/>
        <v>448.70969327309916</v>
      </c>
      <c r="EN61" s="59">
        <f t="shared" si="20"/>
        <v>728.09053305788166</v>
      </c>
      <c r="EO61" s="59">
        <f ca="1">AVERAGE(OFFSET($EN$3,0,0,'Données projet'!$E$15+1,1))-AVERAGE(OFFSET($H$3,0,0,'Données projet'!$E$15+1,1))</f>
        <v>338.59243085476896</v>
      </c>
      <c r="EP61" s="59">
        <f t="shared" si="46"/>
        <v>329.8393445823275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13.082096117342019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13.082096117342019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66.194774486758845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6.2</v>
      </c>
      <c r="FE61" s="12">
        <f>IF('Données projet'!$A$218&gt;35,FE60+FD61-FM60,IF(A61&lt;'Données projet'!$A$218,$FB$205^A61,IF(A61='Données projet'!$A$218,'Données projet'!$B$218,FE60+FD61-FM60)))</f>
        <v>281.59999999999991</v>
      </c>
      <c r="FF61" s="17">
        <f>FE61*VLOOKUP('Données projet'!$B$16,Paramètres!$A$1:$I$89,3,0)*VLOOKUP('Données projet'!$B$16,Paramètres!$A$1:$I$89,5,0)</f>
        <v>184.50431999999995</v>
      </c>
      <c r="FG61" s="13">
        <f t="shared" si="47"/>
        <v>46.32286829709458</v>
      </c>
      <c r="FH61" s="20">
        <f t="shared" si="22"/>
        <v>402.02401961743959</v>
      </c>
      <c r="FI61" s="59">
        <f t="shared" si="23"/>
        <v>681.40485940222197</v>
      </c>
      <c r="FJ61" s="59">
        <f ca="1">AVERAGE(OFFSET($FI$3,0,0,'Données projet'!$E$16+1,1))-AVERAGE(OFFSET($H$3,0,0,'Données projet'!$E$16+1,1))</f>
        <v>307.50573770128085</v>
      </c>
      <c r="FK61" s="59">
        <f t="shared" si="48"/>
        <v>300.2007312562655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11.690383764433291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11.690383764433291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66.194774486758845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6.2</v>
      </c>
      <c r="FZ61" s="12">
        <f>IF('Données projet'!$A$244&gt;35,FZ60+FY61-GH60,IF(A61&lt;'Données projet'!$A$244,$FW$205^A61,IF(A61='Données projet'!$A$244,'Données projet'!$B$244,FZ60+FY61-GH60)))</f>
        <v>281.59999999999991</v>
      </c>
      <c r="GA61" s="17">
        <f>FZ61*VLOOKUP('Données projet'!$B$17,Paramètres!$A$1:$I$89,3,0)*VLOOKUP('Données projet'!$B$17,Paramètres!$A$1:$I$89,5,0)</f>
        <v>228.43391999999994</v>
      </c>
      <c r="GB61" s="13">
        <f t="shared" si="49"/>
        <v>55.943923887219448</v>
      </c>
      <c r="GC61" s="20">
        <f t="shared" si="25"/>
        <v>495.29141143690708</v>
      </c>
      <c r="GD61" s="59">
        <f t="shared" si="26"/>
        <v>774.67225122168952</v>
      </c>
      <c r="GE61" s="59">
        <f ca="1">AVERAGE(OFFSET($GD$3,0,0,'Données projet'!$E$17+1,1))-AVERAGE(OFFSET($H$3,0,0,'Données projet'!$E$17+1,1))</f>
        <v>369.60865427618342</v>
      </c>
      <c r="GF61" s="59">
        <f t="shared" si="50"/>
        <v>359.40898775279197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14.473808470250738</v>
      </c>
      <c r="GM61" s="21">
        <f>EXP(-LN(2)/25)*GM60+(1-EXP(-LN(2)/25))/(LN(2)/25)*Calculateur!GH61*Calculateur!GJ61*VLOOKUP('Données projet'!$B$17,Paramètres!$A$1:$I$89,3,0)*0.475*44/12</f>
        <v>0</v>
      </c>
      <c r="GN61" s="21">
        <f>EXP(-LN(2)/2)*GN60+(1-EXP(-LN(2)/2))/(LN(2)/2)*GH61*GK61*VLOOKUP('Données projet'!$B$17,Paramètres!$A$1:$I$89,3,0)*0.475*44/12</f>
        <v>0</v>
      </c>
      <c r="GO61" s="21">
        <f t="shared" si="27"/>
        <v>14.473808470250738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66.194774486758845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5.2</v>
      </c>
      <c r="GU61" s="12">
        <f>IF('Données projet'!$A$270&gt;35,GU60+GT61-HC60,IF(A61&lt;'Données projet'!$A$270,$GR$205^A61,IF(A61='Données projet'!$A$270,'Données projet'!$B$270,GU60+GT61-HC60)))</f>
        <v>234.59999999999985</v>
      </c>
      <c r="GV61" s="17">
        <f>GU61*VLOOKUP('Données projet'!$B$18,Paramètres!$A$1:$I$89,3,0)*VLOOKUP('Données projet'!$B$18,Paramètres!$A$1:$I$89,5,0)</f>
        <v>153.7099199999999</v>
      </c>
      <c r="GW61" s="13">
        <f t="shared" si="51"/>
        <v>39.420475690379796</v>
      </c>
      <c r="GX61" s="20">
        <f t="shared" si="28"/>
        <v>336.36877249407797</v>
      </c>
      <c r="GY61" s="59">
        <f t="shared" si="29"/>
        <v>615.74961227886047</v>
      </c>
      <c r="GZ61" s="59">
        <f ca="1">AVERAGE(OFFSET($GY$3,0,0,'Données projet'!$E$18+1,1))-AVERAGE(OFFSET($H$3,0,0,'Données projet'!$E$18+1,1))</f>
        <v>262.62914256200031</v>
      </c>
      <c r="HA61" s="59">
        <f t="shared" si="52"/>
        <v>256.45129229594409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>
        <f>EXP(-LN(2)/35)*HG60+(1-EXP(-LN(2)/35))/(LN(2)/35)*HC61*HD61*VLOOKUP('Données projet'!$B$18,Paramètres!$A$1:$I$89,3,0)*0.475*44/12</f>
        <v>7.7996592493310049</v>
      </c>
      <c r="HH61" s="21">
        <f>EXP(-LN(2)/25)*HH60+(1-EXP(-LN(2)/25))/(LN(2)/25)*Calculateur!HC61*Calculateur!HE61*VLOOKUP('Données projet'!$B$18,Paramètres!$A$1:$I$89,3,0)*0.475*44/12</f>
        <v>0</v>
      </c>
      <c r="HI61" s="21">
        <f>EXP(-LN(2)/2)*HI60+(1-EXP(-LN(2)/2))/(LN(2)/2)*HC61*HF61*VLOOKUP('Données projet'!$B$18,Paramètres!$A$1:$I$89,3,0)*0.475*44/12</f>
        <v>0</v>
      </c>
      <c r="HJ61" s="22">
        <f t="shared" si="30"/>
        <v>7.7996592493310049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2.1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7.7</v>
      </c>
      <c r="H62" s="67">
        <f t="shared" si="1"/>
        <v>225.86666666666665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66.260786642203797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10.8</v>
      </c>
      <c r="N62" s="13">
        <f>IF('Données projet'!$A$36&gt;35,N61+M62-V61,IF(A62&lt;'Données projet'!$A$36,$K$205^A62,IF(A62='Données projet'!$A$36,'Données projet'!$B$36,N61+M62-V61)))</f>
        <v>259.2000000000001</v>
      </c>
      <c r="O62" s="13">
        <f>N62*VLOOKUP('Données projet'!$B$9,Paramètres!$A$1:$I$89,3,0)*VLOOKUP('Données projet'!$B$9,Paramètres!$A$1:$I$89,5,0)</f>
        <v>222.39360000000011</v>
      </c>
      <c r="P62" s="13">
        <f t="shared" si="33"/>
        <v>54.634794757949287</v>
      </c>
      <c r="Q62" s="20">
        <f t="shared" si="53"/>
        <v>482.49112087009524</v>
      </c>
      <c r="R62" s="59">
        <f t="shared" si="0"/>
        <v>762.11400522484246</v>
      </c>
      <c r="S62" s="59">
        <f ca="1">AVERAGE(OFFSET($R$3,0,0,'Données projet'!$E$9+1,1))-AVERAGE(OFFSET($H$3,0,0,'Données projet'!$E$9+1,1))</f>
        <v>476.79071915271794</v>
      </c>
      <c r="T62" s="59">
        <f t="shared" si="34"/>
        <v>264.79929759351762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8.3901007363670619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8.3901007363670619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66.260786642203797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7.6</v>
      </c>
      <c r="AI62" s="13">
        <f>IF('Données projet'!$A$62&gt;35,AI61+AH62-AQ61,IF(A62&lt;'Données projet'!$A$62,$AF$205^A62,IF(A62='Données projet'!$A$62,'Données projet'!$B$62,AI61+AH62-AQ61)))</f>
        <v>206.4</v>
      </c>
      <c r="AJ62" s="13">
        <f>AI62*VLOOKUP('Données projet'!$B$10,Paramètres!$A$1:$I$89,3,0)*VLOOKUP('Données projet'!$B$10,Paramètres!$A$1:$I$89,5,0)</f>
        <v>173.87136000000004</v>
      </c>
      <c r="AK62" s="13">
        <f t="shared" si="35"/>
        <v>43.955939893839961</v>
      </c>
      <c r="AL62" s="20">
        <f t="shared" si="4"/>
        <v>379.38254731510466</v>
      </c>
      <c r="AM62" s="59">
        <f t="shared" si="5"/>
        <v>659.00543166985199</v>
      </c>
      <c r="AN62" s="59">
        <f ca="1">AVERAGE(OFFSET($AM$3,0,0,'Données projet'!$E$10+1,1))-AVERAGE(OFFSET($H$3,0,0,'Données projet'!$E$10+1,1))</f>
        <v>365.104658862176</v>
      </c>
      <c r="AO62" s="59">
        <f t="shared" si="36"/>
        <v>226.29232910286325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6.8705336488245221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6.8705336488245221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66.260786642203797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7.6</v>
      </c>
      <c r="BD62" s="12">
        <f>IF('Données projet'!$A$88&gt;35,BD61+BC62-BL61,IF(A62&lt;'Données projet'!$A$88,$BA$205^A62,IF(A62='Données projet'!$A$88,'Données projet'!$B$88,BD61+BC62-BL61)))</f>
        <v>206.4</v>
      </c>
      <c r="BE62" s="13">
        <f>BD62*VLOOKUP('Données projet'!$B$11,Paramètres!$A$1:$I$89,3,0)*VLOOKUP('Données projet'!$B$11,Paramètres!$A$1:$I$89,5,0)</f>
        <v>186.75072</v>
      </c>
      <c r="BF62" s="13">
        <f t="shared" si="37"/>
        <v>46.820863587839391</v>
      </c>
      <c r="BG62" s="20">
        <f t="shared" si="7"/>
        <v>406.80384141548689</v>
      </c>
      <c r="BH62" s="59">
        <f t="shared" si="8"/>
        <v>686.42672577023416</v>
      </c>
      <c r="BI62" s="59">
        <f ca="1">AVERAGE(OFFSET($BH$3,0,0,'Données projet'!$E$11+1,1))-AVERAGE(OFFSET($H$3,0,0,'Données projet'!$E$11+1,1))</f>
        <v>388.12494342575195</v>
      </c>
      <c r="BJ62" s="59">
        <f t="shared" si="38"/>
        <v>239.39471445648454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7.3794620672559654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7.3794620672559654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66.260786642203797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7.6</v>
      </c>
      <c r="BY62" s="12">
        <f>IF('Données projet'!$A$114&gt;35,BY61+BX62-CG61,IF(A62&lt;'Données projet'!$A$114,$BV$205^A62,IF(A62='Données projet'!$A$114,'Données projet'!$B$114,BY61+BX62-CG61)))</f>
        <v>206.4</v>
      </c>
      <c r="BZ62" s="13">
        <f>BY62*VLOOKUP('Données projet'!$B$12,Paramètres!$A$1:$I$89,3,0)*VLOOKUP('Données projet'!$B$12,Paramètres!$A$1:$I$89,5,0)</f>
        <v>209.28960000000001</v>
      </c>
      <c r="CA62" s="13">
        <f t="shared" si="39"/>
        <v>51.780314822292169</v>
      </c>
      <c r="CB62" s="20">
        <f t="shared" si="10"/>
        <v>454.69676831549214</v>
      </c>
      <c r="CC62" s="59">
        <f t="shared" si="11"/>
        <v>734.31965267023941</v>
      </c>
      <c r="CD62" s="59">
        <f ca="1">AVERAGE(OFFSET($CC$3,0,0,'Données projet'!$E$12+1,1))-AVERAGE(OFFSET($H$3,0,0,'Données projet'!$E$12+1,1))</f>
        <v>428.33148932885132</v>
      </c>
      <c r="CE62" s="59">
        <f t="shared" si="40"/>
        <v>262.27548054534373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8.2700867995109935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8.2700867995109935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66.260786642203797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5.4</v>
      </c>
      <c r="CT62" s="12">
        <f>IF('Données projet'!$A$140&gt;35,CT61+CS62-DB61,IF(A62&lt;'Données projet'!$A$140,$CQ$205^A62,IF(A62='Données projet'!$A$140,'Données projet'!$B$140,CT61+CS62-DB61)))</f>
        <v>142.59999999999997</v>
      </c>
      <c r="CU62" s="17">
        <f>CT62*VLOOKUP('Données projet'!$B$13,Paramètres!$A$1:$I$89,3,0)*VLOOKUP('Données projet'!$B$13,Paramètres!$A$1:$I$89,5,0)</f>
        <v>135.69815999999997</v>
      </c>
      <c r="CV62" s="13">
        <f t="shared" si="41"/>
        <v>35.309731483374598</v>
      </c>
      <c r="CW62" s="20">
        <f t="shared" si="13"/>
        <v>297.83874433354407</v>
      </c>
      <c r="CX62" s="59">
        <f t="shared" si="14"/>
        <v>577.46162868829128</v>
      </c>
      <c r="CY62" s="59">
        <f ca="1">AVERAGE(OFFSET($CX$3,0,0,'Données projet'!$E$13+1,1))-AVERAGE(OFFSET($H$3,0,0,'Données projet'!$E$13+1,1))</f>
        <v>307.62549820830162</v>
      </c>
      <c r="CZ62" s="59">
        <f t="shared" si="42"/>
        <v>160.26466014910304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4.6442099770307452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4.6442099770307452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66.260786642203797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5.2</v>
      </c>
      <c r="DO62" s="12">
        <f>IF('Données projet'!$A$166&gt;35,DO61+DN62-DW61,IF(A62&lt;'Données projet'!$A$166,$DL$205^A62,IF(A62='Données projet'!$A$166,'Données projet'!$B$166,DO61+DN62-DW61)))</f>
        <v>239.79999999999984</v>
      </c>
      <c r="DP62" s="17">
        <f>DO62*VLOOKUP('Données projet'!$B$14,Paramètres!$A$1:$I$89,3,0)*VLOOKUP('Données projet'!$B$14,Paramètres!$A$1:$I$89,5,0)</f>
        <v>190.78487999999987</v>
      </c>
      <c r="DQ62" s="13">
        <f t="shared" si="43"/>
        <v>47.713437020051622</v>
      </c>
      <c r="DR62" s="20">
        <f t="shared" si="16"/>
        <v>415.384568809923</v>
      </c>
      <c r="DS62" s="59">
        <f t="shared" si="17"/>
        <v>695.00745316467032</v>
      </c>
      <c r="DT62" s="59">
        <f ca="1">AVERAGE(OFFSET($DS$3,0,0,'Données projet'!$E$14+1,1))-AVERAGE(OFFSET($H$3,0,0,'Données projet'!$E$14+1,1))</f>
        <v>309.14579005132464</v>
      </c>
      <c r="DU62" s="59">
        <f t="shared" si="44"/>
        <v>300.60311050289533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11.444664672068761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11.444664672068761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66.260786642203797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6.2</v>
      </c>
      <c r="EJ62" s="12">
        <f>IF('Données projet'!$A$192&gt;35,EJ61+EI62-ER61,IF(A62&lt;'Données projet'!$A$192,$EG$205^A62,IF(A62='Données projet'!$A$192,'Données projet'!$B$192,EJ61+EI62-ER61)))</f>
        <v>287.7999999999999</v>
      </c>
      <c r="EK62" s="17">
        <f>EJ62*VLOOKUP('Données projet'!$B$15,Paramètres!$A$1:$I$89,3,0)*VLOOKUP('Données projet'!$B$15,Paramètres!$A$1:$I$89,5,0)</f>
        <v>211.01495999999992</v>
      </c>
      <c r="EL62" s="13">
        <f t="shared" si="45"/>
        <v>52.15731771796959</v>
      </c>
      <c r="EM62" s="20">
        <f t="shared" si="19"/>
        <v>458.35838369213019</v>
      </c>
      <c r="EN62" s="59">
        <f t="shared" si="20"/>
        <v>737.9812680468774</v>
      </c>
      <c r="EO62" s="59">
        <f ca="1">AVERAGE(OFFSET($EN$3,0,0,'Données projet'!$E$15+1,1))-AVERAGE(OFFSET($H$3,0,0,'Données projet'!$E$15+1,1))</f>
        <v>338.59243085476896</v>
      </c>
      <c r="EP62" s="59">
        <f t="shared" si="46"/>
        <v>329.8393445823275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12.825564191771683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12.825564191771683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66.260786642203797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6.2</v>
      </c>
      <c r="FE62" s="12">
        <f>IF('Données projet'!$A$218&gt;35,FE61+FD62-FM61,IF(A62&lt;'Données projet'!$A$218,$FB$205^A62,IF(A62='Données projet'!$A$218,'Données projet'!$B$218,FE61+FD62-FM61)))</f>
        <v>287.7999999999999</v>
      </c>
      <c r="FF62" s="17">
        <f>FE62*VLOOKUP('Données projet'!$B$16,Paramètres!$A$1:$I$89,3,0)*VLOOKUP('Données projet'!$B$16,Paramètres!$A$1:$I$89,5,0)</f>
        <v>188.56655999999992</v>
      </c>
      <c r="FG62" s="13">
        <f t="shared" si="47"/>
        <v>47.222900075332575</v>
      </c>
      <c r="FH62" s="20">
        <f t="shared" si="22"/>
        <v>410.66664296453746</v>
      </c>
      <c r="FI62" s="59">
        <f t="shared" si="23"/>
        <v>690.28952731928473</v>
      </c>
      <c r="FJ62" s="59">
        <f ca="1">AVERAGE(OFFSET($FI$3,0,0,'Données projet'!$E$16+1,1))-AVERAGE(OFFSET($H$3,0,0,'Données projet'!$E$16+1,1))</f>
        <v>307.50573770128085</v>
      </c>
      <c r="FK62" s="59">
        <f t="shared" si="48"/>
        <v>300.2007312562655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11.461142469242779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11.461142469242779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66.260786642203797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6.2</v>
      </c>
      <c r="FZ62" s="12">
        <f>IF('Données projet'!$A$244&gt;35,FZ61+FY62-GH61,IF(A62&lt;'Données projet'!$A$244,$FW$205^A62,IF(A62='Données projet'!$A$244,'Données projet'!$B$244,FZ61+FY62-GH61)))</f>
        <v>287.7999999999999</v>
      </c>
      <c r="GA62" s="17">
        <f>FZ62*VLOOKUP('Données projet'!$B$17,Paramètres!$A$1:$I$89,3,0)*VLOOKUP('Données projet'!$B$17,Paramètres!$A$1:$I$89,5,0)</f>
        <v>233.46335999999994</v>
      </c>
      <c r="GB62" s="13">
        <f t="shared" si="49"/>
        <v>57.030888299157333</v>
      </c>
      <c r="GC62" s="20">
        <f t="shared" si="25"/>
        <v>505.94414912103224</v>
      </c>
      <c r="GD62" s="59">
        <f t="shared" si="26"/>
        <v>785.56703347577945</v>
      </c>
      <c r="GE62" s="59">
        <f ca="1">AVERAGE(OFFSET($GD$3,0,0,'Données projet'!$E$17+1,1))-AVERAGE(OFFSET($H$3,0,0,'Données projet'!$E$17+1,1))</f>
        <v>369.60865427618342</v>
      </c>
      <c r="GF62" s="59">
        <f t="shared" si="50"/>
        <v>359.40898775279197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14.18998591430058</v>
      </c>
      <c r="GM62" s="21">
        <f>EXP(-LN(2)/25)*GM61+(1-EXP(-LN(2)/25))/(LN(2)/25)*Calculateur!GH62*Calculateur!GJ62*VLOOKUP('Données projet'!$B$17,Paramètres!$A$1:$I$89,3,0)*0.475*44/12</f>
        <v>0</v>
      </c>
      <c r="GN62" s="21">
        <f>EXP(-LN(2)/2)*GN61+(1-EXP(-LN(2)/2))/(LN(2)/2)*GH62*GK62*VLOOKUP('Données projet'!$B$17,Paramètres!$A$1:$I$89,3,0)*0.475*44/12</f>
        <v>0</v>
      </c>
      <c r="GO62" s="21">
        <f t="shared" si="27"/>
        <v>14.18998591430058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66.260786642203797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5.2</v>
      </c>
      <c r="GU62" s="12">
        <f>IF('Données projet'!$A$270&gt;35,GU61+GT62-HC61,IF(A62&lt;'Données projet'!$A$270,$GR$205^A62,IF(A62='Données projet'!$A$270,'Données projet'!$B$270,GU61+GT62-HC61)))</f>
        <v>239.79999999999984</v>
      </c>
      <c r="GV62" s="17">
        <f>GU62*VLOOKUP('Données projet'!$B$18,Paramètres!$A$1:$I$89,3,0)*VLOOKUP('Données projet'!$B$18,Paramètres!$A$1:$I$89,5,0)</f>
        <v>157.11695999999989</v>
      </c>
      <c r="GW62" s="13">
        <f t="shared" si="51"/>
        <v>40.191551120265821</v>
      </c>
      <c r="GX62" s="20">
        <f t="shared" si="28"/>
        <v>343.64565686779611</v>
      </c>
      <c r="GY62" s="59">
        <f t="shared" si="29"/>
        <v>623.26854122254338</v>
      </c>
      <c r="GZ62" s="59">
        <f ca="1">AVERAGE(OFFSET($GY$3,0,0,'Données projet'!$E$18+1,1))-AVERAGE(OFFSET($H$3,0,0,'Données projet'!$E$18+1,1))</f>
        <v>262.62914256200031</v>
      </c>
      <c r="HA62" s="59">
        <f t="shared" si="52"/>
        <v>256.45129229594409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projet'!$B$18,Paramètres!$A$1:$I$89,3,0)*0.475*44/12</f>
        <v>7.6467126887740191</v>
      </c>
      <c r="HH62" s="21">
        <f>EXP(-LN(2)/25)*HH61+(1-EXP(-LN(2)/25))/(LN(2)/25)*Calculateur!HC62*Calculateur!HE62*VLOOKUP('Données projet'!$B$18,Paramètres!$A$1:$I$89,3,0)*0.475*44/12</f>
        <v>0</v>
      </c>
      <c r="HI62" s="21">
        <f>EXP(-LN(2)/2)*HI61+(1-EXP(-LN(2)/2))/(LN(2)/2)*HC62*HF62*VLOOKUP('Données projet'!$B$18,Paramètres!$A$1:$I$89,3,0)*0.475*44/12</f>
        <v>0</v>
      </c>
      <c r="HJ62" s="22">
        <f t="shared" si="30"/>
        <v>7.6467126887740191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2.1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7.7</v>
      </c>
      <c r="H63" s="67">
        <f t="shared" si="1"/>
        <v>225.86666666666665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66.325653634332866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270</v>
      </c>
      <c r="L63" s="12">
        <f>VLOOKUP(A63,'Données projet'!$A$35:$I$55,9,0)</f>
        <v>10.8</v>
      </c>
      <c r="M63" s="12">
        <f t="array" ref="M63">INDEX(L:L,MIN(IF(ISNUMBER(L63:L259),ROW(L63:L259),"")))</f>
        <v>10.8</v>
      </c>
      <c r="N63" s="13">
        <f>IF('Données projet'!$A$36&gt;35,N62+M63-V62,IF(A63&lt;'Données projet'!$A$36,$K$205^A63,IF(A63='Données projet'!$A$36,'Données projet'!$B$36,N62+M63-V62)))</f>
        <v>270.00000000000011</v>
      </c>
      <c r="O63" s="13">
        <f>N63*VLOOKUP('Données projet'!$B$9,Paramètres!$A$1:$I$89,3,0)*VLOOKUP('Données projet'!$B$9,Paramètres!$A$1:$I$89,5,0)</f>
        <v>231.66000000000014</v>
      </c>
      <c r="P63" s="13">
        <f t="shared" si="33"/>
        <v>56.641461975682823</v>
      </c>
      <c r="Q63" s="20">
        <f t="shared" si="53"/>
        <v>502.12504627431446</v>
      </c>
      <c r="R63" s="59">
        <f t="shared" si="0"/>
        <v>781.98577626686824</v>
      </c>
      <c r="S63" s="59">
        <f ca="1">AVERAGE(OFFSET($R$3,0,0,'Données projet'!$E$9+1,1))-AVERAGE(OFFSET($H$3,0,0,'Données projet'!$E$9+1,1))</f>
        <v>476.79071915271794</v>
      </c>
      <c r="T63" s="59">
        <f t="shared" si="34"/>
        <v>264.79929759351762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28</v>
      </c>
      <c r="W63" s="16">
        <f>IF(ISNA(VLOOKUP(A63,'Données projet'!$A$35:$I$55,5,0)),0%,VLOOKUP(A63,'Données projet'!$A$35:$I$55,5,0)*VLOOKUP('Données projet'!$B$9,Paramètres!$A$1:$I$89,7,0))</f>
        <v>0.159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12.448269421649083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12.448269421649083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66.325653634332866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214</v>
      </c>
      <c r="AG63" s="12">
        <f>VLOOKUP(A63,'Données projet'!$A$61:$I$81,9,0)</f>
        <v>7.6</v>
      </c>
      <c r="AH63" s="12">
        <f t="array" ref="AH63">INDEX(AG:AG,MIN(IF(ISNUMBER(AG63:AG259),ROW(AG63:AG259),"")))</f>
        <v>7.6</v>
      </c>
      <c r="AI63" s="13">
        <f>IF('Données projet'!$A$62&gt;35,AI62+AH63-AQ62,IF(A63&lt;'Données projet'!$A$62,$AF$205^A63,IF(A63='Données projet'!$A$62,'Données projet'!$B$62,AI62+AH63-AQ62)))</f>
        <v>214</v>
      </c>
      <c r="AJ63" s="13">
        <f>AI63*VLOOKUP('Données projet'!$B$10,Paramètres!$A$1:$I$89,3,0)*VLOOKUP('Données projet'!$B$10,Paramètres!$A$1:$I$89,5,0)</f>
        <v>180.27360000000002</v>
      </c>
      <c r="AK63" s="13">
        <f t="shared" si="35"/>
        <v>45.383051743938047</v>
      </c>
      <c r="AL63" s="20">
        <f t="shared" si="4"/>
        <v>393.01866845402543</v>
      </c>
      <c r="AM63" s="59">
        <f t="shared" si="5"/>
        <v>672.87939844657922</v>
      </c>
      <c r="AN63" s="59">
        <f ca="1">AVERAGE(OFFSET($AM$3,0,0,'Données projet'!$E$10+1,1))-AVERAGE(OFFSET($H$3,0,0,'Données projet'!$E$10+1,1))</f>
        <v>365.104658862176</v>
      </c>
      <c r="AO63" s="59">
        <f t="shared" si="36"/>
        <v>226.29232910286325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21</v>
      </c>
      <c r="AR63" s="16">
        <f>IF(ISNA(VLOOKUP(A63,'Données projet'!$A$61:$I$81,5,0)),0%,VLOOKUP(A63,'Données projet'!$A$61:$I$81,5,0)*VLOOKUP('Données projet'!$B$10,Paramètres!$A$1:$I$89,7,0))</f>
        <v>0.17200000000000001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10.09947534534224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10.09947534534224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66.325653634332866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214</v>
      </c>
      <c r="BB63" s="12">
        <f>VLOOKUP(A63,'Données projet'!$A$87:$I$107,9,0)</f>
        <v>7.6</v>
      </c>
      <c r="BC63" s="12">
        <f t="array" ref="BC63">INDEX(BB:BB,MIN(IF(ISNUMBER(BB63:BB259),ROW(BB63:BB259),"")))</f>
        <v>7.6</v>
      </c>
      <c r="BD63" s="12">
        <f>IF('Données projet'!$A$88&gt;35,BD62+BC63-BL62,IF(A63&lt;'Données projet'!$A$88,$BA$205^A63,IF(A63='Données projet'!$A$88,'Données projet'!$B$88,BD62+BC63-BL62)))</f>
        <v>214</v>
      </c>
      <c r="BE63" s="13">
        <f>BD63*VLOOKUP('Données projet'!$B$11,Paramètres!$A$1:$I$89,3,0)*VLOOKUP('Données projet'!$B$11,Paramètres!$A$1:$I$89,5,0)</f>
        <v>193.62719999999999</v>
      </c>
      <c r="BF63" s="13">
        <f t="shared" si="37"/>
        <v>48.340990547231193</v>
      </c>
      <c r="BG63" s="20">
        <f t="shared" si="7"/>
        <v>421.42793186976093</v>
      </c>
      <c r="BH63" s="59">
        <f t="shared" si="8"/>
        <v>701.28866186231471</v>
      </c>
      <c r="BI63" s="59">
        <f ca="1">AVERAGE(OFFSET($BH$3,0,0,'Données projet'!$E$11+1,1))-AVERAGE(OFFSET($H$3,0,0,'Données projet'!$E$11+1,1))</f>
        <v>388.12494342575195</v>
      </c>
      <c r="BJ63" s="59">
        <f t="shared" si="38"/>
        <v>239.39471445648454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21</v>
      </c>
      <c r="BM63" s="16">
        <f>IF(ISNA(VLOOKUP(A63,'Données projet'!$A$87:$I$107,5,0)),0%,VLOOKUP(A63,'Données projet'!$A$87:$I$107,5,0)*VLOOKUP('Données projet'!$B$11,Paramètres!$A$1:$I$89,7,0))</f>
        <v>0.17200000000000001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10.847584630182402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10.847584630182402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66.325653634332866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214</v>
      </c>
      <c r="BW63" s="12">
        <f>VLOOKUP(A63,'Données projet'!$A$113:$I$133,9,0)</f>
        <v>7.6</v>
      </c>
      <c r="BX63" s="12">
        <f t="array" ref="BX63">INDEX(BW:BW,MIN(IF(ISNUMBER(BW63:BW259),ROW(BW63:BW259),"")))</f>
        <v>7.6</v>
      </c>
      <c r="BY63" s="12">
        <f>IF('Données projet'!$A$114&gt;35,BY62+BX63-CG62,IF(A63&lt;'Données projet'!$A$114,$BV$205^A63,IF(A63='Données projet'!$A$114,'Données projet'!$B$114,BY62+BX63-CG62)))</f>
        <v>214</v>
      </c>
      <c r="BZ63" s="13">
        <f>BY63*VLOOKUP('Données projet'!$B$12,Paramètres!$A$1:$I$89,3,0)*VLOOKUP('Données projet'!$B$12,Paramètres!$A$1:$I$89,5,0)</f>
        <v>216.99600000000001</v>
      </c>
      <c r="CA63" s="13">
        <f t="shared" si="39"/>
        <v>53.461459647386917</v>
      </c>
      <c r="CB63" s="20">
        <f t="shared" si="10"/>
        <v>471.04674221919896</v>
      </c>
      <c r="CC63" s="59">
        <f t="shared" si="11"/>
        <v>750.90747221175275</v>
      </c>
      <c r="CD63" s="59">
        <f ca="1">AVERAGE(OFFSET($CC$3,0,0,'Données projet'!$E$12+1,1))-AVERAGE(OFFSET($H$3,0,0,'Données projet'!$E$12+1,1))</f>
        <v>428.33148932885132</v>
      </c>
      <c r="CE63" s="59">
        <f t="shared" si="40"/>
        <v>262.27548054534373</v>
      </c>
      <c r="CF63" s="15">
        <f>IF(ISNA(VLOOKUP(A63,'Données projet'!$A$113:$I$133,3,0)),0,VLOOKUP(A63,'Données projet'!$A$113:$I$133,3,0))</f>
        <v>9</v>
      </c>
      <c r="CG63" s="15">
        <f>IF(ISNA(VLOOKUP(A63,'Données projet'!$A$113:$I$133,4,0)),0,VLOOKUP(A63,'Données projet'!$A$113:$I$133,4,0))</f>
        <v>21</v>
      </c>
      <c r="CH63" s="16">
        <f>IF(ISNA(VLOOKUP(A63,'Données projet'!$A$113:$I$133,5,0)),0%,VLOOKUP(A63,'Données projet'!$A$113:$I$133,5,0)*VLOOKUP('Données projet'!$B$12,Paramètres!$A$1:$I$89,7,0))</f>
        <v>0.17200000000000001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12.156775878652692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12.156775878652692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66.325653634332866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148</v>
      </c>
      <c r="CR63" s="12">
        <f>VLOOKUP(A63,'Données projet'!$A$139:$I$159,9,0)</f>
        <v>5.4</v>
      </c>
      <c r="CS63" s="12">
        <f t="array" ref="CS63">INDEX(CR:CR,MIN(IF(ISNUMBER(CR63:CR259),ROW(CR63:CR259),"")))</f>
        <v>5.4</v>
      </c>
      <c r="CT63" s="12">
        <f>IF('Données projet'!$A$140&gt;35,CT62+CS63-DB62,IF(A63&lt;'Données projet'!$A$140,$CQ$205^A63,IF(A63='Données projet'!$A$140,'Données projet'!$B$140,CT62+CS63-DB62)))</f>
        <v>147.99999999999997</v>
      </c>
      <c r="CU63" s="17">
        <f>CT63*VLOOKUP('Données projet'!$B$13,Paramètres!$A$1:$I$89,3,0)*VLOOKUP('Données projet'!$B$13,Paramètres!$A$1:$I$89,5,0)</f>
        <v>140.83679999999998</v>
      </c>
      <c r="CV63" s="13">
        <f t="shared" si="41"/>
        <v>36.48863808581752</v>
      </c>
      <c r="CW63" s="20">
        <f t="shared" si="13"/>
        <v>308.84180466613213</v>
      </c>
      <c r="CX63" s="59">
        <f t="shared" si="14"/>
        <v>588.70253465868598</v>
      </c>
      <c r="CY63" s="59">
        <f ca="1">AVERAGE(OFFSET($CX$3,0,0,'Données projet'!$E$13+1,1))-AVERAGE(OFFSET($H$3,0,0,'Données projet'!$E$13+1,1))</f>
        <v>307.62549820830162</v>
      </c>
      <c r="CZ63" s="59">
        <f t="shared" si="42"/>
        <v>160.26466014910304</v>
      </c>
      <c r="DA63" s="15">
        <f>IF(ISNA(VLOOKUP(A63,'Données projet'!$A$139:$I$159,3,0)),0,VLOOKUP(A63,'Données projet'!$A$139:$I$159,3,0))</f>
        <v>8</v>
      </c>
      <c r="DB63" s="15">
        <f>IF(ISNA(VLOOKUP(A63,'Données projet'!$A$139:$I$159,4,0)),0,VLOOKUP(A63,'Données projet'!$A$139:$I$159,4,0))</f>
        <v>14</v>
      </c>
      <c r="DC63" s="16">
        <f>IF(ISNA(VLOOKUP(A63,'Données projet'!$A$139:$I$159,5,0)),0%,VLOOKUP(A63,'Données projet'!$A$139:$I$159,5,0)*VLOOKUP('Données projet'!$B$13,Paramètres!$A$1:$I$89,7,0))</f>
        <v>0.129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6.452989749442934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6.452989749442934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66.325653634332866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245</v>
      </c>
      <c r="DM63" s="12">
        <f>VLOOKUP(A63,'Données projet'!$A$165:$I$185,9,0)</f>
        <v>5.2</v>
      </c>
      <c r="DN63" s="12">
        <f t="array" ref="DN63">INDEX(DM:DM,MIN(IF(ISNUMBER(DM63:DM259),ROW(DM63:DM259),"")))</f>
        <v>5.2</v>
      </c>
      <c r="DO63" s="12">
        <f>IF('Données projet'!$A$166&gt;35,DO62+DN63-DW62,IF(A63&lt;'Données projet'!$A$166,$DL$205^A63,IF(A63='Données projet'!$A$166,'Données projet'!$B$166,DO62+DN63-DW62)))</f>
        <v>244.99999999999983</v>
      </c>
      <c r="DP63" s="17">
        <f>DO63*VLOOKUP('Données projet'!$B$14,Paramètres!$A$1:$I$89,3,0)*VLOOKUP('Données projet'!$B$14,Paramètres!$A$1:$I$89,5,0)</f>
        <v>194.92199999999988</v>
      </c>
      <c r="DQ63" s="13">
        <f t="shared" si="43"/>
        <v>48.626512129794925</v>
      </c>
      <c r="DR63" s="20">
        <f t="shared" si="16"/>
        <v>424.18032529272591</v>
      </c>
      <c r="DS63" s="59">
        <f t="shared" si="17"/>
        <v>704.04105528527975</v>
      </c>
      <c r="DT63" s="59">
        <f ca="1">AVERAGE(OFFSET($DS$3,0,0,'Données projet'!$E$14+1,1))-AVERAGE(OFFSET($H$3,0,0,'Données projet'!$E$14+1,1))</f>
        <v>309.14579005132464</v>
      </c>
      <c r="DU63" s="59">
        <f t="shared" si="44"/>
        <v>300.60311050289533</v>
      </c>
      <c r="DV63" s="15">
        <f>IF(ISNA(VLOOKUP(A63,'Données projet'!$A$165:$I$185,3,0)),0,VLOOKUP(A63,'Données projet'!$A$165:$I$185,3,0))</f>
        <v>10</v>
      </c>
      <c r="DW63" s="15">
        <f>IF(ISNA(VLOOKUP(A63,'Données projet'!$A$165:$I$185,4,0)),0,VLOOKUP(A63,'Données projet'!$A$165:$I$185,4,0))</f>
        <v>12</v>
      </c>
      <c r="DX63" s="16">
        <f>IF(ISNA(VLOOKUP(A63,'Données projet'!$A$165:$I$185,5,0)),0%,VLOOKUP(A63,'Données projet'!$A$165:$I$185,5,0)*VLOOKUP('Données projet'!$B$14,Paramètres!$A$1:$I$89,7,0))</f>
        <v>0.21200000000000002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13.457720901590791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13.457720901590791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66.325653634332866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294</v>
      </c>
      <c r="EH63" s="12">
        <f>VLOOKUP(A63,'Données projet'!$A$191:$I$211,9,0)</f>
        <v>6.2</v>
      </c>
      <c r="EI63" s="12">
        <f t="array" ref="EI63">INDEX(EH:EH,MIN(IF(ISNUMBER(EH63:EH259),ROW(EH63:EH259),"")))</f>
        <v>6.2</v>
      </c>
      <c r="EJ63" s="12">
        <f>IF('Données projet'!$A$192&gt;35,EJ62+EI63-ER62,IF(A63&lt;'Données projet'!$A$192,$EG$205^A63,IF(A63='Données projet'!$A$192,'Données projet'!$B$192,EJ62+EI63-ER62)))</f>
        <v>293.99999999999989</v>
      </c>
      <c r="EK63" s="17">
        <f>EJ63*VLOOKUP('Données projet'!$B$15,Paramètres!$A$1:$I$89,3,0)*VLOOKUP('Données projet'!$B$15,Paramètres!$A$1:$I$89,5,0)</f>
        <v>215.56079999999992</v>
      </c>
      <c r="EL63" s="13">
        <f t="shared" si="45"/>
        <v>53.14890585638225</v>
      </c>
      <c r="EM63" s="20">
        <f t="shared" si="19"/>
        <v>468.00273769986558</v>
      </c>
      <c r="EN63" s="59">
        <f t="shared" si="20"/>
        <v>747.86346769241936</v>
      </c>
      <c r="EO63" s="59">
        <f ca="1">AVERAGE(OFFSET($EN$3,0,0,'Données projet'!$E$15+1,1))-AVERAGE(OFFSET($H$3,0,0,'Données projet'!$E$15+1,1))</f>
        <v>338.59243085476896</v>
      </c>
      <c r="EP63" s="59">
        <f t="shared" si="46"/>
        <v>329.8393445823275</v>
      </c>
      <c r="EQ63" s="15">
        <f>IF(ISNA(VLOOKUP(A63,'Données projet'!$A$191:$I$211,3,0)),0,VLOOKUP(A63,'Données projet'!$A$191:$I$211,3,0))</f>
        <v>11</v>
      </c>
      <c r="ER63" s="15">
        <f>IF(ISNA(VLOOKUP(A63,'Données projet'!$A$191:$I$211,4,0)),0,VLOOKUP(A63,'Données projet'!$A$191:$I$211,4,0))</f>
        <v>14</v>
      </c>
      <c r="ES63" s="16">
        <f>IF(ISNA(VLOOKUP(A63,'Données projet'!$A$191:$I$211,5,0)),0%,VLOOKUP(A63,'Données projet'!$A$191:$I$211,5,0)*VLOOKUP('Données projet'!$B$15,Paramètres!$A$1:$I$89,7,0))</f>
        <v>0.215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15.013760656436171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15.013760656436171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66.325653634332866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294</v>
      </c>
      <c r="FC63" s="12">
        <f>VLOOKUP(A63,'Données projet'!$A$217:$I$237,9,0)</f>
        <v>6.2</v>
      </c>
      <c r="FD63" s="12">
        <f t="array" ref="FD63">INDEX(FC:FC,MIN(IF(ISNUMBER(FC63:FC259),ROW(FC63:FC259),"")))</f>
        <v>6.2</v>
      </c>
      <c r="FE63" s="12">
        <f>IF('Données projet'!$A$218&gt;35,FE62+FD63-FM62,IF(A63&lt;'Données projet'!$A$218,$FB$205^A63,IF(A63='Données projet'!$A$218,'Données projet'!$B$218,FE62+FD63-FM62)))</f>
        <v>293.99999999999989</v>
      </c>
      <c r="FF63" s="17">
        <f>FE63*VLOOKUP('Données projet'!$B$16,Paramètres!$A$1:$I$89,3,0)*VLOOKUP('Données projet'!$B$16,Paramètres!$A$1:$I$89,5,0)</f>
        <v>192.62879999999993</v>
      </c>
      <c r="FG63" s="13">
        <f t="shared" si="47"/>
        <v>48.120677599655174</v>
      </c>
      <c r="FH63" s="20">
        <f t="shared" si="22"/>
        <v>419.30534015273264</v>
      </c>
      <c r="FI63" s="59">
        <f t="shared" si="23"/>
        <v>699.16607014528654</v>
      </c>
      <c r="FJ63" s="59">
        <f ca="1">AVERAGE(OFFSET($FI$3,0,0,'Données projet'!$E$16+1,1))-AVERAGE(OFFSET($H$3,0,0,'Données projet'!$E$16+1,1))</f>
        <v>307.50573770128085</v>
      </c>
      <c r="FK63" s="59">
        <f t="shared" si="48"/>
        <v>300.2007312562655</v>
      </c>
      <c r="FL63" s="15">
        <f>IF(ISNA(VLOOKUP(A63,'Données projet'!$A$217:$I$237,3,0)),0,VLOOKUP(A63,'Données projet'!$A$217:$I$237,3,0))</f>
        <v>11</v>
      </c>
      <c r="FM63" s="15">
        <f>IF(ISNA(VLOOKUP(A63,'Données projet'!$A$217:$I$237,4,0)),0,VLOOKUP(A63,'Données projet'!$A$217:$I$237,4,0))</f>
        <v>14</v>
      </c>
      <c r="FN63" s="16">
        <f>IF(ISNA(VLOOKUP(A63,'Données projet'!$A$217:$I$237,5,0)),0%,VLOOKUP(A63,'Données projet'!$A$217:$I$237,5,0)*VLOOKUP('Données projet'!$B$16,Paramètres!$A$1:$I$89,7,0))</f>
        <v>0.215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13.416552075964235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13.416552075964235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66.325653634332866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294</v>
      </c>
      <c r="FX63" s="12">
        <f>VLOOKUP(A63,'Données projet'!$A$243:$I$263,9,0)</f>
        <v>6.2</v>
      </c>
      <c r="FY63" s="12">
        <f t="array" ref="FY63">INDEX(FX:FX,MIN(IF(ISNUMBER(FX63:FX259),ROW(FX63:FX259),"")))</f>
        <v>6.2</v>
      </c>
      <c r="FZ63" s="12">
        <f>IF('Données projet'!$A$244&gt;35,FZ62+FY63-GH62,IF(A63&lt;'Données projet'!$A$244,$FW$205^A63,IF(A63='Données projet'!$A$244,'Données projet'!$B$244,FZ62+FY63-GH62)))</f>
        <v>293.99999999999989</v>
      </c>
      <c r="GA63" s="17">
        <f>FZ63*VLOOKUP('Données projet'!$B$17,Paramètres!$A$1:$I$89,3,0)*VLOOKUP('Données projet'!$B$17,Paramètres!$A$1:$I$89,5,0)</f>
        <v>238.4927999999999</v>
      </c>
      <c r="GB63" s="13">
        <f t="shared" si="49"/>
        <v>58.115130258576542</v>
      </c>
      <c r="GC63" s="20">
        <f t="shared" si="25"/>
        <v>516.59214520035403</v>
      </c>
      <c r="GD63" s="59">
        <f t="shared" si="26"/>
        <v>796.45287519290787</v>
      </c>
      <c r="GE63" s="59">
        <f ca="1">AVERAGE(OFFSET($GD$3,0,0,'Données projet'!$E$17+1,1))-AVERAGE(OFFSET($H$3,0,0,'Données projet'!$E$17+1,1))</f>
        <v>369.60865427618342</v>
      </c>
      <c r="GF63" s="59">
        <f t="shared" si="50"/>
        <v>359.40898775279197</v>
      </c>
      <c r="GG63" s="15">
        <f>IF(ISNA(VLOOKUP(A63,'Données projet'!$A$243:$I$263,3,0)),0,VLOOKUP(A63,'Données projet'!$A$243:$I$263,3,0))</f>
        <v>11</v>
      </c>
      <c r="GH63" s="15">
        <f>IF(ISNA(VLOOKUP(A63,'Données projet'!$A$243:$I$263,4,0)),0,VLOOKUP(A63,'Données projet'!$A$243:$I$263,4,0))</f>
        <v>14</v>
      </c>
      <c r="GI63" s="16">
        <f>IF(ISNA(VLOOKUP(A63,'Données projet'!$A$243:$I$263,5,0)),0%,VLOOKUP(A63,'Données projet'!$A$243:$I$263,5,0)*VLOOKUP('Données projet'!$B$17,Paramètres!$A$1:$I$89,7,0))</f>
        <v>0.215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16.610969236908097</v>
      </c>
      <c r="GM63" s="21">
        <f>EXP(-LN(2)/25)*GM62+(1-EXP(-LN(2)/25))/(LN(2)/25)*Calculateur!GH63*Calculateur!GJ63*VLOOKUP('Données projet'!$B$17,Paramètres!$A$1:$I$89,3,0)*0.475*44/12</f>
        <v>0</v>
      </c>
      <c r="GN63" s="21">
        <f>EXP(-LN(2)/2)*GN62+(1-EXP(-LN(2)/2))/(LN(2)/2)*GH63*GK63*VLOOKUP('Données projet'!$B$17,Paramètres!$A$1:$I$89,3,0)*0.475*44/12</f>
        <v>0</v>
      </c>
      <c r="GO63" s="21">
        <f t="shared" si="27"/>
        <v>16.610969236908097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66.325653634332866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>
        <f>VLOOKUP(A63,'Données projet'!$A$269:$I$289,2,0)</f>
        <v>245</v>
      </c>
      <c r="GS63" s="12">
        <f>VLOOKUP(A63,'Données projet'!$A$269:$I$289,9,0)</f>
        <v>5.2</v>
      </c>
      <c r="GT63" s="12">
        <f t="array" ref="GT63">INDEX(GS:GS,MIN(IF(ISNUMBER(GS63:GS259),ROW(GS63:GS259),"")))</f>
        <v>5.2</v>
      </c>
      <c r="GU63" s="12">
        <f>IF('Données projet'!$A$270&gt;35,GU62+GT63-HC62,IF(A63&lt;'Données projet'!$A$270,$GR$205^A63,IF(A63='Données projet'!$A$270,'Données projet'!$B$270,GU62+GT63-HC62)))</f>
        <v>244.99999999999983</v>
      </c>
      <c r="GV63" s="17">
        <f>GU63*VLOOKUP('Données projet'!$B$18,Paramètres!$A$1:$I$89,3,0)*VLOOKUP('Données projet'!$B$18,Paramètres!$A$1:$I$89,5,0)</f>
        <v>160.52399999999989</v>
      </c>
      <c r="GW63" s="13">
        <f t="shared" si="51"/>
        <v>40.960682569221547</v>
      </c>
      <c r="GX63" s="20">
        <f t="shared" si="28"/>
        <v>350.91915547472735</v>
      </c>
      <c r="GY63" s="59">
        <f t="shared" si="29"/>
        <v>630.77988546728125</v>
      </c>
      <c r="GZ63" s="59">
        <f ca="1">AVERAGE(OFFSET($GY$3,0,0,'Données projet'!$E$18+1,1))-AVERAGE(OFFSET($H$3,0,0,'Données projet'!$E$18+1,1))</f>
        <v>262.62914256200031</v>
      </c>
      <c r="HA63" s="59">
        <f t="shared" si="52"/>
        <v>256.45129229594409</v>
      </c>
      <c r="HB63" s="15">
        <f>IF(ISNA(VLOOKUP(A63,'Données projet'!$A$269:$I$289,3,0)),0,VLOOKUP(A63,'Données projet'!$A$269:$I$289,3,0))</f>
        <v>10</v>
      </c>
      <c r="HC63" s="15">
        <f>IF(ISNA(VLOOKUP(A63,'Données projet'!$A$269:$I$289,4,0)),0,VLOOKUP(A63,'Données projet'!$A$269:$I$289,4,0))</f>
        <v>12</v>
      </c>
      <c r="HD63" s="16">
        <f>IF(ISNA(VLOOKUP(A63,'Données projet'!$A$269:$I$289,5,0)),0%,VLOOKUP(A63,'Données projet'!$A$269:$I$289,5,0)*VLOOKUP('Données projet'!$B$18,Paramètres!$A$1:$I$89,7,0))</f>
        <v>0.17200000000000001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>
        <f>EXP(-LN(2)/35)*HG62+(1-EXP(-LN(2)/35))/(LN(2)/35)*HC63*HD63*VLOOKUP('Données projet'!$B$18,Paramètres!$A$1:$I$89,3,0)*0.475*44/12</f>
        <v>8.9917291706522224</v>
      </c>
      <c r="HH63" s="21">
        <f>EXP(-LN(2)/25)*HH62+(1-EXP(-LN(2)/25))/(LN(2)/25)*Calculateur!HC63*Calculateur!HE63*VLOOKUP('Données projet'!$B$18,Paramètres!$A$1:$I$89,3,0)*0.475*44/12</f>
        <v>0</v>
      </c>
      <c r="HI63" s="21">
        <f>EXP(-LN(2)/2)*HI62+(1-EXP(-LN(2)/2))/(LN(2)/2)*HC63*HF63*VLOOKUP('Données projet'!$B$18,Paramètres!$A$1:$I$89,3,0)*0.475*44/12</f>
        <v>0</v>
      </c>
      <c r="HJ63" s="22">
        <f t="shared" si="30"/>
        <v>8.9917291706522224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2.1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7.7</v>
      </c>
      <c r="H64" s="67">
        <f t="shared" si="1"/>
        <v>225.86666666666665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66.389395329169361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10.4</v>
      </c>
      <c r="N64" s="13">
        <f>IF('Données projet'!$A$36&gt;35,N63+M64-V63,IF(A64&lt;'Données projet'!$A$36,$K$205^A64,IF(A64='Données projet'!$A$36,'Données projet'!$B$36,N63+M64-V63)))</f>
        <v>252.40000000000009</v>
      </c>
      <c r="O64" s="13">
        <f>N64*VLOOKUP('Données projet'!$B$9,Paramètres!$A$1:$I$89,3,0)*VLOOKUP('Données projet'!$B$9,Paramètres!$A$1:$I$89,5,0)</f>
        <v>216.55920000000009</v>
      </c>
      <c r="P64" s="13">
        <f t="shared" si="33"/>
        <v>53.366360125240526</v>
      </c>
      <c r="Q64" s="20">
        <f t="shared" si="53"/>
        <v>470.12035055146072</v>
      </c>
      <c r="R64" s="59">
        <f t="shared" si="0"/>
        <v>750.21480009174843</v>
      </c>
      <c r="S64" s="59">
        <f ca="1">AVERAGE(OFFSET($R$3,0,0,'Données projet'!$E$9+1,1))-AVERAGE(OFFSET($H$3,0,0,'Données projet'!$E$9+1,1))</f>
        <v>476.79071915271794</v>
      </c>
      <c r="T64" s="59">
        <f t="shared" si="34"/>
        <v>264.79929759351762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12.204166450985175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12.204166450985175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66.389395329169361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7.2</v>
      </c>
      <c r="AI64" s="13">
        <f>IF('Données projet'!$A$62&gt;35,AI63+AH64-AQ63,IF(A64&lt;'Données projet'!$A$62,$AF$205^A64,IF(A64='Données projet'!$A$62,'Données projet'!$B$62,AI63+AH64-AQ63)))</f>
        <v>200.2</v>
      </c>
      <c r="AJ64" s="13">
        <f>AI64*VLOOKUP('Données projet'!$B$10,Paramètres!$A$1:$I$89,3,0)*VLOOKUP('Données projet'!$B$10,Paramètres!$A$1:$I$89,5,0)</f>
        <v>168.64848000000001</v>
      </c>
      <c r="AK64" s="13">
        <f t="shared" si="35"/>
        <v>42.78718759212785</v>
      </c>
      <c r="AL64" s="20">
        <f t="shared" si="4"/>
        <v>368.25045438962269</v>
      </c>
      <c r="AM64" s="59">
        <f t="shared" si="5"/>
        <v>648.34490392991029</v>
      </c>
      <c r="AN64" s="59">
        <f ca="1">AVERAGE(OFFSET($AM$3,0,0,'Données projet'!$E$10+1,1))-AVERAGE(OFFSET($H$3,0,0,'Données projet'!$E$10+1,1))</f>
        <v>365.104658862176</v>
      </c>
      <c r="AO64" s="59">
        <f t="shared" si="36"/>
        <v>226.29232910286325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9.901430793891782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9.901430793891782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66.389395329169361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7.2</v>
      </c>
      <c r="BD64" s="12">
        <f>IF('Données projet'!$A$88&gt;35,BD63+BC64-BL63,IF(A64&lt;'Données projet'!$A$88,$BA$205^A64,IF(A64='Données projet'!$A$88,'Données projet'!$B$88,BD63+BC64-BL63)))</f>
        <v>200.2</v>
      </c>
      <c r="BE64" s="13">
        <f>BD64*VLOOKUP('Données projet'!$B$11,Paramètres!$A$1:$I$89,3,0)*VLOOKUP('Données projet'!$B$11,Paramètres!$A$1:$I$89,5,0)</f>
        <v>181.14095999999998</v>
      </c>
      <c r="BF64" s="13">
        <f t="shared" si="37"/>
        <v>45.575935320610945</v>
      </c>
      <c r="BG64" s="20">
        <f t="shared" si="7"/>
        <v>394.86525935006398</v>
      </c>
      <c r="BH64" s="59">
        <f t="shared" si="8"/>
        <v>674.95970889035164</v>
      </c>
      <c r="BI64" s="59">
        <f ca="1">AVERAGE(OFFSET($BH$3,0,0,'Données projet'!$E$11+1,1))-AVERAGE(OFFSET($H$3,0,0,'Données projet'!$E$11+1,1))</f>
        <v>388.12494342575195</v>
      </c>
      <c r="BJ64" s="59">
        <f t="shared" si="38"/>
        <v>239.39471445648454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10.634870111957836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10.634870111957836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66.389395329169361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7.2</v>
      </c>
      <c r="BY64" s="12">
        <f>IF('Données projet'!$A$114&gt;35,BY63+BX64-CG63,IF(A64&lt;'Données projet'!$A$114,$BV$205^A64,IF(A64='Données projet'!$A$114,'Données projet'!$B$114,BY63+BX64-CG63)))</f>
        <v>200.2</v>
      </c>
      <c r="BZ64" s="13">
        <f>BY64*VLOOKUP('Données projet'!$B$12,Paramètres!$A$1:$I$89,3,0)*VLOOKUP('Données projet'!$B$12,Paramètres!$A$1:$I$89,5,0)</f>
        <v>203.00280000000001</v>
      </c>
      <c r="CA64" s="13">
        <f t="shared" si="39"/>
        <v>50.403518824343074</v>
      </c>
      <c r="CB64" s="20">
        <f t="shared" si="10"/>
        <v>441.34933861906421</v>
      </c>
      <c r="CC64" s="59">
        <f t="shared" si="11"/>
        <v>721.44378815935193</v>
      </c>
      <c r="CD64" s="59">
        <f ca="1">AVERAGE(OFFSET($CC$3,0,0,'Données projet'!$E$12+1,1))-AVERAGE(OFFSET($H$3,0,0,'Données projet'!$E$12+1,1))</f>
        <v>428.33148932885132</v>
      </c>
      <c r="CE64" s="59">
        <f t="shared" si="40"/>
        <v>262.27548054534373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11.918388918573438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11.918388918573438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66.389395329169361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5.4</v>
      </c>
      <c r="CT64" s="12">
        <f>IF('Données projet'!$A$140&gt;35,CT63+CS64-DB63,IF(A64&lt;'Données projet'!$A$140,$CQ$205^A64,IF(A64='Données projet'!$A$140,'Données projet'!$B$140,CT63+CS64-DB63)))</f>
        <v>139.39999999999998</v>
      </c>
      <c r="CU64" s="17">
        <f>CT64*VLOOKUP('Données projet'!$B$13,Paramètres!$A$1:$I$89,3,0)*VLOOKUP('Données projet'!$B$13,Paramètres!$A$1:$I$89,5,0)</f>
        <v>132.65303999999998</v>
      </c>
      <c r="CV64" s="13">
        <f t="shared" si="41"/>
        <v>34.60867631689176</v>
      </c>
      <c r="CW64" s="20">
        <f t="shared" si="13"/>
        <v>291.31415591858644</v>
      </c>
      <c r="CX64" s="59">
        <f t="shared" si="14"/>
        <v>571.40860545887404</v>
      </c>
      <c r="CY64" s="59">
        <f ca="1">AVERAGE(OFFSET($CX$3,0,0,'Données projet'!$E$13+1,1))-AVERAGE(OFFSET($H$3,0,0,'Données projet'!$E$13+1,1))</f>
        <v>307.62549820830162</v>
      </c>
      <c r="CZ64" s="59">
        <f t="shared" si="42"/>
        <v>160.26466014910304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6.3264505563914639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6.3264505563914639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66.389395329169361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4.4000000000000004</v>
      </c>
      <c r="DO64" s="12">
        <f>IF('Données projet'!$A$166&gt;35,DO63+DN64-DW63,IF(A64&lt;'Données projet'!$A$166,$DL$205^A64,IF(A64='Données projet'!$A$166,'Données projet'!$B$166,DO63+DN64-DW63)))</f>
        <v>237.39999999999984</v>
      </c>
      <c r="DP64" s="17">
        <f>DO64*VLOOKUP('Données projet'!$B$14,Paramètres!$A$1:$I$89,3,0)*VLOOKUP('Données projet'!$B$14,Paramètres!$A$1:$I$89,5,0)</f>
        <v>188.87543999999988</v>
      </c>
      <c r="DQ64" s="13">
        <f t="shared" si="43"/>
        <v>47.291242769027726</v>
      </c>
      <c r="DR64" s="20">
        <f t="shared" si="16"/>
        <v>411.32363915605634</v>
      </c>
      <c r="DS64" s="59">
        <f t="shared" si="17"/>
        <v>691.41808869634406</v>
      </c>
      <c r="DT64" s="59">
        <f ca="1">AVERAGE(OFFSET($DS$3,0,0,'Données projet'!$E$14+1,1))-AVERAGE(OFFSET($H$3,0,0,'Données projet'!$E$14+1,1))</f>
        <v>309.14579005132464</v>
      </c>
      <c r="DU64" s="59">
        <f t="shared" si="44"/>
        <v>300.60311050289533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13.193823203109835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13.193823203109835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66.389395329169361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5.2</v>
      </c>
      <c r="EJ64" s="12">
        <f>IF('Données projet'!$A$192&gt;35,EJ63+EI64-ER63,IF(A64&lt;'Données projet'!$A$192,$EG$205^A64,IF(A64='Données projet'!$A$192,'Données projet'!$B$192,EJ63+EI64-ER63)))</f>
        <v>285.19999999999987</v>
      </c>
      <c r="EK64" s="17">
        <f>EJ64*VLOOKUP('Données projet'!$B$15,Paramètres!$A$1:$I$89,3,0)*VLOOKUP('Données projet'!$B$15,Paramètres!$A$1:$I$89,5,0)</f>
        <v>209.10863999999989</v>
      </c>
      <c r="EL64" s="13">
        <f t="shared" si="45"/>
        <v>51.740752917407036</v>
      </c>
      <c r="EM64" s="20">
        <f t="shared" si="19"/>
        <v>454.31269266448368</v>
      </c>
      <c r="EN64" s="59">
        <f t="shared" si="20"/>
        <v>734.40714220477139</v>
      </c>
      <c r="EO64" s="59">
        <f ca="1">AVERAGE(OFFSET($EN$3,0,0,'Données projet'!$E$15+1,1))-AVERAGE(OFFSET($H$3,0,0,'Données projet'!$E$15+1,1))</f>
        <v>338.59243085476896</v>
      </c>
      <c r="EP64" s="59">
        <f t="shared" si="46"/>
        <v>329.8393445823275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14.719349967453232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14.719349967453232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66.389395329169361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5.2</v>
      </c>
      <c r="FE64" s="12">
        <f>IF('Données projet'!$A$218&gt;35,FE63+FD64-FM63,IF(A64&lt;'Données projet'!$A$218,$FB$205^A64,IF(A64='Données projet'!$A$218,'Données projet'!$B$218,FE63+FD64-FM63)))</f>
        <v>285.19999999999987</v>
      </c>
      <c r="FF64" s="17">
        <f>FE64*VLOOKUP('Données projet'!$B$16,Paramètres!$A$1:$I$89,3,0)*VLOOKUP('Données projet'!$B$16,Paramètres!$A$1:$I$89,5,0)</f>
        <v>186.86303999999993</v>
      </c>
      <c r="FG64" s="13">
        <f t="shared" si="47"/>
        <v>46.845744983534466</v>
      </c>
      <c r="FH64" s="20">
        <f t="shared" si="22"/>
        <v>407.04280051298906</v>
      </c>
      <c r="FI64" s="59">
        <f t="shared" si="23"/>
        <v>687.13725005327672</v>
      </c>
      <c r="FJ64" s="59">
        <f ca="1">AVERAGE(OFFSET($FI$3,0,0,'Données projet'!$E$16+1,1))-AVERAGE(OFFSET($H$3,0,0,'Données projet'!$E$16+1,1))</f>
        <v>307.50573770128085</v>
      </c>
      <c r="FK64" s="59">
        <f t="shared" si="48"/>
        <v>300.2007312562655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13.15346167304331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13.15346167304331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66.389395329169361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5.2</v>
      </c>
      <c r="FZ64" s="12">
        <f>IF('Données projet'!$A$244&gt;35,FZ63+FY64-GH63,IF(A64&lt;'Données projet'!$A$244,$FW$205^A64,IF(A64='Données projet'!$A$244,'Données projet'!$B$244,FZ63+FY64-GH63)))</f>
        <v>285.19999999999987</v>
      </c>
      <c r="GA64" s="17">
        <f>FZ64*VLOOKUP('Données projet'!$B$17,Paramètres!$A$1:$I$89,3,0)*VLOOKUP('Données projet'!$B$17,Paramètres!$A$1:$I$89,5,0)</f>
        <v>231.35423999999992</v>
      </c>
      <c r="GB64" s="13">
        <f t="shared" si="49"/>
        <v>56.575399756999062</v>
      </c>
      <c r="GC64" s="20">
        <f t="shared" si="25"/>
        <v>501.47745591010658</v>
      </c>
      <c r="GD64" s="59">
        <f t="shared" si="26"/>
        <v>781.5719054503943</v>
      </c>
      <c r="GE64" s="59">
        <f ca="1">AVERAGE(OFFSET($GD$3,0,0,'Données projet'!$E$17+1,1))-AVERAGE(OFFSET($H$3,0,0,'Données projet'!$E$17+1,1))</f>
        <v>369.60865427618342</v>
      </c>
      <c r="GF64" s="59">
        <f t="shared" si="50"/>
        <v>359.40898775279197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16.285238261863142</v>
      </c>
      <c r="GM64" s="21">
        <f>EXP(-LN(2)/25)*GM63+(1-EXP(-LN(2)/25))/(LN(2)/25)*Calculateur!GH64*Calculateur!GJ64*VLOOKUP('Données projet'!$B$17,Paramètres!$A$1:$I$89,3,0)*0.475*44/12</f>
        <v>0</v>
      </c>
      <c r="GN64" s="21">
        <f>EXP(-LN(2)/2)*GN63+(1-EXP(-LN(2)/2))/(LN(2)/2)*GH64*GK64*VLOOKUP('Données projet'!$B$17,Paramètres!$A$1:$I$89,3,0)*0.475*44/12</f>
        <v>0</v>
      </c>
      <c r="GO64" s="21">
        <f t="shared" si="27"/>
        <v>16.285238261863142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66.389395329169361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4.4000000000000004</v>
      </c>
      <c r="GU64" s="12">
        <f>IF('Données projet'!$A$270&gt;35,GU63+GT64-HC63,IF(A64&lt;'Données projet'!$A$270,$GR$205^A64,IF(A64='Données projet'!$A$270,'Données projet'!$B$270,GU63+GT64-HC63)))</f>
        <v>237.39999999999984</v>
      </c>
      <c r="GV64" s="17">
        <f>GU64*VLOOKUP('Données projet'!$B$18,Paramètres!$A$1:$I$89,3,0)*VLOOKUP('Données projet'!$B$18,Paramètres!$A$1:$I$89,5,0)</f>
        <v>155.54447999999988</v>
      </c>
      <c r="GW64" s="13">
        <f t="shared" si="51"/>
        <v>39.835914576715631</v>
      </c>
      <c r="GX64" s="20">
        <f t="shared" si="28"/>
        <v>340.28752055444613</v>
      </c>
      <c r="GY64" s="59">
        <f t="shared" si="29"/>
        <v>620.38197009473379</v>
      </c>
      <c r="GZ64" s="59">
        <f ca="1">AVERAGE(OFFSET($GY$3,0,0,'Données projet'!$E$18+1,1))-AVERAGE(OFFSET($H$3,0,0,'Données projet'!$E$18+1,1))</f>
        <v>262.62914256200031</v>
      </c>
      <c r="HA64" s="59">
        <f t="shared" si="52"/>
        <v>256.45129229594409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projet'!$B$18,Paramètres!$A$1:$I$89,3,0)*0.475*44/12</f>
        <v>8.8154068460289849</v>
      </c>
      <c r="HH64" s="21">
        <f>EXP(-LN(2)/25)*HH63+(1-EXP(-LN(2)/25))/(LN(2)/25)*Calculateur!HC64*Calculateur!HE64*VLOOKUP('Données projet'!$B$18,Paramètres!$A$1:$I$89,3,0)*0.475*44/12</f>
        <v>0</v>
      </c>
      <c r="HI64" s="21">
        <f>EXP(-LN(2)/2)*HI63+(1-EXP(-LN(2)/2))/(LN(2)/2)*HC64*HF64*VLOOKUP('Données projet'!$B$18,Paramètres!$A$1:$I$89,3,0)*0.475*44/12</f>
        <v>0</v>
      </c>
      <c r="HJ64" s="22">
        <f t="shared" si="30"/>
        <v>8.8154068460289849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2.1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7.7</v>
      </c>
      <c r="H65" s="67">
        <f t="shared" si="1"/>
        <v>225.86666666666665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66.452031248105513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10.4</v>
      </c>
      <c r="N65" s="13">
        <f>IF('Données projet'!$A$36&gt;35,N64+M65-V64,IF(A65&lt;'Données projet'!$A$36,$K$205^A65,IF(A65='Données projet'!$A$36,'Données projet'!$B$36,N64+M65-V64)))</f>
        <v>262.80000000000007</v>
      </c>
      <c r="O65" s="13">
        <f>N65*VLOOKUP('Données projet'!$B$9,Paramètres!$A$1:$I$89,3,0)*VLOOKUP('Données projet'!$B$9,Paramètres!$A$1:$I$89,5,0)</f>
        <v>225.4824000000001</v>
      </c>
      <c r="P65" s="13">
        <f t="shared" si="33"/>
        <v>55.304745901414421</v>
      </c>
      <c r="Q65" s="20">
        <f t="shared" si="53"/>
        <v>489.03761244496371</v>
      </c>
      <c r="R65" s="59">
        <f t="shared" si="0"/>
        <v>769.36172702135059</v>
      </c>
      <c r="S65" s="59">
        <f ca="1">AVERAGE(OFFSET($R$3,0,0,'Données projet'!$E$9+1,1))-AVERAGE(OFFSET($H$3,0,0,'Données projet'!$E$9+1,1))</f>
        <v>476.79071915271794</v>
      </c>
      <c r="T65" s="59">
        <f t="shared" si="34"/>
        <v>264.79929759351762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11.964850190687876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11.964850190687876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66.452031248105513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7.2</v>
      </c>
      <c r="AI65" s="13">
        <f>IF('Données projet'!$A$62&gt;35,AI64+AH65-AQ64,IF(A65&lt;'Données projet'!$A$62,$AF$205^A65,IF(A65='Données projet'!$A$62,'Données projet'!$B$62,AI64+AH65-AQ64)))</f>
        <v>207.39999999999998</v>
      </c>
      <c r="AJ65" s="13">
        <f>AI65*VLOOKUP('Données projet'!$B$10,Paramètres!$A$1:$I$89,3,0)*VLOOKUP('Données projet'!$B$10,Paramètres!$A$1:$I$89,5,0)</f>
        <v>174.71376000000001</v>
      </c>
      <c r="AK65" s="13">
        <f t="shared" si="35"/>
        <v>44.144062647515817</v>
      </c>
      <c r="AL65" s="20">
        <f t="shared" si="4"/>
        <v>381.17737444442338</v>
      </c>
      <c r="AM65" s="59">
        <f t="shared" si="5"/>
        <v>661.50148902081025</v>
      </c>
      <c r="AN65" s="59">
        <f ca="1">AVERAGE(OFFSET($AM$3,0,0,'Données projet'!$E$10+1,1))-AVERAGE(OFFSET($H$3,0,0,'Données projet'!$E$10+1,1))</f>
        <v>365.104658862176</v>
      </c>
      <c r="AO65" s="59">
        <f t="shared" si="36"/>
        <v>226.29232910286325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9.7072697753000199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9.7072697753000199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66.452031248105513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7.2</v>
      </c>
      <c r="BD65" s="12">
        <f>IF('Données projet'!$A$88&gt;35,BD64+BC65-BL64,IF(A65&lt;'Données projet'!$A$88,$BA$205^A65,IF(A65='Données projet'!$A$88,'Données projet'!$B$88,BD64+BC65-BL64)))</f>
        <v>207.39999999999998</v>
      </c>
      <c r="BE65" s="13">
        <f>BD65*VLOOKUP('Données projet'!$B$11,Paramètres!$A$1:$I$89,3,0)*VLOOKUP('Données projet'!$B$11,Paramètres!$A$1:$I$89,5,0)</f>
        <v>187.65551999999997</v>
      </c>
      <c r="BF65" s="13">
        <f t="shared" si="37"/>
        <v>47.021247649900147</v>
      </c>
      <c r="BG65" s="20">
        <f t="shared" si="7"/>
        <v>408.72870365690937</v>
      </c>
      <c r="BH65" s="59">
        <f t="shared" si="8"/>
        <v>689.05281823329619</v>
      </c>
      <c r="BI65" s="59">
        <f ca="1">AVERAGE(OFFSET($BH$3,0,0,'Données projet'!$E$11+1,1))-AVERAGE(OFFSET($H$3,0,0,'Données projet'!$E$11+1,1))</f>
        <v>388.12494342575195</v>
      </c>
      <c r="BJ65" s="59">
        <f t="shared" si="38"/>
        <v>239.39471445648454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10.42632679569261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10.42632679569261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66.452031248105513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7.2</v>
      </c>
      <c r="BY65" s="12">
        <f>IF('Données projet'!$A$114&gt;35,BY64+BX65-CG64,IF(A65&lt;'Données projet'!$A$114,$BV$205^A65,IF(A65='Données projet'!$A$114,'Données projet'!$B$114,BY64+BX65-CG64)))</f>
        <v>207.39999999999998</v>
      </c>
      <c r="BZ65" s="13">
        <f>BY65*VLOOKUP('Données projet'!$B$12,Paramètres!$A$1:$I$89,3,0)*VLOOKUP('Données projet'!$B$12,Paramètres!$A$1:$I$89,5,0)</f>
        <v>210.30360000000002</v>
      </c>
      <c r="CA65" s="13">
        <f t="shared" si="39"/>
        <v>52.001924357524459</v>
      </c>
      <c r="CB65" s="20">
        <f t="shared" si="10"/>
        <v>456.84878825602169</v>
      </c>
      <c r="CC65" s="59">
        <f t="shared" si="11"/>
        <v>737.17290283240857</v>
      </c>
      <c r="CD65" s="59">
        <f ca="1">AVERAGE(OFFSET($CC$3,0,0,'Données projet'!$E$12+1,1))-AVERAGE(OFFSET($H$3,0,0,'Données projet'!$E$12+1,1))</f>
        <v>428.33148932885132</v>
      </c>
      <c r="CE65" s="59">
        <f t="shared" si="40"/>
        <v>262.27548054534373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11.68467658137965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11.68467658137965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66.452031248105513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5.4</v>
      </c>
      <c r="CT65" s="12">
        <f>IF('Données projet'!$A$140&gt;35,CT64+CS65-DB64,IF(A65&lt;'Données projet'!$A$140,$CQ$205^A65,IF(A65='Données projet'!$A$140,'Données projet'!$B$140,CT64+CS65-DB64)))</f>
        <v>144.79999999999998</v>
      </c>
      <c r="CU65" s="17">
        <f>CT65*VLOOKUP('Données projet'!$B$13,Paramètres!$A$1:$I$89,3,0)*VLOOKUP('Données projet'!$B$13,Paramètres!$A$1:$I$89,5,0)</f>
        <v>137.79167999999999</v>
      </c>
      <c r="CV65" s="13">
        <f t="shared" si="41"/>
        <v>35.790643217159939</v>
      </c>
      <c r="CW65" s="20">
        <f t="shared" si="13"/>
        <v>302.3225462698868</v>
      </c>
      <c r="CX65" s="59">
        <f t="shared" si="14"/>
        <v>582.64666084627368</v>
      </c>
      <c r="CY65" s="59">
        <f ca="1">AVERAGE(OFFSET($CX$3,0,0,'Données projet'!$E$13+1,1))-AVERAGE(OFFSET($H$3,0,0,'Données projet'!$E$13+1,1))</f>
        <v>307.62549820830162</v>
      </c>
      <c r="CZ65" s="59">
        <f t="shared" si="42"/>
        <v>160.26466014910304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6.2023927197344468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6.2023927197344468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66.452031248105513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4.4000000000000004</v>
      </c>
      <c r="DO65" s="12">
        <f>IF('Données projet'!$A$166&gt;35,DO64+DN65-DW64,IF(A65&lt;'Données projet'!$A$166,$DL$205^A65,IF(A65='Données projet'!$A$166,'Données projet'!$B$166,DO64+DN65-DW64)))</f>
        <v>241.79999999999984</v>
      </c>
      <c r="DP65" s="17">
        <f>DO65*VLOOKUP('Données projet'!$B$14,Paramètres!$A$1:$I$89,3,0)*VLOOKUP('Données projet'!$B$14,Paramètres!$A$1:$I$89,5,0)</f>
        <v>192.37607999999989</v>
      </c>
      <c r="DQ65" s="13">
        <f t="shared" si="43"/>
        <v>48.064889828485896</v>
      </c>
      <c r="DR65" s="20">
        <f t="shared" si="16"/>
        <v>418.76802245127936</v>
      </c>
      <c r="DS65" s="59">
        <f t="shared" si="17"/>
        <v>699.09213702766624</v>
      </c>
      <c r="DT65" s="59">
        <f ca="1">AVERAGE(OFFSET($DS$3,0,0,'Données projet'!$E$14+1,1))-AVERAGE(OFFSET($H$3,0,0,'Données projet'!$E$14+1,1))</f>
        <v>309.14579005132464</v>
      </c>
      <c r="DU65" s="59">
        <f t="shared" si="44"/>
        <v>300.60311050289533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12.935100377534386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12.935100377534386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66.452031248105513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5.2</v>
      </c>
      <c r="EJ65" s="12">
        <f>IF('Données projet'!$A$192&gt;35,EJ64+EI65-ER64,IF(A65&lt;'Données projet'!$A$192,$EG$205^A65,IF(A65='Données projet'!$A$192,'Données projet'!$B$192,EJ64+EI65-ER64)))</f>
        <v>290.39999999999986</v>
      </c>
      <c r="EK65" s="17">
        <f>EJ65*VLOOKUP('Données projet'!$B$15,Paramètres!$A$1:$I$89,3,0)*VLOOKUP('Données projet'!$B$15,Paramètres!$A$1:$I$89,5,0)</f>
        <v>212.92127999999988</v>
      </c>
      <c r="EL65" s="13">
        <f t="shared" si="45"/>
        <v>52.57344469809297</v>
      </c>
      <c r="EM65" s="20">
        <f t="shared" si="19"/>
        <v>462.40331218251168</v>
      </c>
      <c r="EN65" s="59">
        <f t="shared" si="20"/>
        <v>742.72742675889856</v>
      </c>
      <c r="EO65" s="59">
        <f ca="1">AVERAGE(OFFSET($EN$3,0,0,'Données projet'!$E$15+1,1))-AVERAGE(OFFSET($H$3,0,0,'Données projet'!$E$15+1,1))</f>
        <v>338.59243085476896</v>
      </c>
      <c r="EP65" s="59">
        <f t="shared" si="46"/>
        <v>329.8393445823275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14.430712492508459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14.430712492508459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66.452031248105513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5.2</v>
      </c>
      <c r="FE65" s="12">
        <f>IF('Données projet'!$A$218&gt;35,FE64+FD65-FM64,IF(A65&lt;'Données projet'!$A$218,$FB$205^A65,IF(A65='Données projet'!$A$218,'Données projet'!$B$218,FE64+FD65-FM64)))</f>
        <v>290.39999999999986</v>
      </c>
      <c r="FF65" s="17">
        <f>FE65*VLOOKUP('Données projet'!$B$16,Paramètres!$A$1:$I$89,3,0)*VLOOKUP('Données projet'!$B$16,Paramètres!$A$1:$I$89,5,0)</f>
        <v>190.27007999999989</v>
      </c>
      <c r="FG65" s="13">
        <f t="shared" si="47"/>
        <v>47.599658767320413</v>
      </c>
      <c r="FH65" s="20">
        <f t="shared" si="22"/>
        <v>414.28979501974953</v>
      </c>
      <c r="FI65" s="59">
        <f t="shared" si="23"/>
        <v>694.61390959613641</v>
      </c>
      <c r="FJ65" s="59">
        <f ca="1">AVERAGE(OFFSET($FI$3,0,0,'Données projet'!$E$16+1,1))-AVERAGE(OFFSET($H$3,0,0,'Données projet'!$E$16+1,1))</f>
        <v>307.50573770128085</v>
      </c>
      <c r="FK65" s="59">
        <f t="shared" si="48"/>
        <v>300.2007312562655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12.895530312454364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12.895530312454364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66.452031248105513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5.2</v>
      </c>
      <c r="FZ65" s="12">
        <f>IF('Données projet'!$A$244&gt;35,FZ64+FY65-GH64,IF(A65&lt;'Données projet'!$A$244,$FW$205^A65,IF(A65='Données projet'!$A$244,'Données projet'!$B$244,FZ64+FY65-GH64)))</f>
        <v>290.39999999999986</v>
      </c>
      <c r="GA65" s="17">
        <f>FZ65*VLOOKUP('Données projet'!$B$17,Paramètres!$A$1:$I$89,3,0)*VLOOKUP('Données projet'!$B$17,Paramètres!$A$1:$I$89,5,0)</f>
        <v>235.5724799999999</v>
      </c>
      <c r="GB65" s="13">
        <f t="shared" si="49"/>
        <v>57.485898111011707</v>
      </c>
      <c r="GC65" s="20">
        <f t="shared" si="25"/>
        <v>510.41000854334516</v>
      </c>
      <c r="GD65" s="59">
        <f t="shared" si="26"/>
        <v>790.73412311973198</v>
      </c>
      <c r="GE65" s="59">
        <f ca="1">AVERAGE(OFFSET($GD$3,0,0,'Données projet'!$E$17+1,1))-AVERAGE(OFFSET($H$3,0,0,'Données projet'!$E$17+1,1))</f>
        <v>369.60865427618342</v>
      </c>
      <c r="GF65" s="59">
        <f t="shared" si="50"/>
        <v>359.40898775279197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15.965894672562543</v>
      </c>
      <c r="GM65" s="21">
        <f>EXP(-LN(2)/25)*GM64+(1-EXP(-LN(2)/25))/(LN(2)/25)*Calculateur!GH65*Calculateur!GJ65*VLOOKUP('Données projet'!$B$17,Paramètres!$A$1:$I$89,3,0)*0.475*44/12</f>
        <v>0</v>
      </c>
      <c r="GN65" s="21">
        <f>EXP(-LN(2)/2)*GN64+(1-EXP(-LN(2)/2))/(LN(2)/2)*GH65*GK65*VLOOKUP('Données projet'!$B$17,Paramètres!$A$1:$I$89,3,0)*0.475*44/12</f>
        <v>0</v>
      </c>
      <c r="GO65" s="21">
        <f t="shared" si="27"/>
        <v>15.965894672562543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66.452031248105513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4.4000000000000004</v>
      </c>
      <c r="GU65" s="12">
        <f>IF('Données projet'!$A$270&gt;35,GU64+GT65-HC64,IF(A65&lt;'Données projet'!$A$270,$GR$205^A65,IF(A65='Données projet'!$A$270,'Données projet'!$B$270,GU64+GT65-HC64)))</f>
        <v>241.79999999999984</v>
      </c>
      <c r="GV65" s="17">
        <f>GU65*VLOOKUP('Données projet'!$B$18,Paramètres!$A$1:$I$89,3,0)*VLOOKUP('Données projet'!$B$18,Paramètres!$A$1:$I$89,5,0)</f>
        <v>158.42735999999988</v>
      </c>
      <c r="GW65" s="13">
        <f t="shared" si="51"/>
        <v>40.487598405868212</v>
      </c>
      <c r="GX65" s="20">
        <f t="shared" si="28"/>
        <v>346.44355255688691</v>
      </c>
      <c r="GY65" s="59">
        <f t="shared" si="29"/>
        <v>626.76766713327379</v>
      </c>
      <c r="GZ65" s="59">
        <f ca="1">AVERAGE(OFFSET($GY$3,0,0,'Données projet'!$E$18+1,1))-AVERAGE(OFFSET($H$3,0,0,'Données projet'!$E$18+1,1))</f>
        <v>262.62914256200031</v>
      </c>
      <c r="HA65" s="59">
        <f t="shared" si="52"/>
        <v>256.45129229594409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projet'!$B$18,Paramètres!$A$1:$I$89,3,0)*0.475*44/12</f>
        <v>8.6425420946456111</v>
      </c>
      <c r="HH65" s="21">
        <f>EXP(-LN(2)/25)*HH64+(1-EXP(-LN(2)/25))/(LN(2)/25)*Calculateur!HC65*Calculateur!HE65*VLOOKUP('Données projet'!$B$18,Paramètres!$A$1:$I$89,3,0)*0.475*44/12</f>
        <v>0</v>
      </c>
      <c r="HI65" s="21">
        <f>EXP(-LN(2)/2)*HI64+(1-EXP(-LN(2)/2))/(LN(2)/2)*HC65*HF65*VLOOKUP('Données projet'!$B$18,Paramètres!$A$1:$I$89,3,0)*0.475*44/12</f>
        <v>0</v>
      </c>
      <c r="HJ65" s="22">
        <f t="shared" si="30"/>
        <v>8.6425420946456111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2.1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7.7</v>
      </c>
      <c r="H66" s="67">
        <f t="shared" si="1"/>
        <v>225.86666666666665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66.513580573881057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10.4</v>
      </c>
      <c r="N66" s="13">
        <f>IF('Données projet'!$A$36&gt;35,N65+M66-V65,IF(A66&lt;'Données projet'!$A$36,$K$205^A66,IF(A66='Données projet'!$A$36,'Données projet'!$B$36,N65+M66-V65)))</f>
        <v>273.20000000000005</v>
      </c>
      <c r="O66" s="13">
        <f>N66*VLOOKUP('Données projet'!$B$9,Paramètres!$A$1:$I$89,3,0)*VLOOKUP('Données projet'!$B$9,Paramètres!$A$1:$I$89,5,0)</f>
        <v>234.40560000000008</v>
      </c>
      <c r="P66" s="13">
        <f t="shared" si="33"/>
        <v>57.234220788626125</v>
      </c>
      <c r="Q66" s="20">
        <f t="shared" si="53"/>
        <v>507.93935454019061</v>
      </c>
      <c r="R66" s="59">
        <f t="shared" si="0"/>
        <v>788.48914997775455</v>
      </c>
      <c r="S66" s="59">
        <f ca="1">AVERAGE(OFFSET($R$3,0,0,'Données projet'!$E$9+1,1))-AVERAGE(OFFSET($H$3,0,0,'Données projet'!$E$9+1,1))</f>
        <v>476.79071915271794</v>
      </c>
      <c r="T66" s="59">
        <f t="shared" si="34"/>
        <v>264.79929759351762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11.730226776286502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11.730226776286502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66.513580573881057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7.2</v>
      </c>
      <c r="AI66" s="13">
        <f>IF('Données projet'!$A$62&gt;35,AI65+AH66-AQ65,IF(A66&lt;'Données projet'!$A$62,$AF$205^A66,IF(A66='Données projet'!$A$62,'Données projet'!$B$62,AI65+AH66-AQ65)))</f>
        <v>214.59999999999997</v>
      </c>
      <c r="AJ66" s="13">
        <f>AI66*VLOOKUP('Données projet'!$B$10,Paramètres!$A$1:$I$89,3,0)*VLOOKUP('Données projet'!$B$10,Paramètres!$A$1:$I$89,5,0)</f>
        <v>180.77903999999998</v>
      </c>
      <c r="AK66" s="13">
        <f t="shared" si="35"/>
        <v>45.495464625737284</v>
      </c>
      <c r="AL66" s="20">
        <f t="shared" si="4"/>
        <v>394.09476222315908</v>
      </c>
      <c r="AM66" s="59">
        <f t="shared" si="5"/>
        <v>674.64455766072297</v>
      </c>
      <c r="AN66" s="59">
        <f ca="1">AVERAGE(OFFSET($AM$3,0,0,'Données projet'!$E$10+1,1))-AVERAGE(OFFSET($H$3,0,0,'Données projet'!$E$10+1,1))</f>
        <v>365.104658862176</v>
      </c>
      <c r="AO66" s="59">
        <f t="shared" si="36"/>
        <v>226.29232910286325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9.5169161358563148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9.5169161358563148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66.513580573881057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7.2</v>
      </c>
      <c r="BD66" s="12">
        <f>IF('Données projet'!$A$88&gt;35,BD65+BC66-BL65,IF(A66&lt;'Données projet'!$A$88,$BA$205^A66,IF(A66='Données projet'!$A$88,'Données projet'!$B$88,BD65+BC66-BL65)))</f>
        <v>214.59999999999997</v>
      </c>
      <c r="BE66" s="13">
        <f>BD66*VLOOKUP('Données projet'!$B$11,Paramètres!$A$1:$I$89,3,0)*VLOOKUP('Données projet'!$B$11,Paramètres!$A$1:$I$89,5,0)</f>
        <v>194.17007999999996</v>
      </c>
      <c r="BF66" s="13">
        <f t="shared" si="37"/>
        <v>48.460730182351035</v>
      </c>
      <c r="BG66" s="20">
        <f t="shared" si="7"/>
        <v>422.5819944009279</v>
      </c>
      <c r="BH66" s="59">
        <f t="shared" si="8"/>
        <v>703.13178983849184</v>
      </c>
      <c r="BI66" s="59">
        <f ca="1">AVERAGE(OFFSET($BH$3,0,0,'Données projet'!$E$11+1,1))-AVERAGE(OFFSET($H$3,0,0,'Données projet'!$E$11+1,1))</f>
        <v>388.12494342575195</v>
      </c>
      <c r="BJ66" s="59">
        <f t="shared" si="38"/>
        <v>239.39471445648454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10.221872886660481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10.221872886660481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66.513580573881057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7.2</v>
      </c>
      <c r="BY66" s="12">
        <f>IF('Données projet'!$A$114&gt;35,BY65+BX66-CG65,IF(A66&lt;'Données projet'!$A$114,$BV$205^A66,IF(A66='Données projet'!$A$114,'Données projet'!$B$114,BY65+BX66-CG65)))</f>
        <v>214.59999999999997</v>
      </c>
      <c r="BZ66" s="13">
        <f>BY66*VLOOKUP('Données projet'!$B$12,Paramètres!$A$1:$I$89,3,0)*VLOOKUP('Données projet'!$B$12,Paramètres!$A$1:$I$89,5,0)</f>
        <v>217.60439999999997</v>
      </c>
      <c r="CA66" s="13">
        <f t="shared" si="39"/>
        <v>53.593882578706356</v>
      </c>
      <c r="CB66" s="20">
        <f t="shared" si="10"/>
        <v>472.33700882458015</v>
      </c>
      <c r="CC66" s="59">
        <f t="shared" si="11"/>
        <v>752.8868042621441</v>
      </c>
      <c r="CD66" s="59">
        <f ca="1">AVERAGE(OFFSET($CC$3,0,0,'Données projet'!$E$12+1,1))-AVERAGE(OFFSET($H$3,0,0,'Données projet'!$E$12+1,1))</f>
        <v>428.33148932885132</v>
      </c>
      <c r="CE66" s="59">
        <f t="shared" si="40"/>
        <v>262.27548054534373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11.455547200567782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11.455547200567782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66.513580573881057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5.4</v>
      </c>
      <c r="CT66" s="12">
        <f>IF('Données projet'!$A$140&gt;35,CT65+CS66-DB65,IF(A66&lt;'Données projet'!$A$140,$CQ$205^A66,IF(A66='Données projet'!$A$140,'Données projet'!$B$140,CT65+CS66-DB65)))</f>
        <v>150.19999999999999</v>
      </c>
      <c r="CU66" s="17">
        <f>CT66*VLOOKUP('Données projet'!$B$13,Paramètres!$A$1:$I$89,3,0)*VLOOKUP('Données projet'!$B$13,Paramètres!$A$1:$I$89,5,0)</f>
        <v>142.93031999999999</v>
      </c>
      <c r="CV66" s="13">
        <f t="shared" si="41"/>
        <v>36.967489202444952</v>
      </c>
      <c r="CW66" s="20">
        <f t="shared" si="13"/>
        <v>313.32201769425825</v>
      </c>
      <c r="CX66" s="59">
        <f t="shared" si="14"/>
        <v>593.87181313182214</v>
      </c>
      <c r="CY66" s="59">
        <f ca="1">AVERAGE(OFFSET($CX$3,0,0,'Données projet'!$E$13+1,1))-AVERAGE(OFFSET($H$3,0,0,'Données projet'!$E$13+1,1))</f>
        <v>307.62549820830162</v>
      </c>
      <c r="CZ66" s="59">
        <f t="shared" si="42"/>
        <v>160.26466014910304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6.080767581586465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6.080767581586465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66.513580573881057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4.4000000000000004</v>
      </c>
      <c r="DO66" s="12">
        <f>IF('Données projet'!$A$166&gt;35,DO65+DN66-DW65,IF(A66&lt;'Données projet'!$A$166,$DL$205^A66,IF(A66='Données projet'!$A$166,'Données projet'!$B$166,DO65+DN66-DW65)))</f>
        <v>246.19999999999985</v>
      </c>
      <c r="DP66" s="17">
        <f>DO66*VLOOKUP('Données projet'!$B$14,Paramètres!$A$1:$I$89,3,0)*VLOOKUP('Données projet'!$B$14,Paramètres!$A$1:$I$89,5,0)</f>
        <v>195.87671999999989</v>
      </c>
      <c r="DQ66" s="13">
        <f t="shared" si="43"/>
        <v>48.836899853879942</v>
      </c>
      <c r="DR66" s="20">
        <f t="shared" si="16"/>
        <v>426.20955457884071</v>
      </c>
      <c r="DS66" s="59">
        <f t="shared" si="17"/>
        <v>706.7593500164046</v>
      </c>
      <c r="DT66" s="59">
        <f ca="1">AVERAGE(OFFSET($DS$3,0,0,'Données projet'!$E$14+1,1))-AVERAGE(OFFSET($H$3,0,0,'Données projet'!$E$14+1,1))</f>
        <v>309.14579005132464</v>
      </c>
      <c r="DU66" s="59">
        <f t="shared" si="44"/>
        <v>300.60311050289533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12.68145094876313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12.68145094876313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66.513580573881057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5.2</v>
      </c>
      <c r="EJ66" s="12">
        <f>IF('Données projet'!$A$192&gt;35,EJ65+EI66-ER65,IF(A66&lt;'Données projet'!$A$192,$EG$205^A66,IF(A66='Données projet'!$A$192,'Données projet'!$B$192,EJ65+EI66-ER65)))</f>
        <v>295.59999999999985</v>
      </c>
      <c r="EK66" s="17">
        <f>EJ66*VLOOKUP('Données projet'!$B$15,Paramètres!$A$1:$I$89,3,0)*VLOOKUP('Données projet'!$B$15,Paramètres!$A$1:$I$89,5,0)</f>
        <v>216.7339199999999</v>
      </c>
      <c r="EL66" s="13">
        <f t="shared" si="45"/>
        <v>53.404402610883679</v>
      </c>
      <c r="EM66" s="20">
        <f t="shared" si="19"/>
        <v>470.49091188062221</v>
      </c>
      <c r="EN66" s="59">
        <f t="shared" si="20"/>
        <v>751.04070731818615</v>
      </c>
      <c r="EO66" s="59">
        <f ca="1">AVERAGE(OFFSET($EN$3,0,0,'Données projet'!$E$15+1,1))-AVERAGE(OFFSET($H$3,0,0,'Données projet'!$E$15+1,1))</f>
        <v>338.59243085476896</v>
      </c>
      <c r="EP66" s="59">
        <f t="shared" si="46"/>
        <v>329.8393445823275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14.147735022395876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14.147735022395876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66.513580573881057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5.2</v>
      </c>
      <c r="FE66" s="12">
        <f>IF('Données projet'!$A$218&gt;35,FE65+FD66-FM65,IF(A66&lt;'Données projet'!$A$218,$FB$205^A66,IF(A66='Données projet'!$A$218,'Données projet'!$B$218,FE65+FD66-FM65)))</f>
        <v>295.59999999999985</v>
      </c>
      <c r="FF66" s="17">
        <f>FE66*VLOOKUP('Données projet'!$B$16,Paramètres!$A$1:$I$89,3,0)*VLOOKUP('Données projet'!$B$16,Paramètres!$A$1:$I$89,5,0)</f>
        <v>193.67711999999989</v>
      </c>
      <c r="FG66" s="13">
        <f t="shared" si="47"/>
        <v>48.352002718263378</v>
      </c>
      <c r="FH66" s="20">
        <f t="shared" si="22"/>
        <v>421.53405540097515</v>
      </c>
      <c r="FI66" s="59">
        <f t="shared" si="23"/>
        <v>702.08385083853909</v>
      </c>
      <c r="FJ66" s="59">
        <f ca="1">AVERAGE(OFFSET($FI$3,0,0,'Données projet'!$E$16+1,1))-AVERAGE(OFFSET($H$3,0,0,'Données projet'!$E$16+1,1))</f>
        <v>307.50573770128085</v>
      </c>
      <c r="FK66" s="59">
        <f t="shared" si="48"/>
        <v>300.2007312562655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12.64265682852397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12.64265682852397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66.513580573881057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5.2</v>
      </c>
      <c r="FZ66" s="12">
        <f>IF('Données projet'!$A$244&gt;35,FZ65+FY66-GH65,IF(A66&lt;'Données projet'!$A$244,$FW$205^A66,IF(A66='Données projet'!$A$244,'Données projet'!$B$244,FZ65+FY66-GH65)))</f>
        <v>295.59999999999985</v>
      </c>
      <c r="GA66" s="17">
        <f>FZ66*VLOOKUP('Données projet'!$B$17,Paramètres!$A$1:$I$89,3,0)*VLOOKUP('Données projet'!$B$17,Paramètres!$A$1:$I$89,5,0)</f>
        <v>239.79071999999991</v>
      </c>
      <c r="GB66" s="13">
        <f t="shared" si="49"/>
        <v>58.394500584818381</v>
      </c>
      <c r="GC66" s="20">
        <f t="shared" si="25"/>
        <v>519.33925918522516</v>
      </c>
      <c r="GD66" s="59">
        <f t="shared" si="26"/>
        <v>799.88905462278899</v>
      </c>
      <c r="GE66" s="59">
        <f ca="1">AVERAGE(OFFSET($GD$3,0,0,'Données projet'!$E$17+1,1))-AVERAGE(OFFSET($H$3,0,0,'Données projet'!$E$17+1,1))</f>
        <v>369.60865427618342</v>
      </c>
      <c r="GF66" s="59">
        <f t="shared" si="50"/>
        <v>359.40898775279197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15.652813216267772</v>
      </c>
      <c r="GM66" s="21">
        <f>EXP(-LN(2)/25)*GM65+(1-EXP(-LN(2)/25))/(LN(2)/25)*Calculateur!GH66*Calculateur!GJ66*VLOOKUP('Données projet'!$B$17,Paramètres!$A$1:$I$89,3,0)*0.475*44/12</f>
        <v>0</v>
      </c>
      <c r="GN66" s="21">
        <f>EXP(-LN(2)/2)*GN65+(1-EXP(-LN(2)/2))/(LN(2)/2)*GH66*GK66*VLOOKUP('Données projet'!$B$17,Paramètres!$A$1:$I$89,3,0)*0.475*44/12</f>
        <v>0</v>
      </c>
      <c r="GO66" s="21">
        <f t="shared" si="27"/>
        <v>15.652813216267772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66.513580573881057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4.4000000000000004</v>
      </c>
      <c r="GU66" s="12">
        <f>IF('Données projet'!$A$270&gt;35,GU65+GT66-HC65,IF(A66&lt;'Données projet'!$A$270,$GR$205^A66,IF(A66='Données projet'!$A$270,'Données projet'!$B$270,GU65+GT66-HC65)))</f>
        <v>246.19999999999985</v>
      </c>
      <c r="GV66" s="17">
        <f>GU66*VLOOKUP('Données projet'!$B$18,Paramètres!$A$1:$I$89,3,0)*VLOOKUP('Données projet'!$B$18,Paramètres!$A$1:$I$89,5,0)</f>
        <v>161.31023999999988</v>
      </c>
      <c r="GW66" s="13">
        <f t="shared" si="51"/>
        <v>41.137903274661063</v>
      </c>
      <c r="GX66" s="20">
        <f t="shared" si="28"/>
        <v>352.59718287003443</v>
      </c>
      <c r="GY66" s="59">
        <f t="shared" si="29"/>
        <v>633.14697830759837</v>
      </c>
      <c r="GZ66" s="59">
        <f ca="1">AVERAGE(OFFSET($GY$3,0,0,'Données projet'!$E$18+1,1))-AVERAGE(OFFSET($H$3,0,0,'Données projet'!$E$18+1,1))</f>
        <v>262.62914256200031</v>
      </c>
      <c r="HA66" s="59">
        <f t="shared" si="52"/>
        <v>256.45129229594409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>
        <f>EXP(-LN(2)/35)*HG65+(1-EXP(-LN(2)/35))/(LN(2)/35)*HC66*HD66*VLOOKUP('Données projet'!$B$18,Paramètres!$A$1:$I$89,3,0)*0.475*44/12</f>
        <v>8.4730671155997772</v>
      </c>
      <c r="HH66" s="21">
        <f>EXP(-LN(2)/25)*HH65+(1-EXP(-LN(2)/25))/(LN(2)/25)*Calculateur!HC66*Calculateur!HE66*VLOOKUP('Données projet'!$B$18,Paramètres!$A$1:$I$89,3,0)*0.475*44/12</f>
        <v>0</v>
      </c>
      <c r="HI66" s="21">
        <f>EXP(-LN(2)/2)*HI65+(1-EXP(-LN(2)/2))/(LN(2)/2)*HC66*HF66*VLOOKUP('Données projet'!$B$18,Paramètres!$A$1:$I$89,3,0)*0.475*44/12</f>
        <v>0</v>
      </c>
      <c r="HJ66" s="22">
        <f t="shared" si="30"/>
        <v>8.4730671155997772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2.1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7.7</v>
      </c>
      <c r="H67" s="67">
        <f t="shared" si="1"/>
        <v>225.86666666666665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66.574062156458083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10.4</v>
      </c>
      <c r="N67" s="13">
        <f>IF('Données projet'!$A$36&gt;35,N66+M67-V66,IF(A67&lt;'Données projet'!$A$36,$K$205^A67,IF(A67='Données projet'!$A$36,'Données projet'!$B$36,N66+M67-V66)))</f>
        <v>283.60000000000002</v>
      </c>
      <c r="O67" s="13">
        <f>N67*VLOOKUP('Données projet'!$B$9,Paramètres!$A$1:$I$89,3,0)*VLOOKUP('Données projet'!$B$9,Paramètres!$A$1:$I$89,5,0)</f>
        <v>243.32880000000003</v>
      </c>
      <c r="P67" s="13">
        <f t="shared" si="33"/>
        <v>59.155162833418565</v>
      </c>
      <c r="Q67" s="20">
        <f t="shared" ref="Q67:Q98" si="54">(O67+P67)*0.475*44/12</f>
        <v>526.82623526820407</v>
      </c>
      <c r="R67" s="59">
        <f t="shared" ref="R67:R130" si="55">Q67+(I67+J67)*44/12</f>
        <v>807.59779650855035</v>
      </c>
      <c r="S67" s="59">
        <f ca="1">AVERAGE(OFFSET($R$3,0,0,'Données projet'!$E$9+1,1))-AVERAGE(OFFSET($H$3,0,0,'Données projet'!$E$9+1,1))</f>
        <v>476.79071915271794</v>
      </c>
      <c r="T67" s="59">
        <f t="shared" si="34"/>
        <v>264.79929759351762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11.500204183935386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11.500204183935386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66.574062156458083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7.2</v>
      </c>
      <c r="AI67" s="13">
        <f>IF('Données projet'!$A$62&gt;35,AI66+AH67-AQ66,IF(A67&lt;'Données projet'!$A$62,$AF$205^A67,IF(A67='Données projet'!$A$62,'Données projet'!$B$62,AI66+AH67-AQ66)))</f>
        <v>221.79999999999995</v>
      </c>
      <c r="AJ67" s="13">
        <f>AI67*VLOOKUP('Données projet'!$B$10,Paramètres!$A$1:$I$89,3,0)*VLOOKUP('Données projet'!$B$10,Paramètres!$A$1:$I$89,5,0)</f>
        <v>186.84431999999998</v>
      </c>
      <c r="AK67" s="13">
        <f t="shared" si="35"/>
        <v>46.841598205171657</v>
      </c>
      <c r="AL67" s="20">
        <f t="shared" si="4"/>
        <v>407.00297420734063</v>
      </c>
      <c r="AM67" s="59">
        <f t="shared" si="5"/>
        <v>687.77453544768696</v>
      </c>
      <c r="AN67" s="59">
        <f ca="1">AVERAGE(OFFSET($AM$3,0,0,'Données projet'!$E$10+1,1))-AVERAGE(OFFSET($H$3,0,0,'Données projet'!$E$10+1,1))</f>
        <v>365.104658862176</v>
      </c>
      <c r="AO67" s="59">
        <f t="shared" si="36"/>
        <v>226.29232910286325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9.3302952151778449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9.3302952151778449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66.574062156458083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7.2</v>
      </c>
      <c r="BD67" s="12">
        <f>IF('Données projet'!$A$88&gt;35,BD66+BC67-BL66,IF(A67&lt;'Données projet'!$A$88,$BA$205^A67,IF(A67='Données projet'!$A$88,'Données projet'!$B$88,BD66+BC67-BL66)))</f>
        <v>221.79999999999995</v>
      </c>
      <c r="BE67" s="13">
        <f>BD67*VLOOKUP('Données projet'!$B$11,Paramètres!$A$1:$I$89,3,0)*VLOOKUP('Données projet'!$B$11,Paramètres!$A$1:$I$89,5,0)</f>
        <v>200.68463999999997</v>
      </c>
      <c r="BF67" s="13">
        <f t="shared" si="37"/>
        <v>49.894600936700193</v>
      </c>
      <c r="BG67" s="20">
        <f t="shared" si="7"/>
        <v>436.42551129808612</v>
      </c>
      <c r="BH67" s="59">
        <f t="shared" si="8"/>
        <v>717.19707253843239</v>
      </c>
      <c r="BI67" s="59">
        <f ca="1">AVERAGE(OFFSET($BH$3,0,0,'Données projet'!$E$11+1,1))-AVERAGE(OFFSET($H$3,0,0,'Données projet'!$E$11+1,1))</f>
        <v>388.12494342575195</v>
      </c>
      <c r="BJ67" s="59">
        <f t="shared" si="38"/>
        <v>239.39471445648454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10.021428194079903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10.021428194079903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66.574062156458083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7.2</v>
      </c>
      <c r="BY67" s="12">
        <f>IF('Données projet'!$A$114&gt;35,BY66+BX67-CG66,IF(A67&lt;'Données projet'!$A$114,$BV$205^A67,IF(A67='Données projet'!$A$114,'Données projet'!$B$114,BY66+BX67-CG66)))</f>
        <v>221.79999999999995</v>
      </c>
      <c r="BZ67" s="13">
        <f>BY67*VLOOKUP('Données projet'!$B$12,Paramètres!$A$1:$I$89,3,0)*VLOOKUP('Données projet'!$B$12,Paramètres!$A$1:$I$89,5,0)</f>
        <v>224.90519999999998</v>
      </c>
      <c r="CA67" s="13">
        <f t="shared" si="39"/>
        <v>55.17963460003309</v>
      </c>
      <c r="CB67" s="20">
        <f t="shared" si="10"/>
        <v>487.81442026172425</v>
      </c>
      <c r="CC67" s="59">
        <f t="shared" si="11"/>
        <v>768.58598150207058</v>
      </c>
      <c r="CD67" s="59">
        <f ca="1">AVERAGE(OFFSET($CC$3,0,0,'Données projet'!$E$12+1,1))-AVERAGE(OFFSET($H$3,0,0,'Données projet'!$E$12+1,1))</f>
        <v>428.33148932885132</v>
      </c>
      <c r="CE67" s="59">
        <f t="shared" si="40"/>
        <v>262.27548054534373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11.230910907158512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11.230910907158512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66.574062156458083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5.4</v>
      </c>
      <c r="CT67" s="12">
        <f>IF('Données projet'!$A$140&gt;35,CT66+CS67-DB66,IF(A67&lt;'Données projet'!$A$140,$CQ$205^A67,IF(A67='Données projet'!$A$140,'Données projet'!$B$140,CT66+CS67-DB66)))</f>
        <v>155.6</v>
      </c>
      <c r="CU67" s="17">
        <f>CT67*VLOOKUP('Données projet'!$B$13,Paramètres!$A$1:$I$89,3,0)*VLOOKUP('Données projet'!$B$13,Paramètres!$A$1:$I$89,5,0)</f>
        <v>148.06896</v>
      </c>
      <c r="CV67" s="13">
        <f t="shared" si="41"/>
        <v>38.139419470750966</v>
      </c>
      <c r="CW67" s="20">
        <f t="shared" si="13"/>
        <v>324.31292757822456</v>
      </c>
      <c r="CX67" s="59">
        <f t="shared" si="14"/>
        <v>605.08448881857089</v>
      </c>
      <c r="CY67" s="59">
        <f ca="1">AVERAGE(OFFSET($CX$3,0,0,'Données projet'!$E$13+1,1))-AVERAGE(OFFSET($H$3,0,0,'Données projet'!$E$13+1,1))</f>
        <v>307.62549820830162</v>
      </c>
      <c r="CZ67" s="59">
        <f t="shared" si="42"/>
        <v>160.26466014910304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5.9615274382135555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5.9615274382135555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66.574062156458083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4.4000000000000004</v>
      </c>
      <c r="DO67" s="12">
        <f>IF('Données projet'!$A$166&gt;35,DO66+DN67-DW66,IF(A67&lt;'Données projet'!$A$166,$DL$205^A67,IF(A67='Données projet'!$A$166,'Données projet'!$B$166,DO66+DN67-DW66)))</f>
        <v>250.59999999999985</v>
      </c>
      <c r="DP67" s="17">
        <f>DO67*VLOOKUP('Données projet'!$B$14,Paramètres!$A$1:$I$89,3,0)*VLOOKUP('Données projet'!$B$14,Paramètres!$A$1:$I$89,5,0)</f>
        <v>199.3773599999999</v>
      </c>
      <c r="DQ67" s="13">
        <f t="shared" si="43"/>
        <v>49.607305476717762</v>
      </c>
      <c r="DR67" s="20">
        <f t="shared" si="16"/>
        <v>433.64829237194994</v>
      </c>
      <c r="DS67" s="59">
        <f t="shared" si="17"/>
        <v>714.41985361229627</v>
      </c>
      <c r="DT67" s="59">
        <f ca="1">AVERAGE(OFFSET($DS$3,0,0,'Données projet'!$E$14+1,1))-AVERAGE(OFFSET($H$3,0,0,'Données projet'!$E$14+1,1))</f>
        <v>309.14579005132464</v>
      </c>
      <c r="DU67" s="59">
        <f t="shared" si="44"/>
        <v>300.60311050289533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12.432775430579204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12.432775430579204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66.574062156458083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5.2</v>
      </c>
      <c r="EJ67" s="12">
        <f>IF('Données projet'!$A$192&gt;35,EJ66+EI67-ER66,IF(A67&lt;'Données projet'!$A$192,$EG$205^A67,IF(A67='Données projet'!$A$192,'Données projet'!$B$192,EJ66+EI67-ER66)))</f>
        <v>300.79999999999984</v>
      </c>
      <c r="EK67" s="17">
        <f>EJ67*VLOOKUP('Données projet'!$B$15,Paramètres!$A$1:$I$89,3,0)*VLOOKUP('Données projet'!$B$15,Paramètres!$A$1:$I$89,5,0)</f>
        <v>220.54655999999989</v>
      </c>
      <c r="EL67" s="13">
        <f t="shared" si="45"/>
        <v>54.233660675860236</v>
      </c>
      <c r="EM67" s="20">
        <f t="shared" si="19"/>
        <v>478.57555101045637</v>
      </c>
      <c r="EN67" s="59">
        <f t="shared" si="20"/>
        <v>759.34711225080264</v>
      </c>
      <c r="EO67" s="59">
        <f ca="1">AVERAGE(OFFSET($EN$3,0,0,'Données projet'!$E$15+1,1))-AVERAGE(OFFSET($H$3,0,0,'Données projet'!$E$15+1,1))</f>
        <v>338.59243085476896</v>
      </c>
      <c r="EP67" s="59">
        <f t="shared" si="46"/>
        <v>329.8393445823275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13.870306567872987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13.870306567872987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66.574062156458083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5.2</v>
      </c>
      <c r="FE67" s="12">
        <f>IF('Données projet'!$A$218&gt;35,FE66+FD67-FM66,IF(A67&lt;'Données projet'!$A$218,$FB$205^A67,IF(A67='Données projet'!$A$218,'Données projet'!$B$218,FE66+FD67-FM66)))</f>
        <v>300.79999999999984</v>
      </c>
      <c r="FF67" s="17">
        <f>FE67*VLOOKUP('Données projet'!$B$16,Paramètres!$A$1:$I$89,3,0)*VLOOKUP('Données projet'!$B$16,Paramètres!$A$1:$I$89,5,0)</f>
        <v>197.08415999999988</v>
      </c>
      <c r="FG67" s="13">
        <f t="shared" si="47"/>
        <v>49.102807637925835</v>
      </c>
      <c r="FH67" s="20">
        <f t="shared" si="22"/>
        <v>428.77563530272056</v>
      </c>
      <c r="FI67" s="59">
        <f t="shared" si="23"/>
        <v>709.54719654306689</v>
      </c>
      <c r="FJ67" s="59">
        <f ca="1">AVERAGE(OFFSET($FI$3,0,0,'Données projet'!$E$16+1,1))-AVERAGE(OFFSET($H$3,0,0,'Données projet'!$E$16+1,1))</f>
        <v>307.50573770128085</v>
      </c>
      <c r="FK67" s="59">
        <f t="shared" si="48"/>
        <v>300.2007312562655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12.394742039375856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12.394742039375856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66.574062156458083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5.2</v>
      </c>
      <c r="FZ67" s="12">
        <f>IF('Données projet'!$A$244&gt;35,FZ66+FY67-GH66,IF(A67&lt;'Données projet'!$A$244,$FW$205^A67,IF(A67='Données projet'!$A$244,'Données projet'!$B$244,FZ66+FY67-GH66)))</f>
        <v>300.79999999999984</v>
      </c>
      <c r="GA67" s="17">
        <f>FZ67*VLOOKUP('Données projet'!$B$17,Paramètres!$A$1:$I$89,3,0)*VLOOKUP('Données projet'!$B$17,Paramètres!$A$1:$I$89,5,0)</f>
        <v>244.00895999999986</v>
      </c>
      <c r="GB67" s="13">
        <f t="shared" si="49"/>
        <v>59.301244377330541</v>
      </c>
      <c r="GC67" s="20">
        <f t="shared" si="25"/>
        <v>528.26527262385048</v>
      </c>
      <c r="GD67" s="59">
        <f t="shared" si="26"/>
        <v>809.03683386419675</v>
      </c>
      <c r="GE67" s="59">
        <f ca="1">AVERAGE(OFFSET($GD$3,0,0,'Données projet'!$E$17+1,1))-AVERAGE(OFFSET($H$3,0,0,'Données projet'!$E$17+1,1))</f>
        <v>369.60865427618342</v>
      </c>
      <c r="GF67" s="59">
        <f t="shared" si="50"/>
        <v>359.40898775279197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15.345871096370107</v>
      </c>
      <c r="GM67" s="21">
        <f>EXP(-LN(2)/25)*GM66+(1-EXP(-LN(2)/25))/(LN(2)/25)*Calculateur!GH67*Calculateur!GJ67*VLOOKUP('Données projet'!$B$17,Paramètres!$A$1:$I$89,3,0)*0.475*44/12</f>
        <v>0</v>
      </c>
      <c r="GN67" s="21">
        <f>EXP(-LN(2)/2)*GN66+(1-EXP(-LN(2)/2))/(LN(2)/2)*GH67*GK67*VLOOKUP('Données projet'!$B$17,Paramètres!$A$1:$I$89,3,0)*0.475*44/12</f>
        <v>0</v>
      </c>
      <c r="GO67" s="21">
        <f t="shared" si="27"/>
        <v>15.345871096370107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66.574062156458083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4.4000000000000004</v>
      </c>
      <c r="GU67" s="12">
        <f>IF('Données projet'!$A$270&gt;35,GU66+GT67-HC66,IF(A67&lt;'Données projet'!$A$270,$GR$205^A67,IF(A67='Données projet'!$A$270,'Données projet'!$B$270,GU66+GT67-HC66)))</f>
        <v>250.59999999999985</v>
      </c>
      <c r="GV67" s="17">
        <f>GU67*VLOOKUP('Données projet'!$B$18,Paramètres!$A$1:$I$89,3,0)*VLOOKUP('Données projet'!$B$18,Paramètres!$A$1:$I$89,5,0)</f>
        <v>164.19311999999991</v>
      </c>
      <c r="GW67" s="13">
        <f t="shared" si="51"/>
        <v>41.786856670339013</v>
      </c>
      <c r="GX67" s="20">
        <f t="shared" si="28"/>
        <v>358.74845936750694</v>
      </c>
      <c r="GY67" s="59">
        <f t="shared" si="29"/>
        <v>639.52002060785321</v>
      </c>
      <c r="GZ67" s="59">
        <f ca="1">AVERAGE(OFFSET($GY$3,0,0,'Données projet'!$E$18+1,1))-AVERAGE(OFFSET($H$3,0,0,'Données projet'!$E$18+1,1))</f>
        <v>262.62914256200031</v>
      </c>
      <c r="HA67" s="59">
        <f t="shared" si="52"/>
        <v>256.45129229594409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projet'!$B$18,Paramètres!$A$1:$I$89,3,0)*0.475*44/12</f>
        <v>8.3069154375235019</v>
      </c>
      <c r="HH67" s="21">
        <f>EXP(-LN(2)/25)*HH66+(1-EXP(-LN(2)/25))/(LN(2)/25)*Calculateur!HC67*Calculateur!HE67*VLOOKUP('Données projet'!$B$18,Paramètres!$A$1:$I$89,3,0)*0.475*44/12</f>
        <v>0</v>
      </c>
      <c r="HI67" s="21">
        <f>EXP(-LN(2)/2)*HI66+(1-EXP(-LN(2)/2))/(LN(2)/2)*HC67*HF67*VLOOKUP('Données projet'!$B$18,Paramètres!$A$1:$I$89,3,0)*0.475*44/12</f>
        <v>0</v>
      </c>
      <c r="HJ67" s="22">
        <f t="shared" si="30"/>
        <v>8.3069154375235019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2.1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7.7</v>
      </c>
      <c r="H68" s="67">
        <f t="shared" ref="H68:H131" si="56">(B68+E68+F68)*44/12+(C68+D68)*0.475*44/12</f>
        <v>225.86666666666665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66.633494518793952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294</v>
      </c>
      <c r="L68" s="12">
        <f>VLOOKUP(A68,'Données projet'!$A$35:$I$55,9,0)</f>
        <v>10.4</v>
      </c>
      <c r="M68" s="12">
        <f t="array" ref="M68">INDEX(L:L,MIN(IF(ISNUMBER(L68:L264),ROW(L68:L264),"")))</f>
        <v>10.4</v>
      </c>
      <c r="N68" s="13">
        <f>IF('Données projet'!$A$36&gt;35,N67+M68-V67,IF(A68&lt;'Données projet'!$A$36,$K$205^A68,IF(A68='Données projet'!$A$36,'Données projet'!$B$36,N67+M68-V67)))</f>
        <v>294</v>
      </c>
      <c r="O68" s="13">
        <f>N68*VLOOKUP('Données projet'!$B$9,Paramètres!$A$1:$I$89,3,0)*VLOOKUP('Données projet'!$B$9,Paramètres!$A$1:$I$89,5,0)</f>
        <v>252.25200000000004</v>
      </c>
      <c r="P68" s="13">
        <f t="shared" si="33"/>
        <v>61.067920784150822</v>
      </c>
      <c r="Q68" s="20">
        <f t="shared" si="54"/>
        <v>545.69886203239605</v>
      </c>
      <c r="R68" s="59">
        <f t="shared" si="55"/>
        <v>826.68834193464056</v>
      </c>
      <c r="S68" s="59">
        <f ca="1">AVERAGE(OFFSET($R$3,0,0,'Données projet'!$E$9+1,1))-AVERAGE(OFFSET($H$3,0,0,'Données projet'!$E$9+1,1))</f>
        <v>476.79071915271794</v>
      </c>
      <c r="T68" s="59">
        <f t="shared" si="34"/>
        <v>264.79929759351762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28</v>
      </c>
      <c r="W68" s="16">
        <f>IF(ISNA(VLOOKUP(A68,'Données projet'!$A$35:$I$55,5,0)),0%,VLOOKUP(A68,'Données projet'!$A$35:$I$55,5,0)*VLOOKUP('Données projet'!$B$9,Paramètres!$A$1:$I$89,7,0))</f>
        <v>0.21200000000000002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16.90495011867506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16.90495011867506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66.633494518793952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229</v>
      </c>
      <c r="AG68" s="12">
        <f>VLOOKUP(A68,'Données projet'!$A$61:$I$81,9,0)</f>
        <v>7.2</v>
      </c>
      <c r="AH68" s="12">
        <f t="array" ref="AH68">INDEX(AG:AG,MIN(IF(ISNUMBER(AG68:AG264),ROW(AG68:AG264),"")))</f>
        <v>7.2</v>
      </c>
      <c r="AI68" s="13">
        <f>IF('Données projet'!$A$62&gt;35,AI67+AH68-AQ67,IF(A68&lt;'Données projet'!$A$62,$AF$205^A68,IF(A68='Données projet'!$A$62,'Données projet'!$B$62,AI67+AH68-AQ67)))</f>
        <v>228.99999999999994</v>
      </c>
      <c r="AJ68" s="13">
        <f>AI68*VLOOKUP('Données projet'!$B$10,Paramètres!$A$1:$I$89,3,0)*VLOOKUP('Données projet'!$B$10,Paramètres!$A$1:$I$89,5,0)</f>
        <v>192.90959999999998</v>
      </c>
      <c r="AK68" s="13">
        <f t="shared" si="35"/>
        <v>48.182654021446417</v>
      </c>
      <c r="AL68" s="20">
        <f t="shared" ref="AL68:AL131" si="58">(AJ68+AK68)*0.475*44/12</f>
        <v>419.90234242068578</v>
      </c>
      <c r="AM68" s="59">
        <f t="shared" ref="AM68:AM131" si="59">AL68+(AD68+AE68)*44/12</f>
        <v>700.89182232293024</v>
      </c>
      <c r="AN68" s="59">
        <f ca="1">AVERAGE(OFFSET($AM$3,0,0,'Données projet'!$E$10+1,1))-AVERAGE(OFFSET($H$3,0,0,'Données projet'!$E$10+1,1))</f>
        <v>365.104658862176</v>
      </c>
      <c r="AO68" s="59">
        <f t="shared" si="36"/>
        <v>226.29232910286325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21</v>
      </c>
      <c r="AR68" s="16">
        <f>IF(ISNA(VLOOKUP(A68,'Données projet'!$A$61:$I$81,5,0)),0%,VLOOKUP(A68,'Données projet'!$A$61:$I$81,5,0)*VLOOKUP('Données projet'!$B$10,Paramètres!$A$1:$I$89,7,0))</f>
        <v>0.17200000000000001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12.511002487685786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12.511002487685786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66.633494518793952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229</v>
      </c>
      <c r="BB68" s="12">
        <f>VLOOKUP(A68,'Données projet'!$A$87:$I$107,9,0)</f>
        <v>7.2</v>
      </c>
      <c r="BC68" s="12">
        <f t="array" ref="BC68">INDEX(BB:BB,MIN(IF(ISNUMBER(BB68:BB264),ROW(BB68:BB264),"")))</f>
        <v>7.2</v>
      </c>
      <c r="BD68" s="12">
        <f>IF('Données projet'!$A$88&gt;35,BD67+BC68-BL67,IF(A68&lt;'Données projet'!$A$88,$BA$205^A68,IF(A68='Données projet'!$A$88,'Données projet'!$B$88,BD67+BC68-BL67)))</f>
        <v>228.99999999999994</v>
      </c>
      <c r="BE68" s="13">
        <f>BD68*VLOOKUP('Données projet'!$B$11,Paramètres!$A$1:$I$89,3,0)*VLOOKUP('Données projet'!$B$11,Paramètres!$A$1:$I$89,5,0)</f>
        <v>207.19919999999996</v>
      </c>
      <c r="BF68" s="13">
        <f t="shared" si="37"/>
        <v>51.32306297366555</v>
      </c>
      <c r="BG68" s="20">
        <f t="shared" ref="BG68:BG131" si="61">(BE68+BF68)*0.475*44/12</f>
        <v>450.25960801246742</v>
      </c>
      <c r="BH68" s="59">
        <f t="shared" ref="BH68:BH131" si="62">BG68+(AY68+AZ68)*44/12</f>
        <v>731.24908791471194</v>
      </c>
      <c r="BI68" s="59">
        <f ca="1">AVERAGE(OFFSET($BH$3,0,0,'Données projet'!$E$11+1,1))-AVERAGE(OFFSET($H$3,0,0,'Données projet'!$E$11+1,1))</f>
        <v>388.12494342575195</v>
      </c>
      <c r="BJ68" s="59">
        <f t="shared" si="38"/>
        <v>239.39471445648454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21</v>
      </c>
      <c r="BM68" s="16">
        <f>IF(ISNA(VLOOKUP(A68,'Données projet'!$A$87:$I$107,5,0)),0%,VLOOKUP(A68,'Données projet'!$A$87:$I$107,5,0)*VLOOKUP('Données projet'!$B$11,Paramètres!$A$1:$I$89,7,0))</f>
        <v>0.17200000000000001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13.437743412699543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13.437743412699543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66.633494518793952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229</v>
      </c>
      <c r="BW68" s="12">
        <f>VLOOKUP(A68,'Données projet'!$A$113:$I$133,9,0)</f>
        <v>7.2</v>
      </c>
      <c r="BX68" s="12">
        <f t="array" ref="BX68">INDEX(BW:BW,MIN(IF(ISNUMBER(BW68:BW264),ROW(BW68:BW264),"")))</f>
        <v>7.2</v>
      </c>
      <c r="BY68" s="12">
        <f>IF('Données projet'!$A$114&gt;35,BY67+BX68-CG67,IF(A68&lt;'Données projet'!$A$114,$BV$205^A68,IF(A68='Données projet'!$A$114,'Données projet'!$B$114,BY67+BX68-CG67)))</f>
        <v>228.99999999999994</v>
      </c>
      <c r="BZ68" s="13">
        <f>BY68*VLOOKUP('Données projet'!$B$12,Paramètres!$A$1:$I$89,3,0)*VLOOKUP('Données projet'!$B$12,Paramètres!$A$1:$I$89,5,0)</f>
        <v>232.20599999999996</v>
      </c>
      <c r="CA68" s="13">
        <f t="shared" si="39"/>
        <v>56.759404991217572</v>
      </c>
      <c r="CB68" s="20">
        <f t="shared" ref="CB68:CB131" si="64">(BZ68+CA68)*0.475*44/12</f>
        <v>503.28141369303722</v>
      </c>
      <c r="CC68" s="59">
        <f t="shared" ref="CC68:CC131" si="65">CB68+(BT68+BU68)*44/12</f>
        <v>784.27089359528168</v>
      </c>
      <c r="CD68" s="59">
        <f ca="1">AVERAGE(OFFSET($CC$3,0,0,'Données projet'!$E$12+1,1))-AVERAGE(OFFSET($H$3,0,0,'Données projet'!$E$12+1,1))</f>
        <v>428.33148932885132</v>
      </c>
      <c r="CE68" s="59">
        <f t="shared" si="40"/>
        <v>262.27548054534373</v>
      </c>
      <c r="CF68" s="15">
        <f>IF(ISNA(VLOOKUP(A68,'Données projet'!$A$113:$I$133,3,0)),0,VLOOKUP(A68,'Données projet'!$A$113:$I$133,3,0))</f>
        <v>10</v>
      </c>
      <c r="CG68" s="15">
        <f>IF(ISNA(VLOOKUP(A68,'Données projet'!$A$113:$I$133,4,0)),0,VLOOKUP(A68,'Données projet'!$A$113:$I$133,4,0))</f>
        <v>21</v>
      </c>
      <c r="CH68" s="16">
        <f>IF(ISNA(VLOOKUP(A68,'Données projet'!$A$113:$I$133,5,0)),0%,VLOOKUP(A68,'Données projet'!$A$113:$I$133,5,0)*VLOOKUP('Données projet'!$B$12,Paramètres!$A$1:$I$89,7,0))</f>
        <v>0.17200000000000001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15.059540031473627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15.059540031473627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66.633494518793952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161</v>
      </c>
      <c r="CR68" s="12">
        <f>VLOOKUP(A68,'Données projet'!$A$139:$I$159,9,0)</f>
        <v>5.4</v>
      </c>
      <c r="CS68" s="12">
        <f t="array" ref="CS68">INDEX(CR:CR,MIN(IF(ISNUMBER(CR68:CR264),ROW(CR68:CR264),"")))</f>
        <v>5.4</v>
      </c>
      <c r="CT68" s="12">
        <f>IF('Données projet'!$A$140&gt;35,CT67+CS68-DB67,IF(A68&lt;'Données projet'!$A$140,$CQ$205^A68,IF(A68='Données projet'!$A$140,'Données projet'!$B$140,CT67+CS68-DB67)))</f>
        <v>161</v>
      </c>
      <c r="CU68" s="17">
        <f>CT68*VLOOKUP('Données projet'!$B$13,Paramètres!$A$1:$I$89,3,0)*VLOOKUP('Données projet'!$B$13,Paramètres!$A$1:$I$89,5,0)</f>
        <v>153.20759999999999</v>
      </c>
      <c r="CV68" s="13">
        <f t="shared" si="41"/>
        <v>39.306624169832133</v>
      </c>
      <c r="CW68" s="20">
        <f t="shared" ref="CW68:CW131" si="67">(CU68+CV68)*0.475*44/12</f>
        <v>335.2956070957909</v>
      </c>
      <c r="CX68" s="59">
        <f t="shared" ref="CX68:CX131" si="68">CW68+(CO68+CP68)*44/12</f>
        <v>616.28508699803547</v>
      </c>
      <c r="CY68" s="59">
        <f ca="1">AVERAGE(OFFSET($CX$3,0,0,'Données projet'!$E$13+1,1))-AVERAGE(OFFSET($H$3,0,0,'Données projet'!$E$13+1,1))</f>
        <v>307.62549820830162</v>
      </c>
      <c r="CZ68" s="59">
        <f t="shared" si="42"/>
        <v>160.26466014910304</v>
      </c>
      <c r="DA68" s="15">
        <f>IF(ISNA(VLOOKUP(A68,'Données projet'!$A$139:$I$159,3,0)),0,VLOOKUP(A68,'Données projet'!$A$139:$I$159,3,0))</f>
        <v>9</v>
      </c>
      <c r="DB68" s="15">
        <f>IF(ISNA(VLOOKUP(A68,'Données projet'!$A$139:$I$159,4,0)),0,VLOOKUP(A68,'Données projet'!$A$139:$I$159,4,0))</f>
        <v>14</v>
      </c>
      <c r="DC68" s="16">
        <f>IF(ISNA(VLOOKUP(A68,'Données projet'!$A$139:$I$159,5,0)),0%,VLOOKUP(A68,'Données projet'!$A$139:$I$159,5,0)*VLOOKUP('Données projet'!$B$13,Paramètres!$A$1:$I$89,7,0))</f>
        <v>0.17200000000000001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8.3777587178207238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8.3777587178207238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66.633494518793952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255</v>
      </c>
      <c r="DM68" s="12">
        <f>VLOOKUP(A68,'Données projet'!$A$165:$I$185,9,0)</f>
        <v>4.4000000000000004</v>
      </c>
      <c r="DN68" s="12">
        <f t="array" ref="DN68">INDEX(DM:DM,MIN(IF(ISNUMBER(DM68:DM264),ROW(DM68:DM264),"")))</f>
        <v>4.4000000000000004</v>
      </c>
      <c r="DO68" s="12">
        <f>IF('Données projet'!$A$166&gt;35,DO67+DN68-DW67,IF(A68&lt;'Données projet'!$A$166,$DL$205^A68,IF(A68='Données projet'!$A$166,'Données projet'!$B$166,DO67+DN68-DW67)))</f>
        <v>254.99999999999986</v>
      </c>
      <c r="DP68" s="17">
        <f>DO68*VLOOKUP('Données projet'!$B$14,Paramètres!$A$1:$I$89,3,0)*VLOOKUP('Données projet'!$B$14,Paramètres!$A$1:$I$89,5,0)</f>
        <v>202.8779999999999</v>
      </c>
      <c r="DQ68" s="13">
        <f t="shared" si="43"/>
        <v>50.376138116990084</v>
      </c>
      <c r="DR68" s="20">
        <f t="shared" ref="DR68:DR131" si="70">(DP68+DQ68)*0.475*44/12</f>
        <v>441.08429055375751</v>
      </c>
      <c r="DS68" s="59">
        <f t="shared" ref="DS68:DS131" si="71">DR68+(DJ68+DK68)*44/12</f>
        <v>722.07377045600197</v>
      </c>
      <c r="DT68" s="59">
        <f ca="1">AVERAGE(OFFSET($DS$3,0,0,'Données projet'!$E$14+1,1))-AVERAGE(OFFSET($H$3,0,0,'Données projet'!$E$14+1,1))</f>
        <v>309.14579005132464</v>
      </c>
      <c r="DU68" s="59">
        <f t="shared" si="44"/>
        <v>300.60311050289533</v>
      </c>
      <c r="DV68" s="15">
        <f>IF(ISNA(VLOOKUP(A68,'Données projet'!$A$165:$I$185,3,0)),0,VLOOKUP(A68,'Données projet'!$A$165:$I$185,3,0))</f>
        <v>11</v>
      </c>
      <c r="DW68" s="15">
        <f>IF(ISNA(VLOOKUP(A68,'Données projet'!$A$165:$I$185,4,0)),0,VLOOKUP(A68,'Données projet'!$A$165:$I$185,4,0))</f>
        <v>11</v>
      </c>
      <c r="DX68" s="16">
        <f>IF(ISNA(VLOOKUP(A68,'Données projet'!$A$165:$I$185,5,0)),0%,VLOOKUP(A68,'Données projet'!$A$165:$I$185,5,0)*VLOOKUP('Données projet'!$B$14,Paramètres!$A$1:$I$89,7,0))</f>
        <v>0.26500000000000001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14.752754449612725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14.752754449612725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66.633494518793952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306</v>
      </c>
      <c r="EH68" s="12">
        <f>VLOOKUP(A68,'Données projet'!$A$191:$I$211,9,0)</f>
        <v>5.2</v>
      </c>
      <c r="EI68" s="12">
        <f t="array" ref="EI68">INDEX(EH:EH,MIN(IF(ISNUMBER(EH68:EH264),ROW(EH68:EH264),"")))</f>
        <v>5.2</v>
      </c>
      <c r="EJ68" s="12">
        <f>IF('Données projet'!$A$192&gt;35,EJ67+EI68-ER67,IF(A68&lt;'Données projet'!$A$192,$EG$205^A68,IF(A68='Données projet'!$A$192,'Données projet'!$B$192,EJ67+EI68-ER67)))</f>
        <v>305.99999999999983</v>
      </c>
      <c r="EK68" s="17">
        <f>EJ68*VLOOKUP('Données projet'!$B$15,Paramètres!$A$1:$I$89,3,0)*VLOOKUP('Données projet'!$B$15,Paramètres!$A$1:$I$89,5,0)</f>
        <v>224.35919999999987</v>
      </c>
      <c r="EL68" s="13">
        <f t="shared" si="45"/>
        <v>55.061251669487255</v>
      </c>
      <c r="EM68" s="20">
        <f t="shared" ref="EM68:EM131" si="73">(EK68+EL68)*0.475*44/12</f>
        <v>486.65728665769001</v>
      </c>
      <c r="EN68" s="59">
        <f t="shared" ref="EN68:EN131" si="74">EM68+(EE68+EF68)*44/12</f>
        <v>767.64676655993458</v>
      </c>
      <c r="EO68" s="59">
        <f ca="1">AVERAGE(OFFSET($EN$3,0,0,'Données projet'!$E$15+1,1))-AVERAGE(OFFSET($H$3,0,0,'Données projet'!$E$15+1,1))</f>
        <v>338.59243085476896</v>
      </c>
      <c r="EP68" s="59">
        <f t="shared" si="46"/>
        <v>329.8393445823275</v>
      </c>
      <c r="EQ68" s="15">
        <f>IF(ISNA(VLOOKUP(A68,'Données projet'!$A$191:$I$211,3,0)),0,VLOOKUP(A68,'Données projet'!$A$191:$I$211,3,0))</f>
        <v>12</v>
      </c>
      <c r="ER68" s="15">
        <f>IF(ISNA(VLOOKUP(A68,'Données projet'!$A$191:$I$211,4,0)),0,VLOOKUP(A68,'Données projet'!$A$191:$I$211,4,0))</f>
        <v>13</v>
      </c>
      <c r="ES68" s="16">
        <f>IF(ISNA(VLOOKUP(A68,'Données projet'!$A$191:$I$211,5,0)),0%,VLOOKUP(A68,'Données projet'!$A$191:$I$211,5,0)*VLOOKUP('Données projet'!$B$15,Paramètres!$A$1:$I$89,7,0))</f>
        <v>0.215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15.863752132083242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15.863752132083242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66.633494518793952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306</v>
      </c>
      <c r="FC68" s="12">
        <f>VLOOKUP(A68,'Données projet'!$A$217:$I$237,9,0)</f>
        <v>5.2</v>
      </c>
      <c r="FD68" s="12">
        <f t="array" ref="FD68">INDEX(FC:FC,MIN(IF(ISNUMBER(FC68:FC264),ROW(FC68:FC264),"")))</f>
        <v>5.2</v>
      </c>
      <c r="FE68" s="12">
        <f>IF('Données projet'!$A$218&gt;35,FE67+FD68-FM67,IF(A68&lt;'Données projet'!$A$218,$FB$205^A68,IF(A68='Données projet'!$A$218,'Données projet'!$B$218,FE67+FD68-FM67)))</f>
        <v>305.99999999999983</v>
      </c>
      <c r="FF68" s="17">
        <f>FE68*VLOOKUP('Données projet'!$B$16,Paramètres!$A$1:$I$89,3,0)*VLOOKUP('Données projet'!$B$16,Paramètres!$A$1:$I$89,5,0)</f>
        <v>200.49119999999988</v>
      </c>
      <c r="FG68" s="13">
        <f t="shared" si="47"/>
        <v>49.85210320190825</v>
      </c>
      <c r="FH68" s="20">
        <f t="shared" ref="FH68:FH131" si="76">(FF68+FG68)*0.475*44/12</f>
        <v>436.01458640998993</v>
      </c>
      <c r="FI68" s="59">
        <f t="shared" ref="FI68:FI131" si="77">FH68+(EZ68+FA68)*44/12</f>
        <v>717.0040663122345</v>
      </c>
      <c r="FJ68" s="59">
        <f ca="1">AVERAGE(OFFSET($FI$3,0,0,'Données projet'!$E$16+1,1))-AVERAGE(OFFSET($H$3,0,0,'Données projet'!$E$16+1,1))</f>
        <v>307.50573770128085</v>
      </c>
      <c r="FK68" s="59">
        <f t="shared" si="48"/>
        <v>300.2007312562655</v>
      </c>
      <c r="FL68" s="15">
        <f>IF(ISNA(VLOOKUP(A68,'Données projet'!$A$217:$I$237,3,0)),0,VLOOKUP(A68,'Données projet'!$A$217:$I$237,3,0))</f>
        <v>12</v>
      </c>
      <c r="FM68" s="15">
        <f>IF(ISNA(VLOOKUP(A68,'Données projet'!$A$217:$I$237,4,0)),0,VLOOKUP(A68,'Données projet'!$A$217:$I$237,4,0))</f>
        <v>13</v>
      </c>
      <c r="FN68" s="16">
        <f>IF(ISNA(VLOOKUP(A68,'Données projet'!$A$217:$I$237,5,0)),0%,VLOOKUP(A68,'Données projet'!$A$217:$I$237,5,0)*VLOOKUP('Données projet'!$B$16,Paramètres!$A$1:$I$89,7,0))</f>
        <v>0.215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14.176118926542465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14.176118926542465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66.633494518793952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>
        <f>VLOOKUP(A68,'Données projet'!$A$243:$I$263,2,0)</f>
        <v>306</v>
      </c>
      <c r="FX68" s="12">
        <f>VLOOKUP(A68,'Données projet'!$A$243:$I$263,9,0)</f>
        <v>5.2</v>
      </c>
      <c r="FY68" s="12">
        <f t="array" ref="FY68">INDEX(FX:FX,MIN(IF(ISNUMBER(FX68:FX264),ROW(FX68:FX264),"")))</f>
        <v>5.2</v>
      </c>
      <c r="FZ68" s="12">
        <f>IF('Données projet'!$A$244&gt;35,FZ67+FY68-GH67,IF(A68&lt;'Données projet'!$A$244,$FW$205^A68,IF(A68='Données projet'!$A$244,'Données projet'!$B$244,FZ67+FY68-GH67)))</f>
        <v>305.99999999999983</v>
      </c>
      <c r="GA68" s="17">
        <f>FZ68*VLOOKUP('Données projet'!$B$17,Paramètres!$A$1:$I$89,3,0)*VLOOKUP('Données projet'!$B$17,Paramètres!$A$1:$I$89,5,0)</f>
        <v>248.22719999999987</v>
      </c>
      <c r="GB68" s="13">
        <f t="shared" si="49"/>
        <v>60.20616532763993</v>
      </c>
      <c r="GC68" s="20">
        <f t="shared" ref="GC68:GC131" si="79">(GA68+GB68)*0.475*44/12</f>
        <v>537.18811127897254</v>
      </c>
      <c r="GD68" s="59">
        <f t="shared" ref="GD68:GD131" si="80">GC68+(FU68+FV68)*44/12</f>
        <v>818.17759118121705</v>
      </c>
      <c r="GE68" s="59">
        <f ca="1">AVERAGE(OFFSET($GD$3,0,0,'Données projet'!$E$17+1,1))-AVERAGE(OFFSET($H$3,0,0,'Données projet'!$E$17+1,1))</f>
        <v>369.60865427618342</v>
      </c>
      <c r="GF68" s="59">
        <f t="shared" si="50"/>
        <v>359.40898775279197</v>
      </c>
      <c r="GG68" s="15">
        <f>IF(ISNA(VLOOKUP(A68,'Données projet'!$A$243:$I$263,3,0)),0,VLOOKUP(A68,'Données projet'!$A$243:$I$263,3,0))</f>
        <v>12</v>
      </c>
      <c r="GH68" s="15">
        <f>IF(ISNA(VLOOKUP(A68,'Données projet'!$A$243:$I$263,4,0)),0,VLOOKUP(A68,'Données projet'!$A$243:$I$263,4,0))</f>
        <v>13</v>
      </c>
      <c r="GI68" s="16">
        <f>IF(ISNA(VLOOKUP(A68,'Données projet'!$A$243:$I$263,5,0)),0%,VLOOKUP(A68,'Données projet'!$A$243:$I$263,5,0)*VLOOKUP('Données projet'!$B$17,Paramètres!$A$1:$I$89,7,0))</f>
        <v>0.215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17.551385337624005</v>
      </c>
      <c r="GM68" s="21">
        <f>EXP(-LN(2)/25)*GM67+(1-EXP(-LN(2)/25))/(LN(2)/25)*Calculateur!GH68*Calculateur!GJ68*VLOOKUP('Données projet'!$B$17,Paramètres!$A$1:$I$89,3,0)*0.475*44/12</f>
        <v>0</v>
      </c>
      <c r="GN68" s="21">
        <f>EXP(-LN(2)/2)*GN67+(1-EXP(-LN(2)/2))/(LN(2)/2)*GH68*GK68*VLOOKUP('Données projet'!$B$17,Paramètres!$A$1:$I$89,3,0)*0.475*44/12</f>
        <v>0</v>
      </c>
      <c r="GO68" s="21">
        <f t="shared" ref="GO68:GO131" si="81">SUM(GL68:GN68)</f>
        <v>17.551385337624005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66.633494518793952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>
        <f>VLOOKUP(A68,'Données projet'!$A$269:$I$289,2,0)</f>
        <v>255</v>
      </c>
      <c r="GS68" s="12">
        <f>VLOOKUP(A68,'Données projet'!$A$269:$I$289,9,0)</f>
        <v>4.4000000000000004</v>
      </c>
      <c r="GT68" s="12">
        <f t="array" ref="GT68">INDEX(GS:GS,MIN(IF(ISNUMBER(GS68:GS264),ROW(GS68:GS264),"")))</f>
        <v>4.4000000000000004</v>
      </c>
      <c r="GU68" s="12">
        <f>IF('Données projet'!$A$270&gt;35,GU67+GT68-HC67,IF(A68&lt;'Données projet'!$A$270,$GR$205^A68,IF(A68='Données projet'!$A$270,'Données projet'!$B$270,GU67+GT68-HC67)))</f>
        <v>254.99999999999986</v>
      </c>
      <c r="GV68" s="17">
        <f>GU68*VLOOKUP('Données projet'!$B$18,Paramètres!$A$1:$I$89,3,0)*VLOOKUP('Données projet'!$B$18,Paramètres!$A$1:$I$89,5,0)</f>
        <v>167.07599999999991</v>
      </c>
      <c r="GW68" s="13">
        <f t="shared" si="51"/>
        <v>42.434485059621636</v>
      </c>
      <c r="GX68" s="20">
        <f t="shared" ref="GX68:GX131" si="82">(GV68+GW68)*0.475*44/12</f>
        <v>364.89742814550755</v>
      </c>
      <c r="GY68" s="59">
        <f t="shared" ref="GY68:GY131" si="83">GX68+(GP68+GQ68)*44/12</f>
        <v>645.88690804775206</v>
      </c>
      <c r="GZ68" s="59">
        <f ca="1">AVERAGE(OFFSET($GY$3,0,0,'Données projet'!$E$18+1,1))-AVERAGE(OFFSET($H$3,0,0,'Données projet'!$E$18+1,1))</f>
        <v>262.62914256200031</v>
      </c>
      <c r="HA68" s="59">
        <f t="shared" si="52"/>
        <v>256.45129229594409</v>
      </c>
      <c r="HB68" s="15">
        <f>IF(ISNA(VLOOKUP(A68,'Données projet'!$A$269:$I$289,3,0)),0,VLOOKUP(A68,'Données projet'!$A$269:$I$289,3,0))</f>
        <v>11</v>
      </c>
      <c r="HC68" s="15">
        <f>IF(ISNA(VLOOKUP(A68,'Données projet'!$A$269:$I$289,4,0)),0,VLOOKUP(A68,'Données projet'!$A$269:$I$289,4,0))</f>
        <v>11</v>
      </c>
      <c r="HD68" s="16">
        <f>IF(ISNA(VLOOKUP(A68,'Données projet'!$A$269:$I$289,5,0)),0%,VLOOKUP(A68,'Données projet'!$A$269:$I$289,5,0)*VLOOKUP('Données projet'!$B$18,Paramètres!$A$1:$I$89,7,0))</f>
        <v>0.215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>
        <f>EXP(-LN(2)/35)*HG67+(1-EXP(-LN(2)/35))/(LN(2)/35)*HC68*HD68*VLOOKUP('Données projet'!$B$18,Paramètres!$A$1:$I$89,3,0)*0.475*44/12</f>
        <v>9.8570013081763097</v>
      </c>
      <c r="HH68" s="21">
        <f>EXP(-LN(2)/25)*HH67+(1-EXP(-LN(2)/25))/(LN(2)/25)*Calculateur!HC68*Calculateur!HE68*VLOOKUP('Données projet'!$B$18,Paramètres!$A$1:$I$89,3,0)*0.475*44/12</f>
        <v>0</v>
      </c>
      <c r="HI68" s="21">
        <f>EXP(-LN(2)/2)*HI67+(1-EXP(-LN(2)/2))/(LN(2)/2)*HC68*HF68*VLOOKUP('Données projet'!$B$18,Paramètres!$A$1:$I$89,3,0)*0.475*44/12</f>
        <v>0</v>
      </c>
      <c r="HJ68" s="22">
        <f t="shared" ref="HJ68:HJ131" si="84">SUM(HG68:HI68)</f>
        <v>9.8570013081763097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2.1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7.7</v>
      </c>
      <c r="H69" s="67">
        <f t="shared" si="56"/>
        <v>225.86666666666665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66.691895862514144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10</v>
      </c>
      <c r="N69" s="13">
        <f>IF('Données projet'!$A$36&gt;35,N68+M69-V68,IF(A69&lt;'Données projet'!$A$36,$K$205^A69,IF(A69='Données projet'!$A$36,'Données projet'!$B$36,N68+M69-V68)))</f>
        <v>276</v>
      </c>
      <c r="O69" s="13">
        <f>N69*VLOOKUP('Données projet'!$B$9,Paramètres!$A$1:$I$89,3,0)*VLOOKUP('Données projet'!$B$9,Paramètres!$A$1:$I$89,5,0)</f>
        <v>236.80800000000002</v>
      </c>
      <c r="P69" s="13">
        <f t="shared" ref="P69:P132" si="87">EXP(-1.0587+0.8836*LN(O69)+0.284)</f>
        <v>57.752221878398714</v>
      </c>
      <c r="Q69" s="20">
        <f t="shared" si="54"/>
        <v>513.02571977154446</v>
      </c>
      <c r="R69" s="59">
        <f t="shared" si="55"/>
        <v>794.22933793409629</v>
      </c>
      <c r="S69" s="59">
        <f ca="1">AVERAGE(OFFSET($R$3,0,0,'Données projet'!$E$9+1,1))-AVERAGE(OFFSET($H$3,0,0,'Données projet'!$E$9+1,1))</f>
        <v>476.79071915271794</v>
      </c>
      <c r="T69" s="59">
        <f t="shared" ref="T69:T132" si="88">$T$3</f>
        <v>264.79929759351762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16.57345435784929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16.57345435784929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66.691895862514144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6.8</v>
      </c>
      <c r="AI69" s="13">
        <f>IF('Données projet'!$A$62&gt;35,AI68+AH69-AQ68,IF(A69&lt;'Données projet'!$A$62,$AF$205^A69,IF(A69='Données projet'!$A$62,'Données projet'!$B$62,AI68+AH69-AQ68)))</f>
        <v>214.79999999999995</v>
      </c>
      <c r="AJ69" s="13">
        <f>AI69*VLOOKUP('Données projet'!$B$10,Paramètres!$A$1:$I$89,3,0)*VLOOKUP('Données projet'!$B$10,Paramètres!$A$1:$I$89,5,0)</f>
        <v>180.94751999999997</v>
      </c>
      <c r="AK69" s="13">
        <f t="shared" ref="AK69:AK132" si="89">EXP(-1.0587+0.8836*LN(AJ69)+0.284)</f>
        <v>45.53292745224649</v>
      </c>
      <c r="AL69" s="20">
        <f t="shared" si="58"/>
        <v>394.45344597932922</v>
      </c>
      <c r="AM69" s="59">
        <f t="shared" si="59"/>
        <v>675.65706414188116</v>
      </c>
      <c r="AN69" s="59">
        <f ca="1">AVERAGE(OFFSET($AM$3,0,0,'Données projet'!$E$10+1,1))-AVERAGE(OFFSET($H$3,0,0,'Données projet'!$E$10+1,1))</f>
        <v>365.104658862176</v>
      </c>
      <c r="AO69" s="59">
        <f t="shared" ref="AO69:AO132" si="90">$AO$3</f>
        <v>226.29232910286325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12.265669359860292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12.265669359860292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66.691895862514144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6.8</v>
      </c>
      <c r="BD69" s="12">
        <f>IF('Données projet'!$A$88&gt;35,BD68+BC69-BL68,IF(A69&lt;'Données projet'!$A$88,$BA$205^A69,IF(A69='Données projet'!$A$88,'Données projet'!$B$88,BD68+BC69-BL68)))</f>
        <v>214.79999999999995</v>
      </c>
      <c r="BE69" s="13">
        <f>BD69*VLOOKUP('Données projet'!$B$11,Paramètres!$A$1:$I$89,3,0)*VLOOKUP('Données projet'!$B$11,Paramètres!$A$1:$I$89,5,0)</f>
        <v>194.35103999999995</v>
      </c>
      <c r="BF69" s="13">
        <f t="shared" ref="BF69:BF132" si="91">EXP(-1.0587+0.8836*LN(BE69)+0.284)</f>
        <v>48.500634729810159</v>
      </c>
      <c r="BG69" s="20">
        <f t="shared" si="61"/>
        <v>422.96666682108594</v>
      </c>
      <c r="BH69" s="59">
        <f t="shared" si="62"/>
        <v>704.17028498363788</v>
      </c>
      <c r="BI69" s="59">
        <f ca="1">AVERAGE(OFFSET($BH$3,0,0,'Données projet'!$E$11+1,1))-AVERAGE(OFFSET($H$3,0,0,'Données projet'!$E$11+1,1))</f>
        <v>388.12494342575195</v>
      </c>
      <c r="BJ69" s="59">
        <f t="shared" ref="BJ69:BJ132" si="92">$BJ$3</f>
        <v>239.39471445648454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13.174237460590678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13.174237460590678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66.691895862514144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6.8</v>
      </c>
      <c r="BY69" s="12">
        <f>IF('Données projet'!$A$114&gt;35,BY68+BX69-CG68,IF(A69&lt;'Données projet'!$A$114,$BV$205^A69,IF(A69='Données projet'!$A$114,'Données projet'!$B$114,BY68+BX69-CG68)))</f>
        <v>214.79999999999995</v>
      </c>
      <c r="BZ69" s="13">
        <f>BY69*VLOOKUP('Données projet'!$B$12,Paramètres!$A$1:$I$89,3,0)*VLOOKUP('Données projet'!$B$12,Paramètres!$A$1:$I$89,5,0)</f>
        <v>217.80719999999997</v>
      </c>
      <c r="CA69" s="13">
        <f t="shared" ref="CA69:CA132" si="93">EXP(-1.0587+0.8836*LN(BZ69)+0.284)</f>
        <v>53.638013973813976</v>
      </c>
      <c r="CB69" s="20">
        <f t="shared" si="64"/>
        <v>472.76708100439265</v>
      </c>
      <c r="CC69" s="59">
        <f t="shared" si="65"/>
        <v>753.97069916694454</v>
      </c>
      <c r="CD69" s="59">
        <f ca="1">AVERAGE(OFFSET($CC$3,0,0,'Données projet'!$E$12+1,1))-AVERAGE(OFFSET($H$3,0,0,'Données projet'!$E$12+1,1))</f>
        <v>428.33148932885132</v>
      </c>
      <c r="CE69" s="59">
        <f t="shared" ref="CE69:CE132" si="94">$CE$3</f>
        <v>262.27548054534373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14.764231636868864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14.764231636868864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66.691895862514144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5</v>
      </c>
      <c r="CT69" s="12">
        <f>IF('Données projet'!$A$140&gt;35,CT68+CS69-DB68,IF(A69&lt;'Données projet'!$A$140,$CQ$205^A69,IF(A69='Données projet'!$A$140,'Données projet'!$B$140,CT68+CS69-DB68)))</f>
        <v>152</v>
      </c>
      <c r="CU69" s="17">
        <f>CT69*VLOOKUP('Données projet'!$B$13,Paramètres!$A$1:$I$89,3,0)*VLOOKUP('Données projet'!$B$13,Paramètres!$A$1:$I$89,5,0)</f>
        <v>144.64320000000001</v>
      </c>
      <c r="CV69" s="13">
        <f t="shared" ref="CV69:CV132" si="95">EXP(-1.0587+0.8836*LN(CU69)+0.284)</f>
        <v>37.358669132367922</v>
      </c>
      <c r="CW69" s="20">
        <f t="shared" si="67"/>
        <v>316.9865887388741</v>
      </c>
      <c r="CX69" s="59">
        <f t="shared" si="68"/>
        <v>598.190206901426</v>
      </c>
      <c r="CY69" s="59">
        <f ca="1">AVERAGE(OFFSET($CX$3,0,0,'Données projet'!$E$13+1,1))-AVERAGE(OFFSET($H$3,0,0,'Données projet'!$E$13+1,1))</f>
        <v>307.62549820830162</v>
      </c>
      <c r="CZ69" s="59">
        <f t="shared" ref="CZ69:CZ132" si="96">$CZ$3</f>
        <v>160.26466014910304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8.2134759792925145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8.2134759792925145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66.691895862514144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3.8</v>
      </c>
      <c r="DO69" s="12">
        <f>IF('Données projet'!$A$166&gt;35,DO68+DN69-DW68,IF(A69&lt;'Données projet'!$A$166,$DL$205^A69,IF(A69='Données projet'!$A$166,'Données projet'!$B$166,DO68+DN69-DW68)))</f>
        <v>247.79999999999984</v>
      </c>
      <c r="DP69" s="17">
        <f>DO69*VLOOKUP('Données projet'!$B$14,Paramètres!$A$1:$I$89,3,0)*VLOOKUP('Données projet'!$B$14,Paramètres!$A$1:$I$89,5,0)</f>
        <v>197.14967999999988</v>
      </c>
      <c r="DQ69" s="13">
        <f t="shared" ref="DQ69:DQ132" si="97">EXP(-1.0587+0.8836*LN(DP69)+0.284)</f>
        <v>49.11723130862363</v>
      </c>
      <c r="DR69" s="20">
        <f t="shared" si="70"/>
        <v>428.91487052918592</v>
      </c>
      <c r="DS69" s="59">
        <f t="shared" si="71"/>
        <v>710.11848869173787</v>
      </c>
      <c r="DT69" s="59">
        <f ca="1">AVERAGE(OFFSET($DS$3,0,0,'Données projet'!$E$14+1,1))-AVERAGE(OFFSET($H$3,0,0,'Données projet'!$E$14+1,1))</f>
        <v>309.14579005132464</v>
      </c>
      <c r="DU69" s="59">
        <f t="shared" ref="DU69:DU132" si="98">$DU$3</f>
        <v>300.60311050289533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14.463461933147526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14.463461933147526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66.691895862514144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4.5999999999999996</v>
      </c>
      <c r="EJ69" s="12">
        <f>IF('Données projet'!$A$192&gt;35,EJ68+EI69-ER68,IF(A69&lt;'Données projet'!$A$192,$EG$205^A69,IF(A69='Données projet'!$A$192,'Données projet'!$B$192,EJ68+EI69-ER68)))</f>
        <v>297.59999999999985</v>
      </c>
      <c r="EK69" s="17">
        <f>EJ69*VLOOKUP('Données projet'!$B$15,Paramètres!$A$1:$I$89,3,0)*VLOOKUP('Données projet'!$B$15,Paramètres!$A$1:$I$89,5,0)</f>
        <v>218.20031999999989</v>
      </c>
      <c r="EL69" s="13">
        <f t="shared" ref="EL69:EL132" si="99">EXP(-1.0587+0.8836*LN(EK69)+0.284)</f>
        <v>53.723547368945667</v>
      </c>
      <c r="EM69" s="20">
        <f t="shared" si="73"/>
        <v>473.60073566758007</v>
      </c>
      <c r="EN69" s="59">
        <f t="shared" si="74"/>
        <v>754.80435383013196</v>
      </c>
      <c r="EO69" s="59">
        <f ca="1">AVERAGE(OFFSET($EN$3,0,0,'Données projet'!$E$15+1,1))-AVERAGE(OFFSET($H$3,0,0,'Données projet'!$E$15+1,1))</f>
        <v>338.59243085476896</v>
      </c>
      <c r="EP69" s="59">
        <f t="shared" ref="EP69:EP132" si="100">$EP$3</f>
        <v>329.8393445823275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15.55267362870647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15.55267362870647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66.691895862514144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4.5999999999999996</v>
      </c>
      <c r="FE69" s="12">
        <f>IF('Données projet'!$A$218&gt;35,FE68+FD69-FM68,IF(A69&lt;'Données projet'!$A$218,$FB$205^A69,IF(A69='Données projet'!$A$218,'Données projet'!$B$218,FE68+FD69-FM68)))</f>
        <v>297.59999999999985</v>
      </c>
      <c r="FF69" s="17">
        <f>FE69*VLOOKUP('Données projet'!$B$16,Paramètres!$A$1:$I$89,3,0)*VLOOKUP('Données projet'!$B$16,Paramètres!$A$1:$I$89,5,0)</f>
        <v>194.9875199999999</v>
      </c>
      <c r="FG69" s="13">
        <f t="shared" ref="FG69:FG132" si="101">EXP(-1.0587+0.8836*LN(FF69)+0.284)</f>
        <v>48.640954330020342</v>
      </c>
      <c r="FH69" s="20">
        <f t="shared" si="76"/>
        <v>424.3195927914519</v>
      </c>
      <c r="FI69" s="59">
        <f t="shared" si="77"/>
        <v>705.52321095400384</v>
      </c>
      <c r="FJ69" s="59">
        <f ca="1">AVERAGE(OFFSET($FI$3,0,0,'Données projet'!$E$16+1,1))-AVERAGE(OFFSET($H$3,0,0,'Données projet'!$E$16+1,1))</f>
        <v>307.50573770128085</v>
      </c>
      <c r="FK69" s="59">
        <f t="shared" ref="FK69:FK132" si="102">$FK$3</f>
        <v>300.2007312562655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13.898133880971734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13.898133880971734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66.691895862514144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4.5999999999999996</v>
      </c>
      <c r="FZ69" s="12">
        <f>IF('Données projet'!$A$244&gt;35,FZ68+FY69-GH68,IF(A69&lt;'Données projet'!$A$244,$FW$205^A69,IF(A69='Données projet'!$A$244,'Données projet'!$B$244,FZ68+FY69-GH68)))</f>
        <v>297.59999999999985</v>
      </c>
      <c r="GA69" s="17">
        <f>FZ69*VLOOKUP('Données projet'!$B$17,Paramètres!$A$1:$I$89,3,0)*VLOOKUP('Données projet'!$B$17,Paramètres!$A$1:$I$89,5,0)</f>
        <v>241.41311999999988</v>
      </c>
      <c r="GB69" s="13">
        <f t="shared" ref="GB69:GB132" si="103">EXP(-1.0587+0.8836*LN(GA69)+0.284)</f>
        <v>58.743466172863258</v>
      </c>
      <c r="GC69" s="20">
        <f t="shared" si="79"/>
        <v>522.77272091773659</v>
      </c>
      <c r="GD69" s="59">
        <f t="shared" si="80"/>
        <v>803.97633908028843</v>
      </c>
      <c r="GE69" s="59">
        <f ca="1">AVERAGE(OFFSET($GD$3,0,0,'Données projet'!$E$17+1,1))-AVERAGE(OFFSET($H$3,0,0,'Données projet'!$E$17+1,1))</f>
        <v>369.60865427618342</v>
      </c>
      <c r="GF69" s="59">
        <f t="shared" ref="GF69:GF132" si="104">$GF$3</f>
        <v>359.40898775279197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17.207213376441196</v>
      </c>
      <c r="GM69" s="21">
        <f>EXP(-LN(2)/25)*GM68+(1-EXP(-LN(2)/25))/(LN(2)/25)*Calculateur!GH69*Calculateur!GJ69*VLOOKUP('Données projet'!$B$17,Paramètres!$A$1:$I$89,3,0)*0.475*44/12</f>
        <v>0</v>
      </c>
      <c r="GN69" s="21">
        <f>EXP(-LN(2)/2)*GN68+(1-EXP(-LN(2)/2))/(LN(2)/2)*GH69*GK69*VLOOKUP('Données projet'!$B$17,Paramètres!$A$1:$I$89,3,0)*0.475*44/12</f>
        <v>0</v>
      </c>
      <c r="GO69" s="21">
        <f t="shared" si="81"/>
        <v>17.207213376441196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66.691895862514144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3.8</v>
      </c>
      <c r="GU69" s="12">
        <f>IF('Données projet'!$A$270&gt;35,GU68+GT69-HC68,IF(A69&lt;'Données projet'!$A$270,$GR$205^A69,IF(A69='Données projet'!$A$270,'Données projet'!$B$270,GU68+GT69-HC68)))</f>
        <v>247.79999999999984</v>
      </c>
      <c r="GV69" s="17">
        <f>GU69*VLOOKUP('Données projet'!$B$18,Paramètres!$A$1:$I$89,3,0)*VLOOKUP('Données projet'!$B$18,Paramètres!$A$1:$I$89,5,0)</f>
        <v>162.3585599999999</v>
      </c>
      <c r="GW69" s="13">
        <f t="shared" ref="GW69:GW132" si="105">EXP(-1.0587+0.8836*LN(GV69)+0.284)</f>
        <v>41.374041283105406</v>
      </c>
      <c r="GX69" s="20">
        <f t="shared" si="82"/>
        <v>354.83428056807503</v>
      </c>
      <c r="GY69" s="59">
        <f t="shared" si="83"/>
        <v>636.03789873062692</v>
      </c>
      <c r="GZ69" s="59">
        <f ca="1">AVERAGE(OFFSET($GY$3,0,0,'Données projet'!$E$18+1,1))-AVERAGE(OFFSET($H$3,0,0,'Données projet'!$E$18+1,1))</f>
        <v>262.62914256200031</v>
      </c>
      <c r="HA69" s="59">
        <f t="shared" ref="HA69:HA132" si="106">$HA$3</f>
        <v>256.45129229594409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projet'!$B$18,Paramètres!$A$1:$I$89,3,0)*0.475*44/12</f>
        <v>9.6637115247001173</v>
      </c>
      <c r="HH69" s="21">
        <f>EXP(-LN(2)/25)*HH68+(1-EXP(-LN(2)/25))/(LN(2)/25)*Calculateur!HC69*Calculateur!HE69*VLOOKUP('Données projet'!$B$18,Paramètres!$A$1:$I$89,3,0)*0.475*44/12</f>
        <v>0</v>
      </c>
      <c r="HI69" s="21">
        <f>EXP(-LN(2)/2)*HI68+(1-EXP(-LN(2)/2))/(LN(2)/2)*HC69*HF69*VLOOKUP('Données projet'!$B$18,Paramètres!$A$1:$I$89,3,0)*0.475*44/12</f>
        <v>0</v>
      </c>
      <c r="HJ69" s="22">
        <f t="shared" si="84"/>
        <v>9.6637115247001173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2.1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7.7</v>
      </c>
      <c r="H70" s="67">
        <f t="shared" si="56"/>
        <v>225.86666666666665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66.749284073486649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10</v>
      </c>
      <c r="N70" s="13">
        <f>IF('Données projet'!$A$36&gt;35,N69+M70-V69,IF(A70&lt;'Données projet'!$A$36,$K$205^A70,IF(A70='Données projet'!$A$36,'Données projet'!$B$36,N69+M70-V69)))</f>
        <v>286</v>
      </c>
      <c r="O70" s="13">
        <f>N70*VLOOKUP('Données projet'!$B$9,Paramètres!$A$1:$I$89,3,0)*VLOOKUP('Données projet'!$B$9,Paramètres!$A$1:$I$89,5,0)</f>
        <v>245.38800000000003</v>
      </c>
      <c r="P70" s="13">
        <f t="shared" si="87"/>
        <v>59.597282764919569</v>
      </c>
      <c r="Q70" s="20">
        <f t="shared" si="54"/>
        <v>531.18270081556818</v>
      </c>
      <c r="R70" s="59">
        <f t="shared" si="55"/>
        <v>812.59674241835251</v>
      </c>
      <c r="S70" s="59">
        <f ca="1">AVERAGE(OFFSET($R$3,0,0,'Données projet'!$E$9+1,1))-AVERAGE(OFFSET($H$3,0,0,'Données projet'!$E$9+1,1))</f>
        <v>476.79071915271794</v>
      </c>
      <c r="T70" s="59">
        <f t="shared" si="88"/>
        <v>264.79929759351762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16.248459026700861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16.248459026700861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66.749284073486649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6.8</v>
      </c>
      <c r="AI70" s="13">
        <f>IF('Données projet'!$A$62&gt;35,AI69+AH70-AQ69,IF(A70&lt;'Données projet'!$A$62,$AF$205^A70,IF(A70='Données projet'!$A$62,'Données projet'!$B$62,AI69+AH70-AQ69)))</f>
        <v>221.59999999999997</v>
      </c>
      <c r="AJ70" s="13">
        <f>AI70*VLOOKUP('Données projet'!$B$10,Paramètres!$A$1:$I$89,3,0)*VLOOKUP('Données projet'!$B$10,Paramètres!$A$1:$I$89,5,0)</f>
        <v>186.67583999999999</v>
      </c>
      <c r="AK70" s="13">
        <f t="shared" si="89"/>
        <v>46.804275023026975</v>
      </c>
      <c r="AL70" s="20">
        <f t="shared" si="58"/>
        <v>406.64453366510526</v>
      </c>
      <c r="AM70" s="59">
        <f t="shared" si="59"/>
        <v>688.05857526788964</v>
      </c>
      <c r="AN70" s="59">
        <f ca="1">AVERAGE(OFFSET($AM$3,0,0,'Données projet'!$E$10+1,1))-AVERAGE(OFFSET($H$3,0,0,'Données projet'!$E$10+1,1))</f>
        <v>365.104658862176</v>
      </c>
      <c r="AO70" s="59">
        <f t="shared" si="90"/>
        <v>226.29232910286325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12.025147065033021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12.025147065033021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66.749284073486649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6.8</v>
      </c>
      <c r="BD70" s="12">
        <f>IF('Données projet'!$A$88&gt;35,BD69+BC70-BL69,IF(A70&lt;'Données projet'!$A$88,$BA$205^A70,IF(A70='Données projet'!$A$88,'Données projet'!$B$88,BD69+BC70-BL69)))</f>
        <v>221.59999999999997</v>
      </c>
      <c r="BE70" s="13">
        <f>BD70*VLOOKUP('Données projet'!$B$11,Paramètres!$A$1:$I$89,3,0)*VLOOKUP('Données projet'!$B$11,Paramètres!$A$1:$I$89,5,0)</f>
        <v>200.50367999999995</v>
      </c>
      <c r="BF70" s="13">
        <f t="shared" si="91"/>
        <v>49.854845135229887</v>
      </c>
      <c r="BG70" s="20">
        <f t="shared" si="61"/>
        <v>436.04109794385857</v>
      </c>
      <c r="BH70" s="59">
        <f t="shared" si="62"/>
        <v>717.45513954664295</v>
      </c>
      <c r="BI70" s="59">
        <f ca="1">AVERAGE(OFFSET($BH$3,0,0,'Données projet'!$E$11+1,1))-AVERAGE(OFFSET($H$3,0,0,'Données projet'!$E$11+1,1))</f>
        <v>388.12494342575195</v>
      </c>
      <c r="BJ70" s="59">
        <f t="shared" si="92"/>
        <v>239.39471445648454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12.915898699479907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12.915898699479907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66.749284073486649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6.8</v>
      </c>
      <c r="BY70" s="12">
        <f>IF('Données projet'!$A$114&gt;35,BY69+BX70-CG69,IF(A70&lt;'Données projet'!$A$114,$BV$205^A70,IF(A70='Données projet'!$A$114,'Données projet'!$B$114,BY69+BX70-CG69)))</f>
        <v>221.59999999999997</v>
      </c>
      <c r="BZ70" s="13">
        <f>BY70*VLOOKUP('Données projet'!$B$12,Paramètres!$A$1:$I$89,3,0)*VLOOKUP('Données projet'!$B$12,Paramètres!$A$1:$I$89,5,0)</f>
        <v>224.70239999999998</v>
      </c>
      <c r="CA70" s="13">
        <f t="shared" si="93"/>
        <v>55.135667706678262</v>
      </c>
      <c r="CB70" s="20">
        <f t="shared" si="64"/>
        <v>487.38463458913134</v>
      </c>
      <c r="CC70" s="59">
        <f t="shared" si="65"/>
        <v>768.79867619191577</v>
      </c>
      <c r="CD70" s="59">
        <f ca="1">AVERAGE(OFFSET($CC$3,0,0,'Données projet'!$E$12+1,1))-AVERAGE(OFFSET($H$3,0,0,'Données projet'!$E$12+1,1))</f>
        <v>428.33148932885132</v>
      </c>
      <c r="CE70" s="59">
        <f t="shared" si="94"/>
        <v>262.27548054534373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14.474714059761965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14.474714059761965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66.749284073486649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5</v>
      </c>
      <c r="CT70" s="12">
        <f>IF('Données projet'!$A$140&gt;35,CT69+CS70-DB69,IF(A70&lt;'Données projet'!$A$140,$CQ$205^A70,IF(A70='Données projet'!$A$140,'Données projet'!$B$140,CT69+CS70-DB69)))</f>
        <v>157</v>
      </c>
      <c r="CU70" s="17">
        <f>CT70*VLOOKUP('Données projet'!$B$13,Paramètres!$A$1:$I$89,3,0)*VLOOKUP('Données projet'!$B$13,Paramètres!$A$1:$I$89,5,0)</f>
        <v>149.40119999999999</v>
      </c>
      <c r="CV70" s="13">
        <f t="shared" si="95"/>
        <v>38.44247450913759</v>
      </c>
      <c r="CW70" s="20">
        <f t="shared" si="67"/>
        <v>327.16106643674794</v>
      </c>
      <c r="CX70" s="59">
        <f t="shared" si="68"/>
        <v>608.57510803953232</v>
      </c>
      <c r="CY70" s="59">
        <f ca="1">AVERAGE(OFFSET($CX$3,0,0,'Données projet'!$E$13+1,1))-AVERAGE(OFFSET($H$3,0,0,'Données projet'!$E$13+1,1))</f>
        <v>307.62549820830162</v>
      </c>
      <c r="CZ70" s="59">
        <f t="shared" si="96"/>
        <v>160.26466014910304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8.052414725064267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8.052414725064267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66.749284073486649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3.8</v>
      </c>
      <c r="DO70" s="12">
        <f>IF('Données projet'!$A$166&gt;35,DO69+DN70-DW69,IF(A70&lt;'Données projet'!$A$166,$DL$205^A70,IF(A70='Données projet'!$A$166,'Données projet'!$B$166,DO69+DN70-DW69)))</f>
        <v>251.59999999999985</v>
      </c>
      <c r="DP70" s="17">
        <f>DO70*VLOOKUP('Données projet'!$B$14,Paramètres!$A$1:$I$89,3,0)*VLOOKUP('Données projet'!$B$14,Paramètres!$A$1:$I$89,5,0)</f>
        <v>200.17295999999988</v>
      </c>
      <c r="DQ70" s="13">
        <f t="shared" si="97"/>
        <v>49.782177185855986</v>
      </c>
      <c r="DR70" s="20">
        <f t="shared" si="70"/>
        <v>435.33853059869892</v>
      </c>
      <c r="DS70" s="59">
        <f t="shared" si="71"/>
        <v>716.7525722014833</v>
      </c>
      <c r="DT70" s="59">
        <f ca="1">AVERAGE(OFFSET($DS$3,0,0,'Données projet'!$E$14+1,1))-AVERAGE(OFFSET($H$3,0,0,'Données projet'!$E$14+1,1))</f>
        <v>309.14579005132464</v>
      </c>
      <c r="DU70" s="59">
        <f t="shared" si="98"/>
        <v>300.60311050289533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14.179842266479199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14.179842266479199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66.749284073486649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4.5999999999999996</v>
      </c>
      <c r="EJ70" s="12">
        <f>IF('Données projet'!$A$192&gt;35,EJ69+EI70-ER69,IF(A70&lt;'Données projet'!$A$192,$EG$205^A70,IF(A70='Données projet'!$A$192,'Données projet'!$B$192,EJ69+EI70-ER69)))</f>
        <v>302.19999999999987</v>
      </c>
      <c r="EK70" s="17">
        <f>EJ70*VLOOKUP('Données projet'!$B$15,Paramètres!$A$1:$I$89,3,0)*VLOOKUP('Données projet'!$B$15,Paramètres!$A$1:$I$89,5,0)</f>
        <v>221.57303999999991</v>
      </c>
      <c r="EL70" s="13">
        <f t="shared" si="99"/>
        <v>54.456636294321989</v>
      </c>
      <c r="EM70" s="20">
        <f t="shared" si="73"/>
        <v>480.75168621261065</v>
      </c>
      <c r="EN70" s="59">
        <f t="shared" si="74"/>
        <v>762.16572781539503</v>
      </c>
      <c r="EO70" s="59">
        <f ca="1">AVERAGE(OFFSET($EN$3,0,0,'Données projet'!$E$15+1,1))-AVERAGE(OFFSET($H$3,0,0,'Données projet'!$E$15+1,1))</f>
        <v>338.59243085476896</v>
      </c>
      <c r="EP70" s="59">
        <f t="shared" si="100"/>
        <v>329.8393445823275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15.247695185041767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15.247695185041767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66.749284073486649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4.5999999999999996</v>
      </c>
      <c r="FE70" s="12">
        <f>IF('Données projet'!$A$218&gt;35,FE69+FD70-FM69,IF(A70&lt;'Données projet'!$A$218,$FB$205^A70,IF(A70='Données projet'!$A$218,'Données projet'!$B$218,FE69+FD70-FM69)))</f>
        <v>302.19999999999987</v>
      </c>
      <c r="FF70" s="17">
        <f>FE70*VLOOKUP('Données projet'!$B$16,Paramètres!$A$1:$I$89,3,0)*VLOOKUP('Données projet'!$B$16,Paramètres!$A$1:$I$89,5,0)</f>
        <v>198.00143999999992</v>
      </c>
      <c r="FG70" s="13">
        <f t="shared" si="101"/>
        <v>49.304688329083952</v>
      </c>
      <c r="FH70" s="20">
        <f t="shared" si="76"/>
        <v>430.72484017315429</v>
      </c>
      <c r="FI70" s="59">
        <f t="shared" si="77"/>
        <v>712.13888177593867</v>
      </c>
      <c r="FJ70" s="59">
        <f ca="1">AVERAGE(OFFSET($FI$3,0,0,'Données projet'!$E$16+1,1))-AVERAGE(OFFSET($H$3,0,0,'Données projet'!$E$16+1,1))</f>
        <v>307.50573770128085</v>
      </c>
      <c r="FK70" s="59">
        <f t="shared" si="102"/>
        <v>300.2007312562655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13.625599952590509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13.625599952590509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66.749284073486649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4.5999999999999996</v>
      </c>
      <c r="FZ70" s="12">
        <f>IF('Données projet'!$A$244&gt;35,FZ69+FY70-GH69,IF(A70&lt;'Données projet'!$A$244,$FW$205^A70,IF(A70='Données projet'!$A$244,'Données projet'!$B$244,FZ69+FY70-GH69)))</f>
        <v>302.19999999999987</v>
      </c>
      <c r="GA70" s="17">
        <f>FZ70*VLOOKUP('Données projet'!$B$17,Paramètres!$A$1:$I$89,3,0)*VLOOKUP('Données projet'!$B$17,Paramètres!$A$1:$I$89,5,0)</f>
        <v>245.14463999999992</v>
      </c>
      <c r="GB70" s="13">
        <f t="shared" si="103"/>
        <v>59.545054798309039</v>
      </c>
      <c r="GC70" s="20">
        <f t="shared" si="79"/>
        <v>530.66788510705476</v>
      </c>
      <c r="GD70" s="59">
        <f t="shared" si="80"/>
        <v>812.08192670983908</v>
      </c>
      <c r="GE70" s="59">
        <f ca="1">AVERAGE(OFFSET($GD$3,0,0,'Données projet'!$E$17+1,1))-AVERAGE(OFFSET($H$3,0,0,'Données projet'!$E$17+1,1))</f>
        <v>369.60865427618342</v>
      </c>
      <c r="GF70" s="59">
        <f t="shared" si="104"/>
        <v>359.40898775279197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16.869790417493011</v>
      </c>
      <c r="GM70" s="21">
        <f>EXP(-LN(2)/25)*GM69+(1-EXP(-LN(2)/25))/(LN(2)/25)*Calculateur!GH70*Calculateur!GJ70*VLOOKUP('Données projet'!$B$17,Paramètres!$A$1:$I$89,3,0)*0.475*44/12</f>
        <v>0</v>
      </c>
      <c r="GN70" s="21">
        <f>EXP(-LN(2)/2)*GN69+(1-EXP(-LN(2)/2))/(LN(2)/2)*GH70*GK70*VLOOKUP('Données projet'!$B$17,Paramètres!$A$1:$I$89,3,0)*0.475*44/12</f>
        <v>0</v>
      </c>
      <c r="GO70" s="21">
        <f t="shared" si="81"/>
        <v>16.869790417493011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66.749284073486649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3.8</v>
      </c>
      <c r="GU70" s="12">
        <f>IF('Données projet'!$A$270&gt;35,GU69+GT70-HC69,IF(A70&lt;'Données projet'!$A$270,$GR$205^A70,IF(A70='Données projet'!$A$270,'Données projet'!$B$270,GU69+GT70-HC69)))</f>
        <v>251.59999999999985</v>
      </c>
      <c r="GV70" s="17">
        <f>GU70*VLOOKUP('Données projet'!$B$18,Paramètres!$A$1:$I$89,3,0)*VLOOKUP('Données projet'!$B$18,Paramètres!$A$1:$I$89,5,0)</f>
        <v>164.84831999999992</v>
      </c>
      <c r="GW70" s="13">
        <f t="shared" si="105"/>
        <v>41.934160358278397</v>
      </c>
      <c r="GX70" s="20">
        <f t="shared" si="82"/>
        <v>360.14615329066805</v>
      </c>
      <c r="GY70" s="59">
        <f t="shared" si="83"/>
        <v>641.56019489345249</v>
      </c>
      <c r="GZ70" s="59">
        <f ca="1">AVERAGE(OFFSET($GY$3,0,0,'Données projet'!$E$18+1,1))-AVERAGE(OFFSET($H$3,0,0,'Données projet'!$E$18+1,1))</f>
        <v>262.62914256200031</v>
      </c>
      <c r="HA70" s="59">
        <f t="shared" si="106"/>
        <v>256.45129229594409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projet'!$B$18,Paramètres!$A$1:$I$89,3,0)*0.475*44/12</f>
        <v>9.4742120359827666</v>
      </c>
      <c r="HH70" s="21">
        <f>EXP(-LN(2)/25)*HH69+(1-EXP(-LN(2)/25))/(LN(2)/25)*Calculateur!HC70*Calculateur!HE70*VLOOKUP('Données projet'!$B$18,Paramètres!$A$1:$I$89,3,0)*0.475*44/12</f>
        <v>0</v>
      </c>
      <c r="HI70" s="21">
        <f>EXP(-LN(2)/2)*HI69+(1-EXP(-LN(2)/2))/(LN(2)/2)*HC70*HF70*VLOOKUP('Données projet'!$B$18,Paramètres!$A$1:$I$89,3,0)*0.475*44/12</f>
        <v>0</v>
      </c>
      <c r="HJ70" s="22">
        <f t="shared" si="84"/>
        <v>9.4742120359827666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2.1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7.7</v>
      </c>
      <c r="H71" s="67">
        <f t="shared" si="56"/>
        <v>225.86666666666665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66.805676727299598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10</v>
      </c>
      <c r="N71" s="13">
        <f>IF('Données projet'!$A$36&gt;35,N70+M71-V70,IF(A71&lt;'Données projet'!$A$36,$K$205^A71,IF(A71='Données projet'!$A$36,'Données projet'!$B$36,N70+M71-V70)))</f>
        <v>296</v>
      </c>
      <c r="O71" s="13">
        <f>N71*VLOOKUP('Données projet'!$B$9,Paramètres!$A$1:$I$89,3,0)*VLOOKUP('Données projet'!$B$9,Paramètres!$A$1:$I$89,5,0)</f>
        <v>253.96800000000002</v>
      </c>
      <c r="P71" s="13">
        <f t="shared" si="87"/>
        <v>61.434848029666512</v>
      </c>
      <c r="Q71" s="20">
        <f t="shared" si="54"/>
        <v>549.32662698500246</v>
      </c>
      <c r="R71" s="59">
        <f t="shared" si="55"/>
        <v>830.94744165176758</v>
      </c>
      <c r="S71" s="59">
        <f ca="1">AVERAGE(OFFSET($R$3,0,0,'Données projet'!$E$9+1,1))-AVERAGE(OFFSET($H$3,0,0,'Données projet'!$E$9+1,1))</f>
        <v>476.79071915271794</v>
      </c>
      <c r="T71" s="59">
        <f t="shared" si="88"/>
        <v>264.79929759351762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15.929836655768675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15.929836655768675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66.805676727299598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6.8</v>
      </c>
      <c r="AI71" s="13">
        <f>IF('Données projet'!$A$62&gt;35,AI70+AH71-AQ70,IF(A71&lt;'Données projet'!$A$62,$AF$205^A71,IF(A71='Données projet'!$A$62,'Données projet'!$B$62,AI70+AH71-AQ70)))</f>
        <v>228.39999999999998</v>
      </c>
      <c r="AJ71" s="13">
        <f>AI71*VLOOKUP('Données projet'!$B$10,Paramètres!$A$1:$I$89,3,0)*VLOOKUP('Données projet'!$B$10,Paramètres!$A$1:$I$89,5,0)</f>
        <v>192.40415999999999</v>
      </c>
      <c r="AK71" s="13">
        <f t="shared" si="89"/>
        <v>48.071088890795593</v>
      </c>
      <c r="AL71" s="20">
        <f t="shared" si="58"/>
        <v>418.82772515146894</v>
      </c>
      <c r="AM71" s="59">
        <f t="shared" si="59"/>
        <v>700.44853981823417</v>
      </c>
      <c r="AN71" s="59">
        <f ca="1">AVERAGE(OFFSET($AM$3,0,0,'Données projet'!$E$10+1,1))-AVERAGE(OFFSET($H$3,0,0,'Données projet'!$E$10+1,1))</f>
        <v>365.104658862176</v>
      </c>
      <c r="AO71" s="59">
        <f t="shared" si="90"/>
        <v>226.29232910286325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11.7893412657032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11.7893412657032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66.805676727299598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6.8</v>
      </c>
      <c r="BD71" s="12">
        <f>IF('Données projet'!$A$88&gt;35,BD70+BC71-BL70,IF(A71&lt;'Données projet'!$A$88,$BA$205^A71,IF(A71='Données projet'!$A$88,'Données projet'!$B$88,BD70+BC71-BL70)))</f>
        <v>228.39999999999998</v>
      </c>
      <c r="BE71" s="13">
        <f>BD71*VLOOKUP('Données projet'!$B$11,Paramètres!$A$1:$I$89,3,0)*VLOOKUP('Données projet'!$B$11,Paramètres!$A$1:$I$89,5,0)</f>
        <v>206.65631999999997</v>
      </c>
      <c r="BF71" s="13">
        <f t="shared" si="91"/>
        <v>51.20422634371338</v>
      </c>
      <c r="BG71" s="20">
        <f t="shared" si="61"/>
        <v>449.10711821530072</v>
      </c>
      <c r="BH71" s="59">
        <f t="shared" si="62"/>
        <v>730.72793288206594</v>
      </c>
      <c r="BI71" s="59">
        <f ca="1">AVERAGE(OFFSET($BH$3,0,0,'Données projet'!$E$11+1,1))-AVERAGE(OFFSET($H$3,0,0,'Données projet'!$E$11+1,1))</f>
        <v>388.12494342575195</v>
      </c>
      <c r="BJ71" s="59">
        <f t="shared" si="92"/>
        <v>239.39471445648454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12.662625803903433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12.662625803903433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66.805676727299598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6.8</v>
      </c>
      <c r="BY71" s="12">
        <f>IF('Données projet'!$A$114&gt;35,BY70+BX71-CG70,IF(A71&lt;'Données projet'!$A$114,$BV$205^A71,IF(A71='Données projet'!$A$114,'Données projet'!$B$114,BY70+BX71-CG70)))</f>
        <v>228.39999999999998</v>
      </c>
      <c r="BZ71" s="13">
        <f>BY71*VLOOKUP('Données projet'!$B$12,Paramètres!$A$1:$I$89,3,0)*VLOOKUP('Données projet'!$B$12,Paramètres!$A$1:$I$89,5,0)</f>
        <v>231.59759999999997</v>
      </c>
      <c r="CA71" s="13">
        <f t="shared" si="93"/>
        <v>56.627980714948151</v>
      </c>
      <c r="CB71" s="20">
        <f t="shared" si="64"/>
        <v>501.99288641186791</v>
      </c>
      <c r="CC71" s="59">
        <f t="shared" si="65"/>
        <v>783.61370107863308</v>
      </c>
      <c r="CD71" s="59">
        <f ca="1">AVERAGE(OFFSET($CC$3,0,0,'Données projet'!$E$12+1,1))-AVERAGE(OFFSET($H$3,0,0,'Données projet'!$E$12+1,1))</f>
        <v>428.33148932885132</v>
      </c>
      <c r="CE71" s="59">
        <f t="shared" si="94"/>
        <v>262.27548054534373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14.190873745753848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14.190873745753848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66.805676727299598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5</v>
      </c>
      <c r="CT71" s="12">
        <f>IF('Données projet'!$A$140&gt;35,CT70+CS71-DB70,IF(A71&lt;'Données projet'!$A$140,$CQ$205^A71,IF(A71='Données projet'!$A$140,'Données projet'!$B$140,CT70+CS71-DB70)))</f>
        <v>162</v>
      </c>
      <c r="CU71" s="17">
        <f>CT71*VLOOKUP('Données projet'!$B$13,Paramètres!$A$1:$I$89,3,0)*VLOOKUP('Données projet'!$B$13,Paramètres!$A$1:$I$89,5,0)</f>
        <v>154.1592</v>
      </c>
      <c r="CV71" s="13">
        <f t="shared" si="95"/>
        <v>39.522268933730984</v>
      </c>
      <c r="CW71" s="20">
        <f t="shared" si="67"/>
        <v>337.32855839291477</v>
      </c>
      <c r="CX71" s="59">
        <f t="shared" si="68"/>
        <v>618.94937305967994</v>
      </c>
      <c r="CY71" s="59">
        <f ca="1">AVERAGE(OFFSET($CX$3,0,0,'Données projet'!$E$13+1,1))-AVERAGE(OFFSET($H$3,0,0,'Données projet'!$E$13+1,1))</f>
        <v>307.62549820830162</v>
      </c>
      <c r="CZ71" s="59">
        <f t="shared" si="96"/>
        <v>160.26466014910304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7.8945117837937699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7.8945117837937699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66.805676727299598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3.8</v>
      </c>
      <c r="DO71" s="12">
        <f>IF('Données projet'!$A$166&gt;35,DO70+DN71-DW70,IF(A71&lt;'Données projet'!$A$166,$DL$205^A71,IF(A71='Données projet'!$A$166,'Données projet'!$B$166,DO70+DN71-DW70)))</f>
        <v>255.39999999999986</v>
      </c>
      <c r="DP71" s="17">
        <f>DO71*VLOOKUP('Données projet'!$B$14,Paramètres!$A$1:$I$89,3,0)*VLOOKUP('Données projet'!$B$14,Paramètres!$A$1:$I$89,5,0)</f>
        <v>203.1962399999999</v>
      </c>
      <c r="DQ71" s="13">
        <f t="shared" si="97"/>
        <v>50.445955049216174</v>
      </c>
      <c r="DR71" s="20">
        <f t="shared" si="70"/>
        <v>441.76015637738465</v>
      </c>
      <c r="DS71" s="59">
        <f t="shared" si="71"/>
        <v>723.38097104414987</v>
      </c>
      <c r="DT71" s="59">
        <f ca="1">AVERAGE(OFFSET($DS$3,0,0,'Données projet'!$E$14+1,1))-AVERAGE(OFFSET($H$3,0,0,'Données projet'!$E$14+1,1))</f>
        <v>309.14579005132464</v>
      </c>
      <c r="DU71" s="59">
        <f t="shared" si="98"/>
        <v>300.60311050289533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13.901784208483321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13.901784208483321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66.805676727299598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4.5999999999999996</v>
      </c>
      <c r="EJ71" s="12">
        <f>IF('Données projet'!$A$192&gt;35,EJ70+EI71-ER70,IF(A71&lt;'Données projet'!$A$192,$EG$205^A71,IF(A71='Données projet'!$A$192,'Données projet'!$B$192,EJ70+EI71-ER70)))</f>
        <v>306.7999999999999</v>
      </c>
      <c r="EK71" s="17">
        <f>EJ71*VLOOKUP('Données projet'!$B$15,Paramètres!$A$1:$I$89,3,0)*VLOOKUP('Données projet'!$B$15,Paramètres!$A$1:$I$89,5,0)</f>
        <v>224.94575999999992</v>
      </c>
      <c r="EL71" s="13">
        <f t="shared" si="99"/>
        <v>55.188427424815572</v>
      </c>
      <c r="EM71" s="20">
        <f t="shared" si="73"/>
        <v>487.90037643155364</v>
      </c>
      <c r="EN71" s="59">
        <f t="shared" si="74"/>
        <v>769.52119109831881</v>
      </c>
      <c r="EO71" s="59">
        <f ca="1">AVERAGE(OFFSET($EN$3,0,0,'Données projet'!$E$15+1,1))-AVERAGE(OFFSET($H$3,0,0,'Données projet'!$E$15+1,1))</f>
        <v>338.59243085476896</v>
      </c>
      <c r="EP71" s="59">
        <f t="shared" si="100"/>
        <v>329.8393445823275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14.948697182638846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14.948697182638846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66.805676727299598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4.5999999999999996</v>
      </c>
      <c r="FE71" s="12">
        <f>IF('Données projet'!$A$218&gt;35,FE70+FD71-FM70,IF(A71&lt;'Données projet'!$A$218,$FB$205^A71,IF(A71='Données projet'!$A$218,'Données projet'!$B$218,FE70+FD71-FM70)))</f>
        <v>306.7999999999999</v>
      </c>
      <c r="FF71" s="17">
        <f>FE71*VLOOKUP('Données projet'!$B$16,Paramètres!$A$1:$I$89,3,0)*VLOOKUP('Données projet'!$B$16,Paramètres!$A$1:$I$89,5,0)</f>
        <v>201.01535999999996</v>
      </c>
      <c r="FG71" s="13">
        <f t="shared" si="101"/>
        <v>49.96724731300592</v>
      </c>
      <c r="FH71" s="20">
        <f t="shared" si="76"/>
        <v>437.12804107015182</v>
      </c>
      <c r="FI71" s="59">
        <f t="shared" si="77"/>
        <v>718.74885573691699</v>
      </c>
      <c r="FJ71" s="59">
        <f ca="1">AVERAGE(OFFSET($FI$3,0,0,'Données projet'!$E$16+1,1))-AVERAGE(OFFSET($H$3,0,0,'Données projet'!$E$16+1,1))</f>
        <v>307.50573770128085</v>
      </c>
      <c r="FK71" s="59">
        <f t="shared" si="102"/>
        <v>300.2007312562655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13.358410248315558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13.358410248315558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66.805676727299598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4.5999999999999996</v>
      </c>
      <c r="FZ71" s="12">
        <f>IF('Données projet'!$A$244&gt;35,FZ70+FY71-GH70,IF(A71&lt;'Données projet'!$A$244,$FW$205^A71,IF(A71='Données projet'!$A$244,'Données projet'!$B$244,FZ70+FY71-GH70)))</f>
        <v>306.7999999999999</v>
      </c>
      <c r="GA71" s="17">
        <f>FZ71*VLOOKUP('Données projet'!$B$17,Paramètres!$A$1:$I$89,3,0)*VLOOKUP('Données projet'!$B$17,Paramètres!$A$1:$I$89,5,0)</f>
        <v>248.87615999999991</v>
      </c>
      <c r="GB71" s="13">
        <f t="shared" si="103"/>
        <v>60.345224363146883</v>
      </c>
      <c r="GC71" s="20">
        <f t="shared" si="79"/>
        <v>538.56057776581395</v>
      </c>
      <c r="GD71" s="59">
        <f t="shared" si="80"/>
        <v>820.18139243257906</v>
      </c>
      <c r="GE71" s="59">
        <f ca="1">AVERAGE(OFFSET($GD$3,0,0,'Données projet'!$E$17+1,1))-AVERAGE(OFFSET($H$3,0,0,'Données projet'!$E$17+1,1))</f>
        <v>369.60865427618342</v>
      </c>
      <c r="GF71" s="59">
        <f t="shared" si="104"/>
        <v>359.40898775279197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16.538984116962119</v>
      </c>
      <c r="GM71" s="21">
        <f>EXP(-LN(2)/25)*GM70+(1-EXP(-LN(2)/25))/(LN(2)/25)*Calculateur!GH71*Calculateur!GJ71*VLOOKUP('Données projet'!$B$17,Paramètres!$A$1:$I$89,3,0)*0.475*44/12</f>
        <v>0</v>
      </c>
      <c r="GN71" s="21">
        <f>EXP(-LN(2)/2)*GN70+(1-EXP(-LN(2)/2))/(LN(2)/2)*GH71*GK71*VLOOKUP('Données projet'!$B$17,Paramètres!$A$1:$I$89,3,0)*0.475*44/12</f>
        <v>0</v>
      </c>
      <c r="GO71" s="21">
        <f t="shared" si="81"/>
        <v>16.538984116962119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66.805676727299598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3.8</v>
      </c>
      <c r="GU71" s="12">
        <f>IF('Données projet'!$A$270&gt;35,GU70+GT71-HC70,IF(A71&lt;'Données projet'!$A$270,$GR$205^A71,IF(A71='Données projet'!$A$270,'Données projet'!$B$270,GU70+GT71-HC70)))</f>
        <v>255.39999999999986</v>
      </c>
      <c r="GV71" s="17">
        <f>GU71*VLOOKUP('Données projet'!$B$18,Paramètres!$A$1:$I$89,3,0)*VLOOKUP('Données projet'!$B$18,Paramètres!$A$1:$I$89,5,0)</f>
        <v>167.33807999999991</v>
      </c>
      <c r="GW71" s="13">
        <f t="shared" si="105"/>
        <v>42.493295553601477</v>
      </c>
      <c r="GX71" s="20">
        <f t="shared" si="82"/>
        <v>365.45631242252239</v>
      </c>
      <c r="GY71" s="59">
        <f t="shared" si="83"/>
        <v>647.07712708928761</v>
      </c>
      <c r="GZ71" s="59">
        <f ca="1">AVERAGE(OFFSET($GY$3,0,0,'Données projet'!$E$18+1,1))-AVERAGE(OFFSET($H$3,0,0,'Données projet'!$E$18+1,1))</f>
        <v>262.62914256200031</v>
      </c>
      <c r="HA71" s="59">
        <f t="shared" si="106"/>
        <v>256.45129229594409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>
        <f>EXP(-LN(2)/35)*HG70+(1-EXP(-LN(2)/35))/(LN(2)/35)*HC71*HD71*VLOOKUP('Données projet'!$B$18,Paramètres!$A$1:$I$89,3,0)*0.475*44/12</f>
        <v>9.2884285166558875</v>
      </c>
      <c r="HH71" s="21">
        <f>EXP(-LN(2)/25)*HH70+(1-EXP(-LN(2)/25))/(LN(2)/25)*Calculateur!HC71*Calculateur!HE71*VLOOKUP('Données projet'!$B$18,Paramètres!$A$1:$I$89,3,0)*0.475*44/12</f>
        <v>0</v>
      </c>
      <c r="HI71" s="21">
        <f>EXP(-LN(2)/2)*HI70+(1-EXP(-LN(2)/2))/(LN(2)/2)*HC71*HF71*VLOOKUP('Données projet'!$B$18,Paramètres!$A$1:$I$89,3,0)*0.475*44/12</f>
        <v>0</v>
      </c>
      <c r="HJ71" s="22">
        <f t="shared" si="84"/>
        <v>9.2884285166558875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2.1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7.7</v>
      </c>
      <c r="H72" s="67">
        <f t="shared" si="56"/>
        <v>225.86666666666665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66.861091094643982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10</v>
      </c>
      <c r="N72" s="13">
        <f>IF('Données projet'!$A$36&gt;35,N71+M72-V71,IF(A72&lt;'Données projet'!$A$36,$K$205^A72,IF(A72='Données projet'!$A$36,'Données projet'!$B$36,N71+M72-V71)))</f>
        <v>306</v>
      </c>
      <c r="O72" s="13">
        <f>N72*VLOOKUP('Données projet'!$B$9,Paramètres!$A$1:$I$89,3,0)*VLOOKUP('Données projet'!$B$9,Paramètres!$A$1:$I$89,5,0)</f>
        <v>262.548</v>
      </c>
      <c r="P72" s="13">
        <f t="shared" si="87"/>
        <v>63.265199933079444</v>
      </c>
      <c r="Q72" s="20">
        <f t="shared" si="54"/>
        <v>567.45798988344666</v>
      </c>
      <c r="R72" s="59">
        <f t="shared" si="55"/>
        <v>849.28199056380799</v>
      </c>
      <c r="S72" s="59">
        <f ca="1">AVERAGE(OFFSET($R$3,0,0,'Données projet'!$E$9+1,1))-AVERAGE(OFFSET($H$3,0,0,'Données projet'!$E$9+1,1))</f>
        <v>476.79071915271794</v>
      </c>
      <c r="T72" s="59">
        <f t="shared" si="88"/>
        <v>264.79929759351762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15.617462275190013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15.617462275190013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66.861091094643982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6.8</v>
      </c>
      <c r="AI72" s="13">
        <f>IF('Données projet'!$A$62&gt;35,AI71+AH72-AQ71,IF(A72&lt;'Données projet'!$A$62,$AF$205^A72,IF(A72='Données projet'!$A$62,'Données projet'!$B$62,AI71+AH72-AQ71)))</f>
        <v>235.2</v>
      </c>
      <c r="AJ72" s="13">
        <f>AI72*VLOOKUP('Données projet'!$B$10,Paramètres!$A$1:$I$89,3,0)*VLOOKUP('Données projet'!$B$10,Paramètres!$A$1:$I$89,5,0)</f>
        <v>198.13247999999999</v>
      </c>
      <c r="AK72" s="13">
        <f t="shared" si="89"/>
        <v>49.333519530262095</v>
      </c>
      <c r="AL72" s="20">
        <f t="shared" si="58"/>
        <v>431.00328251520642</v>
      </c>
      <c r="AM72" s="59">
        <f t="shared" si="59"/>
        <v>712.8272831955677</v>
      </c>
      <c r="AN72" s="59">
        <f ca="1">AVERAGE(OFFSET($AM$3,0,0,'Données projet'!$E$10+1,1))-AVERAGE(OFFSET($H$3,0,0,'Données projet'!$E$10+1,1))</f>
        <v>365.104658862176</v>
      </c>
      <c r="AO72" s="59">
        <f t="shared" si="90"/>
        <v>226.29232910286325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11.558159474270902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11.558159474270902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66.861091094643982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6.8</v>
      </c>
      <c r="BD72" s="12">
        <f>IF('Données projet'!$A$88&gt;35,BD71+BC72-BL71,IF(A72&lt;'Données projet'!$A$88,$BA$205^A72,IF(A72='Données projet'!$A$88,'Données projet'!$B$88,BD71+BC72-BL71)))</f>
        <v>235.2</v>
      </c>
      <c r="BE72" s="13">
        <f>BD72*VLOOKUP('Données projet'!$B$11,Paramètres!$A$1:$I$89,3,0)*VLOOKUP('Données projet'!$B$11,Paramètres!$A$1:$I$89,5,0)</f>
        <v>212.80896000000001</v>
      </c>
      <c r="BF72" s="13">
        <f t="shared" si="91"/>
        <v>52.548938637485847</v>
      </c>
      <c r="BG72" s="20">
        <f t="shared" si="61"/>
        <v>462.16500679362116</v>
      </c>
      <c r="BH72" s="59">
        <f t="shared" si="62"/>
        <v>743.98900747398238</v>
      </c>
      <c r="BI72" s="59">
        <f ca="1">AVERAGE(OFFSET($BH$3,0,0,'Données projet'!$E$11+1,1))-AVERAGE(OFFSET($H$3,0,0,'Données projet'!$E$11+1,1))</f>
        <v>388.12494342575195</v>
      </c>
      <c r="BJ72" s="59">
        <f t="shared" si="92"/>
        <v>239.39471445648454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12.414319435328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12.414319435328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66.861091094643982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6.8</v>
      </c>
      <c r="BY72" s="12">
        <f>IF('Données projet'!$A$114&gt;35,BY71+BX72-CG71,IF(A72&lt;'Données projet'!$A$114,$BV$205^A72,IF(A72='Données projet'!$A$114,'Données projet'!$B$114,BY71+BX72-CG71)))</f>
        <v>235.2</v>
      </c>
      <c r="BZ72" s="13">
        <f>BY72*VLOOKUP('Données projet'!$B$12,Paramètres!$A$1:$I$89,3,0)*VLOOKUP('Données projet'!$B$12,Paramètres!$A$1:$I$89,5,0)</f>
        <v>238.49279999999999</v>
      </c>
      <c r="CA72" s="13">
        <f t="shared" si="93"/>
        <v>58.115130258576542</v>
      </c>
      <c r="CB72" s="20">
        <f t="shared" si="64"/>
        <v>516.59214520035414</v>
      </c>
      <c r="CC72" s="59">
        <f t="shared" si="65"/>
        <v>798.41614588071548</v>
      </c>
      <c r="CD72" s="59">
        <f ca="1">AVERAGE(OFFSET($CC$3,0,0,'Données projet'!$E$12+1,1))-AVERAGE(OFFSET($H$3,0,0,'Données projet'!$E$12+1,1))</f>
        <v>428.33148932885132</v>
      </c>
      <c r="CE72" s="59">
        <f t="shared" si="94"/>
        <v>262.27548054534373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13.912599367177933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13.912599367177933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66.861091094643982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5</v>
      </c>
      <c r="CT72" s="12">
        <f>IF('Données projet'!$A$140&gt;35,CT71+CS72-DB71,IF(A72&lt;'Données projet'!$A$140,$CQ$205^A72,IF(A72='Données projet'!$A$140,'Données projet'!$B$140,CT71+CS72-DB71)))</f>
        <v>167</v>
      </c>
      <c r="CU72" s="17">
        <f>CT72*VLOOKUP('Données projet'!$B$13,Paramètres!$A$1:$I$89,3,0)*VLOOKUP('Données projet'!$B$13,Paramètres!$A$1:$I$89,5,0)</f>
        <v>158.91720000000001</v>
      </c>
      <c r="CV72" s="13">
        <f t="shared" si="95"/>
        <v>40.598190407175252</v>
      </c>
      <c r="CW72" s="20">
        <f t="shared" si="67"/>
        <v>347.48930495916358</v>
      </c>
      <c r="CX72" s="59">
        <f t="shared" si="68"/>
        <v>629.31330563952486</v>
      </c>
      <c r="CY72" s="59">
        <f ca="1">AVERAGE(OFFSET($CX$3,0,0,'Données projet'!$E$13+1,1))-AVERAGE(OFFSET($H$3,0,0,'Données projet'!$E$13+1,1))</f>
        <v>307.62549820830162</v>
      </c>
      <c r="CZ72" s="59">
        <f t="shared" si="96"/>
        <v>160.26466014910304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7.7397052228903034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7.7397052228903034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66.861091094643982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3.8</v>
      </c>
      <c r="DO72" s="12">
        <f>IF('Données projet'!$A$166&gt;35,DO71+DN72-DW71,IF(A72&lt;'Données projet'!$A$166,$DL$205^A72,IF(A72='Données projet'!$A$166,'Données projet'!$B$166,DO71+DN72-DW71)))</f>
        <v>259.19999999999987</v>
      </c>
      <c r="DP72" s="17">
        <f>DO72*VLOOKUP('Données projet'!$B$14,Paramètres!$A$1:$I$89,3,0)*VLOOKUP('Données projet'!$B$14,Paramètres!$A$1:$I$89,5,0)</f>
        <v>206.21951999999993</v>
      </c>
      <c r="DQ72" s="13">
        <f t="shared" si="97"/>
        <v>51.10858428464028</v>
      </c>
      <c r="DR72" s="20">
        <f t="shared" si="70"/>
        <v>448.17978162908167</v>
      </c>
      <c r="DS72" s="59">
        <f t="shared" si="71"/>
        <v>730.00378230944295</v>
      </c>
      <c r="DT72" s="59">
        <f ca="1">AVERAGE(OFFSET($DS$3,0,0,'Données projet'!$E$14+1,1))-AVERAGE(OFFSET($H$3,0,0,'Données projet'!$E$14+1,1))</f>
        <v>309.14579005132464</v>
      </c>
      <c r="DU72" s="59">
        <f t="shared" si="98"/>
        <v>300.60311050289533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13.629178699406074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13.629178699406074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66.861091094643982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4.5999999999999996</v>
      </c>
      <c r="EJ72" s="12">
        <f>IF('Données projet'!$A$192&gt;35,EJ71+EI72-ER71,IF(A72&lt;'Données projet'!$A$192,$EG$205^A72,IF(A72='Données projet'!$A$192,'Données projet'!$B$192,EJ71+EI72-ER71)))</f>
        <v>311.39999999999992</v>
      </c>
      <c r="EK72" s="17">
        <f>EJ72*VLOOKUP('Données projet'!$B$15,Paramètres!$A$1:$I$89,3,0)*VLOOKUP('Données projet'!$B$15,Paramètres!$A$1:$I$89,5,0)</f>
        <v>228.31847999999994</v>
      </c>
      <c r="EL72" s="13">
        <f t="shared" si="99"/>
        <v>55.918942466546987</v>
      </c>
      <c r="EM72" s="20">
        <f t="shared" si="73"/>
        <v>495.04684412923598</v>
      </c>
      <c r="EN72" s="59">
        <f t="shared" si="74"/>
        <v>776.8708448095972</v>
      </c>
      <c r="EO72" s="59">
        <f ca="1">AVERAGE(OFFSET($EN$3,0,0,'Données projet'!$E$15+1,1))-AVERAGE(OFFSET($H$3,0,0,'Données projet'!$E$15+1,1))</f>
        <v>338.59243085476896</v>
      </c>
      <c r="EP72" s="59">
        <f t="shared" si="100"/>
        <v>329.8393445823275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14.655562348692271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14.655562348692271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66.861091094643982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4.5999999999999996</v>
      </c>
      <c r="FE72" s="12">
        <f>IF('Données projet'!$A$218&gt;35,FE71+FD72-FM71,IF(A72&lt;'Données projet'!$A$218,$FB$205^A72,IF(A72='Données projet'!$A$218,'Données projet'!$B$218,FE71+FD72-FM71)))</f>
        <v>311.39999999999992</v>
      </c>
      <c r="FF72" s="17">
        <f>FE72*VLOOKUP('Données projet'!$B$16,Paramètres!$A$1:$I$89,3,0)*VLOOKUP('Données projet'!$B$16,Paramètres!$A$1:$I$89,5,0)</f>
        <v>204.02927999999994</v>
      </c>
      <c r="FG72" s="13">
        <f t="shared" si="101"/>
        <v>50.628650934368238</v>
      </c>
      <c r="FH72" s="20">
        <f t="shared" si="76"/>
        <v>443.5292297106912</v>
      </c>
      <c r="FI72" s="59">
        <f t="shared" si="77"/>
        <v>725.35323039105242</v>
      </c>
      <c r="FJ72" s="59">
        <f ca="1">AVERAGE(OFFSET($FI$3,0,0,'Données projet'!$E$16+1,1))-AVERAGE(OFFSET($H$3,0,0,'Données projet'!$E$16+1,1))</f>
        <v>307.50573770128085</v>
      </c>
      <c r="FK72" s="59">
        <f t="shared" si="102"/>
        <v>300.2007312562655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13.096459971171811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13.096459971171811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66.861091094643982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4.5999999999999996</v>
      </c>
      <c r="FZ72" s="12">
        <f>IF('Données projet'!$A$244&gt;35,FZ71+FY72-GH71,IF(A72&lt;'Données projet'!$A$244,$FW$205^A72,IF(A72='Données projet'!$A$244,'Données projet'!$B$244,FZ71+FY72-GH71)))</f>
        <v>311.39999999999992</v>
      </c>
      <c r="GA72" s="17">
        <f>FZ72*VLOOKUP('Données projet'!$B$17,Paramètres!$A$1:$I$89,3,0)*VLOOKUP('Données projet'!$B$17,Paramètres!$A$1:$I$89,5,0)</f>
        <v>252.60767999999996</v>
      </c>
      <c r="GB72" s="13">
        <f t="shared" si="103"/>
        <v>61.143998601713257</v>
      </c>
      <c r="GC72" s="20">
        <f t="shared" si="79"/>
        <v>546.4508402313171</v>
      </c>
      <c r="GD72" s="59">
        <f t="shared" si="80"/>
        <v>828.27484091167844</v>
      </c>
      <c r="GE72" s="59">
        <f ca="1">AVERAGE(OFFSET($GD$3,0,0,'Données projet'!$E$17+1,1))-AVERAGE(OFFSET($H$3,0,0,'Données projet'!$E$17+1,1))</f>
        <v>369.60865427618342</v>
      </c>
      <c r="GF72" s="59">
        <f t="shared" si="104"/>
        <v>359.40898775279197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16.214664726212717</v>
      </c>
      <c r="GM72" s="21">
        <f>EXP(-LN(2)/25)*GM71+(1-EXP(-LN(2)/25))/(LN(2)/25)*Calculateur!GH72*Calculateur!GJ72*VLOOKUP('Données projet'!$B$17,Paramètres!$A$1:$I$89,3,0)*0.475*44/12</f>
        <v>0</v>
      </c>
      <c r="GN72" s="21">
        <f>EXP(-LN(2)/2)*GN71+(1-EXP(-LN(2)/2))/(LN(2)/2)*GH72*GK72*VLOOKUP('Données projet'!$B$17,Paramètres!$A$1:$I$89,3,0)*0.475*44/12</f>
        <v>0</v>
      </c>
      <c r="GO72" s="21">
        <f t="shared" si="81"/>
        <v>16.214664726212717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66.861091094643982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3.8</v>
      </c>
      <c r="GU72" s="12">
        <f>IF('Données projet'!$A$270&gt;35,GU71+GT72-HC71,IF(A72&lt;'Données projet'!$A$270,$GR$205^A72,IF(A72='Données projet'!$A$270,'Données projet'!$B$270,GU71+GT72-HC71)))</f>
        <v>259.19999999999987</v>
      </c>
      <c r="GV72" s="17">
        <f>GU72*VLOOKUP('Données projet'!$B$18,Paramètres!$A$1:$I$89,3,0)*VLOOKUP('Données projet'!$B$18,Paramètres!$A$1:$I$89,5,0)</f>
        <v>169.82783999999992</v>
      </c>
      <c r="GW72" s="13">
        <f t="shared" si="105"/>
        <v>43.051463198873776</v>
      </c>
      <c r="GX72" s="20">
        <f t="shared" si="82"/>
        <v>370.76478640470503</v>
      </c>
      <c r="GY72" s="59">
        <f t="shared" si="83"/>
        <v>652.58878708506631</v>
      </c>
      <c r="GZ72" s="59">
        <f ca="1">AVERAGE(OFFSET($GY$3,0,0,'Données projet'!$E$18+1,1))-AVERAGE(OFFSET($H$3,0,0,'Données projet'!$E$18+1,1))</f>
        <v>262.62914256200031</v>
      </c>
      <c r="HA72" s="59">
        <f t="shared" si="106"/>
        <v>256.45129229594409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>
        <f>EXP(-LN(2)/35)*HG71+(1-EXP(-LN(2)/35))/(LN(2)/35)*HC72*HD72*VLOOKUP('Données projet'!$B$18,Paramètres!$A$1:$I$89,3,0)*0.475*44/12</f>
        <v>9.1062880988262513</v>
      </c>
      <c r="HH72" s="21">
        <f>EXP(-LN(2)/25)*HH71+(1-EXP(-LN(2)/25))/(LN(2)/25)*Calculateur!HC72*Calculateur!HE72*VLOOKUP('Données projet'!$B$18,Paramètres!$A$1:$I$89,3,0)*0.475*44/12</f>
        <v>0</v>
      </c>
      <c r="HI72" s="21">
        <f>EXP(-LN(2)/2)*HI71+(1-EXP(-LN(2)/2))/(LN(2)/2)*HC72*HF72*VLOOKUP('Données projet'!$B$18,Paramètres!$A$1:$I$89,3,0)*0.475*44/12</f>
        <v>0</v>
      </c>
      <c r="HJ72" s="22">
        <f t="shared" si="84"/>
        <v>9.1062880988262513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2.1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7.7</v>
      </c>
      <c r="H73" s="67">
        <f t="shared" si="56"/>
        <v>225.86666666666665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66.915544146602898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316</v>
      </c>
      <c r="L73" s="12">
        <f>VLOOKUP(A73,'Données projet'!$A$35:$I$55,9,0)</f>
        <v>10</v>
      </c>
      <c r="M73" s="12">
        <f t="array" ref="M73">INDEX(L:L,MIN(IF(ISNUMBER(L73:L269),ROW(L73:L269),"")))</f>
        <v>10</v>
      </c>
      <c r="N73" s="13">
        <f>IF('Données projet'!$A$36&gt;35,N72+M73-V72,IF(A73&lt;'Données projet'!$A$36,$K$205^A73,IF(A73='Données projet'!$A$36,'Données projet'!$B$36,N72+M73-V72)))</f>
        <v>316</v>
      </c>
      <c r="O73" s="13">
        <f>N73*VLOOKUP('Données projet'!$B$9,Paramètres!$A$1:$I$89,3,0)*VLOOKUP('Données projet'!$B$9,Paramètres!$A$1:$I$89,5,0)</f>
        <v>271.12800000000004</v>
      </c>
      <c r="P73" s="13">
        <f t="shared" si="87"/>
        <v>65.088601240045335</v>
      </c>
      <c r="Q73" s="20">
        <f t="shared" si="54"/>
        <v>585.57724715974564</v>
      </c>
      <c r="R73" s="59">
        <f t="shared" si="55"/>
        <v>867.60090903062292</v>
      </c>
      <c r="S73" s="59">
        <f ca="1">AVERAGE(OFFSET($R$3,0,0,'Données projet'!$E$9+1,1))-AVERAGE(OFFSET($H$3,0,0,'Données projet'!$E$9+1,1))</f>
        <v>476.79071915271794</v>
      </c>
      <c r="T73" s="59">
        <f t="shared" si="88"/>
        <v>264.79929759351762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28</v>
      </c>
      <c r="W73" s="16">
        <f>IF(ISNA(VLOOKUP(A73,'Données projet'!$A$35:$I$55,5,0)),0%,VLOOKUP(A73,'Données projet'!$A$35:$I$55,5,0)*VLOOKUP('Données projet'!$B$9,Paramètres!$A$1:$I$89,7,0))</f>
        <v>0.21200000000000002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20.941471290039651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20.941471290039651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66.915544146602898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242</v>
      </c>
      <c r="AG73" s="12">
        <f>VLOOKUP(A73,'Données projet'!$A$61:$I$81,9,0)</f>
        <v>6.8</v>
      </c>
      <c r="AH73" s="12">
        <f t="array" ref="AH73">INDEX(AG:AG,MIN(IF(ISNUMBER(AG73:AG269),ROW(AG73:AG269),"")))</f>
        <v>6.8</v>
      </c>
      <c r="AI73" s="13">
        <f>IF('Données projet'!$A$62&gt;35,AI72+AH73-AQ72,IF(A73&lt;'Données projet'!$A$62,$AF$205^A73,IF(A73='Données projet'!$A$62,'Données projet'!$B$62,AI72+AH73-AQ72)))</f>
        <v>242</v>
      </c>
      <c r="AJ73" s="13">
        <f>AI73*VLOOKUP('Données projet'!$B$10,Paramètres!$A$1:$I$89,3,0)*VLOOKUP('Données projet'!$B$10,Paramètres!$A$1:$I$89,5,0)</f>
        <v>203.86080000000001</v>
      </c>
      <c r="AK73" s="13">
        <f t="shared" si="89"/>
        <v>50.591708220421786</v>
      </c>
      <c r="AL73" s="20">
        <f t="shared" si="58"/>
        <v>443.17145181723458</v>
      </c>
      <c r="AM73" s="59">
        <f t="shared" si="59"/>
        <v>725.19511368811186</v>
      </c>
      <c r="AN73" s="59">
        <f ca="1">AVERAGE(OFFSET($AM$3,0,0,'Données projet'!$E$10+1,1))-AVERAGE(OFFSET($H$3,0,0,'Données projet'!$E$10+1,1))</f>
        <v>365.104658862176</v>
      </c>
      <c r="AO73" s="59">
        <f t="shared" si="90"/>
        <v>226.29232910286325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21</v>
      </c>
      <c r="AR73" s="16">
        <f>IF(ISNA(VLOOKUP(A73,'Données projet'!$A$61:$I$81,5,0)),0%,VLOOKUP(A73,'Données projet'!$A$61:$I$81,5,0)*VLOOKUP('Données projet'!$B$10,Paramètres!$A$1:$I$89,7,0))</f>
        <v>0.215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15.536096855210905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15.536096855210905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66.915544146602898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242</v>
      </c>
      <c r="BB73" s="12">
        <f>VLOOKUP(A73,'Données projet'!$A$87:$I$107,9,0)</f>
        <v>6.8</v>
      </c>
      <c r="BC73" s="12">
        <f t="array" ref="BC73">INDEX(BB:BB,MIN(IF(ISNUMBER(BB73:BB269),ROW(BB73:BB269),"")))</f>
        <v>6.8</v>
      </c>
      <c r="BD73" s="12">
        <f>IF('Données projet'!$A$88&gt;35,BD72+BC73-BL72,IF(A73&lt;'Données projet'!$A$88,$BA$205^A73,IF(A73='Données projet'!$A$88,'Données projet'!$B$88,BD72+BC73-BL72)))</f>
        <v>242</v>
      </c>
      <c r="BE73" s="13">
        <f>BD73*VLOOKUP('Données projet'!$B$11,Paramètres!$A$1:$I$89,3,0)*VLOOKUP('Données projet'!$B$11,Paramètres!$A$1:$I$89,5,0)</f>
        <v>218.96159999999998</v>
      </c>
      <c r="BF73" s="13">
        <f t="shared" si="91"/>
        <v>53.88913250370743</v>
      </c>
      <c r="BG73" s="20">
        <f t="shared" si="61"/>
        <v>475.21502577729035</v>
      </c>
      <c r="BH73" s="59">
        <f t="shared" si="62"/>
        <v>757.23868764816757</v>
      </c>
      <c r="BI73" s="59">
        <f ca="1">AVERAGE(OFFSET($BH$3,0,0,'Données projet'!$E$11+1,1))-AVERAGE(OFFSET($H$3,0,0,'Données projet'!$E$11+1,1))</f>
        <v>388.12494342575195</v>
      </c>
      <c r="BJ73" s="59">
        <f t="shared" si="92"/>
        <v>239.39471445648454</v>
      </c>
      <c r="BK73" s="15">
        <f>IF(ISNA(VLOOKUP(A73,'Données projet'!$A$87:$I$107,3,0)),0,VLOOKUP(A73,'Données projet'!$A$87:$I$107,3,0))</f>
        <v>11</v>
      </c>
      <c r="BL73" s="15">
        <f>IF(ISNA(VLOOKUP(A73,'Données projet'!$A$87:$I$107,4,0)),0,VLOOKUP(A73,'Données projet'!$A$87:$I$107,4,0))</f>
        <v>21</v>
      </c>
      <c r="BM73" s="16">
        <f>IF(ISNA(VLOOKUP(A73,'Données projet'!$A$87:$I$107,5,0)),0%,VLOOKUP(A73,'Données projet'!$A$87:$I$107,5,0)*VLOOKUP('Données projet'!$B$11,Paramètres!$A$1:$I$89,7,0))</f>
        <v>0.215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16.686918844485781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16.686918844485781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66.915544146602898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242</v>
      </c>
      <c r="BW73" s="12">
        <f>VLOOKUP(A73,'Données projet'!$A$113:$I$133,9,0)</f>
        <v>6.8</v>
      </c>
      <c r="BX73" s="12">
        <f t="array" ref="BX73">INDEX(BW:BW,MIN(IF(ISNUMBER(BW73:BW269),ROW(BW73:BW269),"")))</f>
        <v>6.8</v>
      </c>
      <c r="BY73" s="12">
        <f>IF('Données projet'!$A$114&gt;35,BY72+BX73-CG72,IF(A73&lt;'Données projet'!$A$114,$BV$205^A73,IF(A73='Données projet'!$A$114,'Données projet'!$B$114,BY72+BX73-CG72)))</f>
        <v>242</v>
      </c>
      <c r="BZ73" s="13">
        <f>BY73*VLOOKUP('Données projet'!$B$12,Paramètres!$A$1:$I$89,3,0)*VLOOKUP('Données projet'!$B$12,Paramètres!$A$1:$I$89,5,0)</f>
        <v>245.38800000000003</v>
      </c>
      <c r="CA73" s="13">
        <f t="shared" si="93"/>
        <v>59.597282764919569</v>
      </c>
      <c r="CB73" s="20">
        <f t="shared" si="64"/>
        <v>531.18270081556818</v>
      </c>
      <c r="CC73" s="59">
        <f t="shared" si="65"/>
        <v>813.20636268644546</v>
      </c>
      <c r="CD73" s="59">
        <f ca="1">AVERAGE(OFFSET($CC$3,0,0,'Données projet'!$E$12+1,1))-AVERAGE(OFFSET($H$3,0,0,'Données projet'!$E$12+1,1))</f>
        <v>428.33148932885132</v>
      </c>
      <c r="CE73" s="59">
        <f t="shared" si="94"/>
        <v>262.27548054534373</v>
      </c>
      <c r="CF73" s="15">
        <f>IF(ISNA(VLOOKUP(A73,'Données projet'!$A$113:$I$133,3,0)),0,VLOOKUP(A73,'Données projet'!$A$113:$I$133,3,0))</f>
        <v>11</v>
      </c>
      <c r="CG73" s="15">
        <f>IF(ISNA(VLOOKUP(A73,'Données projet'!$A$113:$I$133,4,0)),0,VLOOKUP(A73,'Données projet'!$A$113:$I$133,4,0))</f>
        <v>21</v>
      </c>
      <c r="CH73" s="16">
        <f>IF(ISNA(VLOOKUP(A73,'Données projet'!$A$113:$I$133,5,0)),0%,VLOOKUP(A73,'Données projet'!$A$113:$I$133,5,0)*VLOOKUP('Données projet'!$B$12,Paramètres!$A$1:$I$89,7,0))</f>
        <v>0.215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18.700857325716829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18.700857325716829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66.915544146602898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172</v>
      </c>
      <c r="CR73" s="12">
        <f>VLOOKUP(A73,'Données projet'!$A$139:$I$159,9,0)</f>
        <v>5</v>
      </c>
      <c r="CS73" s="12">
        <f t="array" ref="CS73">INDEX(CR:CR,MIN(IF(ISNUMBER(CR73:CR269),ROW(CR73:CR269),"")))</f>
        <v>5</v>
      </c>
      <c r="CT73" s="12">
        <f>IF('Données projet'!$A$140&gt;35,CT72+CS73-DB72,IF(A73&lt;'Données projet'!$A$140,$CQ$205^A73,IF(A73='Données projet'!$A$140,'Données projet'!$B$140,CT72+CS73-DB72)))</f>
        <v>172</v>
      </c>
      <c r="CU73" s="17">
        <f>CT73*VLOOKUP('Données projet'!$B$13,Paramètres!$A$1:$I$89,3,0)*VLOOKUP('Données projet'!$B$13,Paramètres!$A$1:$I$89,5,0)</f>
        <v>163.67520000000002</v>
      </c>
      <c r="CV73" s="13">
        <f t="shared" si="95"/>
        <v>41.670368197291587</v>
      </c>
      <c r="CW73" s="20">
        <f t="shared" si="67"/>
        <v>357.64353127694955</v>
      </c>
      <c r="CX73" s="59">
        <f t="shared" si="68"/>
        <v>639.66719314782677</v>
      </c>
      <c r="CY73" s="59">
        <f ca="1">AVERAGE(OFFSET($CX$3,0,0,'Données projet'!$E$13+1,1))-AVERAGE(OFFSET($H$3,0,0,'Données projet'!$E$13+1,1))</f>
        <v>307.62549820830162</v>
      </c>
      <c r="CZ73" s="59">
        <f t="shared" si="96"/>
        <v>160.26466014910304</v>
      </c>
      <c r="DA73" s="15">
        <f>IF(ISNA(VLOOKUP(A73,'Données projet'!$A$139:$I$159,3,0)),0,VLOOKUP(A73,'Données projet'!$A$139:$I$159,3,0))</f>
        <v>10</v>
      </c>
      <c r="DB73" s="15">
        <f>IF(ISNA(VLOOKUP(A73,'Données projet'!$A$139:$I$159,4,0)),0,VLOOKUP(A73,'Données projet'!$A$139:$I$159,4,0))</f>
        <v>14</v>
      </c>
      <c r="DC73" s="16">
        <f>IF(ISNA(VLOOKUP(A73,'Données projet'!$A$139:$I$159,5,0)),0%,VLOOKUP(A73,'Données projet'!$A$139:$I$159,5,0)*VLOOKUP('Données projet'!$B$13,Paramètres!$A$1:$I$89,7,0))</f>
        <v>0.17200000000000001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10.121067520721317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10.121067520721317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66.915544146602898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263</v>
      </c>
      <c r="DM73" s="12">
        <f>VLOOKUP(A73,'Données projet'!$A$165:$I$185,9,0)</f>
        <v>3.8</v>
      </c>
      <c r="DN73" s="12">
        <f t="array" ref="DN73">INDEX(DM:DM,MIN(IF(ISNUMBER(DM73:DM269),ROW(DM73:DM269),"")))</f>
        <v>3.8</v>
      </c>
      <c r="DO73" s="12">
        <f>IF('Données projet'!$A$166&gt;35,DO72+DN73-DW72,IF(A73&lt;'Données projet'!$A$166,$DL$205^A73,IF(A73='Données projet'!$A$166,'Données projet'!$B$166,DO72+DN73-DW72)))</f>
        <v>262.99999999999989</v>
      </c>
      <c r="DP73" s="17">
        <f>DO73*VLOOKUP('Données projet'!$B$14,Paramètres!$A$1:$I$89,3,0)*VLOOKUP('Données projet'!$B$14,Paramètres!$A$1:$I$89,5,0)</f>
        <v>209.2427999999999</v>
      </c>
      <c r="DQ73" s="13">
        <f t="shared" si="97"/>
        <v>51.770083677016814</v>
      </c>
      <c r="DR73" s="20">
        <f t="shared" si="70"/>
        <v>454.59743907080406</v>
      </c>
      <c r="DS73" s="59">
        <f t="shared" si="71"/>
        <v>736.62110094168133</v>
      </c>
      <c r="DT73" s="59">
        <f ca="1">AVERAGE(OFFSET($DS$3,0,0,'Données projet'!$E$14+1,1))-AVERAGE(OFFSET($H$3,0,0,'Données projet'!$E$14+1,1))</f>
        <v>309.14579005132464</v>
      </c>
      <c r="DU73" s="59">
        <f t="shared" si="98"/>
        <v>300.60311050289533</v>
      </c>
      <c r="DV73" s="15">
        <f>IF(ISNA(VLOOKUP(A73,'Données projet'!$A$165:$I$185,3,0)),0,VLOOKUP(A73,'Données projet'!$A$165:$I$185,3,0))</f>
        <v>12</v>
      </c>
      <c r="DW73" s="15">
        <f>IF(ISNA(VLOOKUP(A73,'Données projet'!$A$165:$I$185,4,0)),0,VLOOKUP(A73,'Données projet'!$A$165:$I$185,4,0))</f>
        <v>10</v>
      </c>
      <c r="DX73" s="16">
        <f>IF(ISNA(VLOOKUP(A73,'Données projet'!$A$165:$I$185,5,0)),0%,VLOOKUP(A73,'Données projet'!$A$165:$I$185,5,0)*VLOOKUP('Données projet'!$B$14,Paramètres!$A$1:$I$89,7,0))</f>
        <v>0.26500000000000001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15.692626238073389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15.692626238073389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66.915544146602898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316</v>
      </c>
      <c r="EH73" s="12">
        <f>VLOOKUP(A73,'Données projet'!$A$191:$I$211,9,0)</f>
        <v>4.5999999999999996</v>
      </c>
      <c r="EI73" s="12">
        <f t="array" ref="EI73">INDEX(EH:EH,MIN(IF(ISNUMBER(EH73:EH269),ROW(EH73:EH269),"")))</f>
        <v>4.5999999999999996</v>
      </c>
      <c r="EJ73" s="12">
        <f>IF('Données projet'!$A$192&gt;35,EJ72+EI73-ER72,IF(A73&lt;'Données projet'!$A$192,$EG$205^A73,IF(A73='Données projet'!$A$192,'Données projet'!$B$192,EJ72+EI73-ER72)))</f>
        <v>315.99999999999994</v>
      </c>
      <c r="EK73" s="17">
        <f>EJ73*VLOOKUP('Données projet'!$B$15,Paramètres!$A$1:$I$89,3,0)*VLOOKUP('Données projet'!$B$15,Paramètres!$A$1:$I$89,5,0)</f>
        <v>231.69119999999992</v>
      </c>
      <c r="EL73" s="13">
        <f t="shared" si="99"/>
        <v>56.648202447537749</v>
      </c>
      <c r="EM73" s="20">
        <f t="shared" si="73"/>
        <v>502.19112592946141</v>
      </c>
      <c r="EN73" s="59">
        <f t="shared" si="74"/>
        <v>784.21478780033863</v>
      </c>
      <c r="EO73" s="59">
        <f ca="1">AVERAGE(OFFSET($EN$3,0,0,'Données projet'!$E$15+1,1))-AVERAGE(OFFSET($H$3,0,0,'Données projet'!$E$15+1,1))</f>
        <v>338.59243085476896</v>
      </c>
      <c r="EP73" s="59">
        <f t="shared" si="100"/>
        <v>329.8393445823275</v>
      </c>
      <c r="EQ73" s="15">
        <f>IF(ISNA(VLOOKUP(A73,'Données projet'!$A$191:$I$211,3,0)),0,VLOOKUP(A73,'Données projet'!$A$191:$I$211,3,0))</f>
        <v>13</v>
      </c>
      <c r="ER73" s="15">
        <f>IF(ISNA(VLOOKUP(A73,'Données projet'!$A$191:$I$211,4,0)),0,VLOOKUP(A73,'Données projet'!$A$191:$I$211,4,0))</f>
        <v>13</v>
      </c>
      <c r="ES73" s="16">
        <f>IF(ISNA(VLOOKUP(A73,'Données projet'!$A$191:$I$211,5,0)),0%,VLOOKUP(A73,'Données projet'!$A$191:$I$211,5,0)*VLOOKUP('Données projet'!$B$15,Paramètres!$A$1:$I$89,7,0))</f>
        <v>0.25800000000000001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17.086696289190311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17.086696289190311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66.915544146602898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316</v>
      </c>
      <c r="FC73" s="12">
        <f>VLOOKUP(A73,'Données projet'!$A$217:$I$237,9,0)</f>
        <v>4.5999999999999996</v>
      </c>
      <c r="FD73" s="12">
        <f t="array" ref="FD73">INDEX(FC:FC,MIN(IF(ISNUMBER(FC73:FC269),ROW(FC73:FC269),"")))</f>
        <v>4.5999999999999996</v>
      </c>
      <c r="FE73" s="12">
        <f>IF('Données projet'!$A$218&gt;35,FE72+FD73-FM72,IF(A73&lt;'Données projet'!$A$218,$FB$205^A73,IF(A73='Données projet'!$A$218,'Données projet'!$B$218,FE72+FD73-FM72)))</f>
        <v>315.99999999999994</v>
      </c>
      <c r="FF73" s="17">
        <f>FE73*VLOOKUP('Données projet'!$B$16,Paramètres!$A$1:$I$89,3,0)*VLOOKUP('Données projet'!$B$16,Paramètres!$A$1:$I$89,5,0)</f>
        <v>207.04319999999996</v>
      </c>
      <c r="FG73" s="13">
        <f t="shared" si="101"/>
        <v>51.288918231806321</v>
      </c>
      <c r="FH73" s="20">
        <f t="shared" si="76"/>
        <v>449.92843925372921</v>
      </c>
      <c r="FI73" s="59">
        <f t="shared" si="77"/>
        <v>731.95210112460654</v>
      </c>
      <c r="FJ73" s="59">
        <f ca="1">AVERAGE(OFFSET($FI$3,0,0,'Données projet'!$E$16+1,1))-AVERAGE(OFFSET($H$3,0,0,'Données projet'!$E$16+1,1))</f>
        <v>307.50573770128085</v>
      </c>
      <c r="FK73" s="59">
        <f t="shared" si="102"/>
        <v>300.2007312562655</v>
      </c>
      <c r="FL73" s="15">
        <f>IF(ISNA(VLOOKUP(A73,'Données projet'!$A$217:$I$237,3,0)),0,VLOOKUP(A73,'Données projet'!$A$217:$I$237,3,0))</f>
        <v>13</v>
      </c>
      <c r="FM73" s="15">
        <f>IF(ISNA(VLOOKUP(A73,'Données projet'!$A$217:$I$237,4,0)),0,VLOOKUP(A73,'Données projet'!$A$217:$I$237,4,0))</f>
        <v>13</v>
      </c>
      <c r="FN73" s="16">
        <f>IF(ISNA(VLOOKUP(A73,'Données projet'!$A$217:$I$237,5,0)),0%,VLOOKUP(A73,'Données projet'!$A$217:$I$237,5,0)*VLOOKUP('Données projet'!$B$16,Paramètres!$A$1:$I$89,7,0))</f>
        <v>0.25800000000000001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15.268962641404102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15.268962641404102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66.915544146602898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>
        <f>VLOOKUP(A73,'Données projet'!$A$243:$I$263,2,0)</f>
        <v>316</v>
      </c>
      <c r="FX73" s="12">
        <f>VLOOKUP(A73,'Données projet'!$A$243:$I$263,9,0)</f>
        <v>4.5999999999999996</v>
      </c>
      <c r="FY73" s="12">
        <f t="array" ref="FY73">INDEX(FX:FX,MIN(IF(ISNUMBER(FX73:FX269),ROW(FX73:FX269),"")))</f>
        <v>4.5999999999999996</v>
      </c>
      <c r="FZ73" s="12">
        <f>IF('Données projet'!$A$244&gt;35,FZ72+FY73-GH72,IF(A73&lt;'Données projet'!$A$244,$FW$205^A73,IF(A73='Données projet'!$A$244,'Données projet'!$B$244,FZ72+FY73-GH72)))</f>
        <v>315.99999999999994</v>
      </c>
      <c r="GA73" s="17">
        <f>FZ73*VLOOKUP('Données projet'!$B$17,Paramètres!$A$1:$I$89,3,0)*VLOOKUP('Données projet'!$B$17,Paramètres!$A$1:$I$89,5,0)</f>
        <v>256.33919999999995</v>
      </c>
      <c r="GB73" s="13">
        <f t="shared" si="103"/>
        <v>61.941400506884484</v>
      </c>
      <c r="GC73" s="20">
        <f t="shared" si="79"/>
        <v>554.33871254949031</v>
      </c>
      <c r="GD73" s="59">
        <f t="shared" si="80"/>
        <v>836.36237442036759</v>
      </c>
      <c r="GE73" s="59">
        <f ca="1">AVERAGE(OFFSET($GD$3,0,0,'Données projet'!$E$17+1,1))-AVERAGE(OFFSET($H$3,0,0,'Données projet'!$E$17+1,1))</f>
        <v>369.60865427618342</v>
      </c>
      <c r="GF73" s="59">
        <f t="shared" si="104"/>
        <v>359.40898775279197</v>
      </c>
      <c r="GG73" s="15">
        <f>IF(ISNA(VLOOKUP(A73,'Données projet'!$A$243:$I$263,3,0)),0,VLOOKUP(A73,'Données projet'!$A$243:$I$263,3,0))</f>
        <v>13</v>
      </c>
      <c r="GH73" s="15">
        <f>IF(ISNA(VLOOKUP(A73,'Données projet'!$A$243:$I$263,4,0)),0,VLOOKUP(A73,'Données projet'!$A$243:$I$263,4,0))</f>
        <v>13</v>
      </c>
      <c r="GI73" s="16">
        <f>IF(ISNA(VLOOKUP(A73,'Données projet'!$A$243:$I$263,5,0)),0%,VLOOKUP(A73,'Données projet'!$A$243:$I$263,5,0)*VLOOKUP('Données projet'!$B$17,Paramètres!$A$1:$I$89,7,0))</f>
        <v>0.25800000000000001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18.904429936976506</v>
      </c>
      <c r="GM73" s="21">
        <f>EXP(-LN(2)/25)*GM72+(1-EXP(-LN(2)/25))/(LN(2)/25)*Calculateur!GH73*Calculateur!GJ73*VLOOKUP('Données projet'!$B$17,Paramètres!$A$1:$I$89,3,0)*0.475*44/12</f>
        <v>0</v>
      </c>
      <c r="GN73" s="21">
        <f>EXP(-LN(2)/2)*GN72+(1-EXP(-LN(2)/2))/(LN(2)/2)*GH73*GK73*VLOOKUP('Données projet'!$B$17,Paramètres!$A$1:$I$89,3,0)*0.475*44/12</f>
        <v>0</v>
      </c>
      <c r="GO73" s="21">
        <f t="shared" si="81"/>
        <v>18.904429936976506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66.915544146602898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>
        <f>VLOOKUP(A73,'Données projet'!$A$269:$I$289,2,0)</f>
        <v>263</v>
      </c>
      <c r="GS73" s="12">
        <f>VLOOKUP(A73,'Données projet'!$A$269:$I$289,9,0)</f>
        <v>3.8</v>
      </c>
      <c r="GT73" s="12">
        <f t="array" ref="GT73">INDEX(GS:GS,MIN(IF(ISNUMBER(GS73:GS269),ROW(GS73:GS269),"")))</f>
        <v>3.8</v>
      </c>
      <c r="GU73" s="12">
        <f>IF('Données projet'!$A$270&gt;35,GU72+GT73-HC72,IF(A73&lt;'Données projet'!$A$270,$GR$205^A73,IF(A73='Données projet'!$A$270,'Données projet'!$B$270,GU72+GT73-HC72)))</f>
        <v>262.99999999999989</v>
      </c>
      <c r="GV73" s="17">
        <f>GU73*VLOOKUP('Données projet'!$B$18,Paramètres!$A$1:$I$89,3,0)*VLOOKUP('Données projet'!$B$18,Paramètres!$A$1:$I$89,5,0)</f>
        <v>172.31759999999994</v>
      </c>
      <c r="GW73" s="13">
        <f t="shared" si="105"/>
        <v>43.608679117600254</v>
      </c>
      <c r="GX73" s="20">
        <f t="shared" si="82"/>
        <v>376.07160279648701</v>
      </c>
      <c r="GY73" s="59">
        <f t="shared" si="83"/>
        <v>658.09526466736429</v>
      </c>
      <c r="GZ73" s="59">
        <f ca="1">AVERAGE(OFFSET($GY$3,0,0,'Données projet'!$E$18+1,1))-AVERAGE(OFFSET($H$3,0,0,'Données projet'!$E$18+1,1))</f>
        <v>262.62914256200031</v>
      </c>
      <c r="HA73" s="59">
        <f t="shared" si="106"/>
        <v>256.45129229594409</v>
      </c>
      <c r="HB73" s="15">
        <f>IF(ISNA(VLOOKUP(A73,'Données projet'!$A$269:$I$289,3,0)),0,VLOOKUP(A73,'Données projet'!$A$269:$I$289,3,0))</f>
        <v>12</v>
      </c>
      <c r="HC73" s="15">
        <f>IF(ISNA(VLOOKUP(A73,'Données projet'!$A$269:$I$289,4,0)),0,VLOOKUP(A73,'Données projet'!$A$269:$I$289,4,0))</f>
        <v>10</v>
      </c>
      <c r="HD73" s="16">
        <f>IF(ISNA(VLOOKUP(A73,'Données projet'!$A$269:$I$289,5,0)),0%,VLOOKUP(A73,'Données projet'!$A$269:$I$289,5,0)*VLOOKUP('Données projet'!$B$18,Paramètres!$A$1:$I$89,7,0))</f>
        <v>0.215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>
        <f>EXP(-LN(2)/35)*HG72+(1-EXP(-LN(2)/35))/(LN(2)/35)*HC73*HD73*VLOOKUP('Données projet'!$B$18,Paramètres!$A$1:$I$89,3,0)*0.475*44/12</f>
        <v>10.484973357736044</v>
      </c>
      <c r="HH73" s="21">
        <f>EXP(-LN(2)/25)*HH72+(1-EXP(-LN(2)/25))/(LN(2)/25)*Calculateur!HC73*Calculateur!HE73*VLOOKUP('Données projet'!$B$18,Paramètres!$A$1:$I$89,3,0)*0.475*44/12</f>
        <v>0</v>
      </c>
      <c r="HI73" s="21">
        <f>EXP(-LN(2)/2)*HI72+(1-EXP(-LN(2)/2))/(LN(2)/2)*HC73*HF73*VLOOKUP('Données projet'!$B$18,Paramètres!$A$1:$I$89,3,0)*0.475*44/12</f>
        <v>0</v>
      </c>
      <c r="HJ73" s="22">
        <f t="shared" si="84"/>
        <v>10.484973357736044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2.1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7.7</v>
      </c>
      <c r="H74" s="67">
        <f t="shared" si="56"/>
        <v>225.86666666666665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66.969052559849118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9.4</v>
      </c>
      <c r="N74" s="13">
        <f>IF('Données projet'!$A$36&gt;35,N73+M74-V73,IF(A74&lt;'Données projet'!$A$36,$K$205^A74,IF(A74='Données projet'!$A$36,'Données projet'!$B$36,N73+M74-V73)))</f>
        <v>297.39999999999998</v>
      </c>
      <c r="O74" s="13">
        <f>N74*VLOOKUP('Données projet'!$B$9,Paramètres!$A$1:$I$89,3,0)*VLOOKUP('Données projet'!$B$9,Paramètres!$A$1:$I$89,5,0)</f>
        <v>255.16919999999999</v>
      </c>
      <c r="P74" s="13">
        <f t="shared" si="87"/>
        <v>61.691525331424884</v>
      </c>
      <c r="Q74" s="20">
        <f t="shared" si="54"/>
        <v>551.86576328556498</v>
      </c>
      <c r="R74" s="59">
        <f t="shared" si="55"/>
        <v>834.08562267167849</v>
      </c>
      <c r="S74" s="59">
        <f ca="1">AVERAGE(OFFSET($R$3,0,0,'Données projet'!$E$9+1,1))-AVERAGE(OFFSET($H$3,0,0,'Données projet'!$E$9+1,1))</f>
        <v>476.79071915271794</v>
      </c>
      <c r="T74" s="59">
        <f t="shared" si="88"/>
        <v>264.79929759351762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20.530821811078226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20.530821811078226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66.969052559849118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6.2</v>
      </c>
      <c r="AI74" s="13">
        <f>IF('Données projet'!$A$62&gt;35,AI73+AH74-AQ73,IF(A74&lt;'Données projet'!$A$62,$AF$205^A74,IF(A74='Données projet'!$A$62,'Données projet'!$B$62,AI73+AH74-AQ73)))</f>
        <v>227.2</v>
      </c>
      <c r="AJ74" s="13">
        <f>AI74*VLOOKUP('Données projet'!$B$10,Paramètres!$A$1:$I$89,3,0)*VLOOKUP('Données projet'!$B$10,Paramètres!$A$1:$I$89,5,0)</f>
        <v>191.39328</v>
      </c>
      <c r="AK74" s="13">
        <f t="shared" si="89"/>
        <v>47.847856170442995</v>
      </c>
      <c r="AL74" s="20">
        <f t="shared" si="58"/>
        <v>416.67831216352153</v>
      </c>
      <c r="AM74" s="59">
        <f t="shared" si="59"/>
        <v>698.89817154963498</v>
      </c>
      <c r="AN74" s="59">
        <f ca="1">AVERAGE(OFFSET($AM$3,0,0,'Données projet'!$E$10+1,1))-AVERAGE(OFFSET($H$3,0,0,'Données projet'!$E$10+1,1))</f>
        <v>365.104658862176</v>
      </c>
      <c r="AO74" s="59">
        <f t="shared" si="90"/>
        <v>226.29232910286325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15.231443471963615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15.231443471963615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66.969052559849118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6.2</v>
      </c>
      <c r="BD74" s="12">
        <f>IF('Données projet'!$A$88&gt;35,BD73+BC74-BL73,IF(A74&lt;'Données projet'!$A$88,$BA$205^A74,IF(A74='Données projet'!$A$88,'Données projet'!$B$88,BD73+BC74-BL73)))</f>
        <v>227.2</v>
      </c>
      <c r="BE74" s="13">
        <f>BD74*VLOOKUP('Données projet'!$B$11,Paramètres!$A$1:$I$89,3,0)*VLOOKUP('Données projet'!$B$11,Paramètres!$A$1:$I$89,5,0)</f>
        <v>205.57055999999997</v>
      </c>
      <c r="BF74" s="13">
        <f t="shared" si="91"/>
        <v>50.966443946767392</v>
      </c>
      <c r="BG74" s="20">
        <f t="shared" si="61"/>
        <v>446.80194854061978</v>
      </c>
      <c r="BH74" s="59">
        <f t="shared" si="62"/>
        <v>729.02180792673323</v>
      </c>
      <c r="BI74" s="59">
        <f ca="1">AVERAGE(OFFSET($BH$3,0,0,'Données projet'!$E$11+1,1))-AVERAGE(OFFSET($H$3,0,0,'Données projet'!$E$11+1,1))</f>
        <v>388.12494342575195</v>
      </c>
      <c r="BJ74" s="59">
        <f t="shared" si="92"/>
        <v>239.39471445648454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16.359698543960913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16.359698543960913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66.969052559849118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6.2</v>
      </c>
      <c r="BY74" s="12">
        <f>IF('Données projet'!$A$114&gt;35,BY73+BX74-CG73,IF(A74&lt;'Données projet'!$A$114,$BV$205^A74,IF(A74='Données projet'!$A$114,'Données projet'!$B$114,BY73+BX74-CG73)))</f>
        <v>227.2</v>
      </c>
      <c r="BZ74" s="13">
        <f>BY74*VLOOKUP('Données projet'!$B$12,Paramètres!$A$1:$I$89,3,0)*VLOOKUP('Données projet'!$B$12,Paramètres!$A$1:$I$89,5,0)</f>
        <v>230.38080000000002</v>
      </c>
      <c r="CA74" s="13">
        <f t="shared" si="93"/>
        <v>56.365011465139979</v>
      </c>
      <c r="CB74" s="20">
        <f t="shared" si="64"/>
        <v>499.41562163511873</v>
      </c>
      <c r="CC74" s="59">
        <f t="shared" si="65"/>
        <v>781.63548102123218</v>
      </c>
      <c r="CD74" s="59">
        <f ca="1">AVERAGE(OFFSET($CC$3,0,0,'Données projet'!$E$12+1,1))-AVERAGE(OFFSET($H$3,0,0,'Données projet'!$E$12+1,1))</f>
        <v>428.33148932885132</v>
      </c>
      <c r="CE74" s="59">
        <f t="shared" si="94"/>
        <v>262.27548054534373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18.334144919956202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18.334144919956202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66.969052559849118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5</v>
      </c>
      <c r="CT74" s="12">
        <f>IF('Données projet'!$A$140&gt;35,CT73+CS74-DB73,IF(A74&lt;'Données projet'!$A$140,$CQ$205^A74,IF(A74='Données projet'!$A$140,'Données projet'!$B$140,CT73+CS74-DB73)))</f>
        <v>163</v>
      </c>
      <c r="CU74" s="17">
        <f>CT74*VLOOKUP('Données projet'!$B$13,Paramètres!$A$1:$I$89,3,0)*VLOOKUP('Données projet'!$B$13,Paramètres!$A$1:$I$89,5,0)</f>
        <v>155.11079999999998</v>
      </c>
      <c r="CV74" s="13">
        <f t="shared" si="95"/>
        <v>39.737758807485029</v>
      </c>
      <c r="CW74" s="20">
        <f t="shared" si="67"/>
        <v>339.36123992303641</v>
      </c>
      <c r="CX74" s="59">
        <f t="shared" si="68"/>
        <v>621.58109930914986</v>
      </c>
      <c r="CY74" s="59">
        <f ca="1">AVERAGE(OFFSET($CX$3,0,0,'Données projet'!$E$13+1,1))-AVERAGE(OFFSET($H$3,0,0,'Données projet'!$E$13+1,1))</f>
        <v>307.62549820830162</v>
      </c>
      <c r="CZ74" s="59">
        <f t="shared" si="96"/>
        <v>160.26466014910304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9.9225995598816024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9.9225995598816024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66.969052559849118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3.4</v>
      </c>
      <c r="DO74" s="12">
        <f>IF('Données projet'!$A$166&gt;35,DO73+DN74-DW73,IF(A74&lt;'Données projet'!$A$166,$DL$205^A74,IF(A74='Données projet'!$A$166,'Données projet'!$B$166,DO73+DN74-DW73)))</f>
        <v>256.39999999999986</v>
      </c>
      <c r="DP74" s="17">
        <f>DO74*VLOOKUP('Données projet'!$B$14,Paramètres!$A$1:$I$89,3,0)*VLOOKUP('Données projet'!$B$14,Paramètres!$A$1:$I$89,5,0)</f>
        <v>203.99183999999988</v>
      </c>
      <c r="DQ74" s="13">
        <f t="shared" si="97"/>
        <v>50.620441749347997</v>
      </c>
      <c r="DR74" s="20">
        <f t="shared" si="70"/>
        <v>443.44972404678083</v>
      </c>
      <c r="DS74" s="59">
        <f t="shared" si="71"/>
        <v>725.66958343289434</v>
      </c>
      <c r="DT74" s="59">
        <f ca="1">AVERAGE(OFFSET($DS$3,0,0,'Données projet'!$E$14+1,1))-AVERAGE(OFFSET($H$3,0,0,'Données projet'!$E$14+1,1))</f>
        <v>309.14579005132464</v>
      </c>
      <c r="DU74" s="59">
        <f t="shared" si="98"/>
        <v>300.60311050289533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15.384903409101662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15.384903409101662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66.969052559849118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4.2</v>
      </c>
      <c r="EJ74" s="12">
        <f>IF('Données projet'!$A$192&gt;35,EJ73+EI74-ER73,IF(A74&lt;'Données projet'!$A$192,$EG$205^A74,IF(A74='Données projet'!$A$192,'Données projet'!$B$192,EJ73+EI74-ER73)))</f>
        <v>307.19999999999993</v>
      </c>
      <c r="EK74" s="17">
        <f>EJ74*VLOOKUP('Données projet'!$B$15,Paramètres!$A$1:$I$89,3,0)*VLOOKUP('Données projet'!$B$15,Paramètres!$A$1:$I$89,5,0)</f>
        <v>225.23903999999993</v>
      </c>
      <c r="EL74" s="13">
        <f t="shared" si="99"/>
        <v>55.252000822487368</v>
      </c>
      <c r="EM74" s="20">
        <f t="shared" si="73"/>
        <v>488.52189609916542</v>
      </c>
      <c r="EN74" s="59">
        <f t="shared" si="74"/>
        <v>770.74175548527887</v>
      </c>
      <c r="EO74" s="59">
        <f ca="1">AVERAGE(OFFSET($EN$3,0,0,'Données projet'!$E$15+1,1))-AVERAGE(OFFSET($H$3,0,0,'Données projet'!$E$15+1,1))</f>
        <v>338.59243085476896</v>
      </c>
      <c r="EP74" s="59">
        <f t="shared" si="100"/>
        <v>329.8393445823275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16.751636596814951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16.751636596814951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66.969052559849118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4.2</v>
      </c>
      <c r="FE74" s="12">
        <f>IF('Données projet'!$A$218&gt;35,FE73+FD74-FM73,IF(A74&lt;'Données projet'!$A$218,$FB$205^A74,IF(A74='Données projet'!$A$218,'Données projet'!$B$218,FE73+FD74-FM73)))</f>
        <v>307.19999999999993</v>
      </c>
      <c r="FF74" s="17">
        <f>FE74*VLOOKUP('Données projet'!$B$16,Paramètres!$A$1:$I$89,3,0)*VLOOKUP('Données projet'!$B$16,Paramètres!$A$1:$I$89,5,0)</f>
        <v>201.27743999999996</v>
      </c>
      <c r="FG74" s="13">
        <f t="shared" si="101"/>
        <v>50.024806258462775</v>
      </c>
      <c r="FH74" s="20">
        <f t="shared" si="76"/>
        <v>437.68474556682258</v>
      </c>
      <c r="FI74" s="59">
        <f t="shared" si="77"/>
        <v>719.9046049529361</v>
      </c>
      <c r="FJ74" s="59">
        <f ca="1">AVERAGE(OFFSET($FI$3,0,0,'Données projet'!$E$16+1,1))-AVERAGE(OFFSET($H$3,0,0,'Données projet'!$E$16+1,1))</f>
        <v>307.50573770128085</v>
      </c>
      <c r="FK74" s="59">
        <f t="shared" si="102"/>
        <v>300.2007312562655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14.969547597153781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14.969547597153781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66.969052559849118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4.2</v>
      </c>
      <c r="FZ74" s="12">
        <f>IF('Données projet'!$A$244&gt;35,FZ73+FY74-GH73,IF(A74&lt;'Données projet'!$A$244,$FW$205^A74,IF(A74='Données projet'!$A$244,'Données projet'!$B$244,FZ73+FY74-GH73)))</f>
        <v>307.19999999999993</v>
      </c>
      <c r="GA74" s="17">
        <f>FZ74*VLOOKUP('Données projet'!$B$17,Paramètres!$A$1:$I$89,3,0)*VLOOKUP('Données projet'!$B$17,Paramètres!$A$1:$I$89,5,0)</f>
        <v>249.20063999999996</v>
      </c>
      <c r="GB74" s="13">
        <f t="shared" si="103"/>
        <v>60.414738047899995</v>
      </c>
      <c r="GC74" s="20">
        <f t="shared" si="79"/>
        <v>539.24678343342578</v>
      </c>
      <c r="GD74" s="59">
        <f t="shared" si="80"/>
        <v>821.46664281953917</v>
      </c>
      <c r="GE74" s="59">
        <f ca="1">AVERAGE(OFFSET($GD$3,0,0,'Données projet'!$E$17+1,1))-AVERAGE(OFFSET($H$3,0,0,'Données projet'!$E$17+1,1))</f>
        <v>369.60865427618342</v>
      </c>
      <c r="GF74" s="59">
        <f t="shared" si="104"/>
        <v>359.40898775279197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18.53372559647611</v>
      </c>
      <c r="GM74" s="21">
        <f>EXP(-LN(2)/25)*GM73+(1-EXP(-LN(2)/25))/(LN(2)/25)*Calculateur!GH74*Calculateur!GJ74*VLOOKUP('Données projet'!$B$17,Paramètres!$A$1:$I$89,3,0)*0.475*44/12</f>
        <v>0</v>
      </c>
      <c r="GN74" s="21">
        <f>EXP(-LN(2)/2)*GN73+(1-EXP(-LN(2)/2))/(LN(2)/2)*GH74*GK74*VLOOKUP('Données projet'!$B$17,Paramètres!$A$1:$I$89,3,0)*0.475*44/12</f>
        <v>0</v>
      </c>
      <c r="GO74" s="21">
        <f t="shared" si="81"/>
        <v>18.53372559647611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66.969052559849118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3.4</v>
      </c>
      <c r="GU74" s="12">
        <f>IF('Données projet'!$A$270&gt;35,GU73+GT74-HC73,IF(A74&lt;'Données projet'!$A$270,$GR$205^A74,IF(A74='Données projet'!$A$270,'Données projet'!$B$270,GU73+GT74-HC73)))</f>
        <v>256.39999999999986</v>
      </c>
      <c r="GV74" s="17">
        <f>GU74*VLOOKUP('Données projet'!$B$18,Paramètres!$A$1:$I$89,3,0)*VLOOKUP('Données projet'!$B$18,Paramètres!$A$1:$I$89,5,0)</f>
        <v>167.99327999999991</v>
      </c>
      <c r="GW74" s="13">
        <f t="shared" si="105"/>
        <v>42.640274928095231</v>
      </c>
      <c r="GX74" s="20">
        <f t="shared" si="82"/>
        <v>366.85344149976572</v>
      </c>
      <c r="GY74" s="59">
        <f t="shared" si="83"/>
        <v>649.07330088587923</v>
      </c>
      <c r="GZ74" s="59">
        <f ca="1">AVERAGE(OFFSET($GY$3,0,0,'Données projet'!$E$18+1,1))-AVERAGE(OFFSET($H$3,0,0,'Données projet'!$E$18+1,1))</f>
        <v>262.62914256200031</v>
      </c>
      <c r="HA74" s="59">
        <f t="shared" si="106"/>
        <v>256.45129229594409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projet'!$B$18,Paramètres!$A$1:$I$89,3,0)*0.475*44/12</f>
        <v>10.279369425393114</v>
      </c>
      <c r="HH74" s="21">
        <f>EXP(-LN(2)/25)*HH73+(1-EXP(-LN(2)/25))/(LN(2)/25)*Calculateur!HC74*Calculateur!HE74*VLOOKUP('Données projet'!$B$18,Paramètres!$A$1:$I$89,3,0)*0.475*44/12</f>
        <v>0</v>
      </c>
      <c r="HI74" s="21">
        <f>EXP(-LN(2)/2)*HI73+(1-EXP(-LN(2)/2))/(LN(2)/2)*HC74*HF74*VLOOKUP('Données projet'!$B$18,Paramètres!$A$1:$I$89,3,0)*0.475*44/12</f>
        <v>0</v>
      </c>
      <c r="HJ74" s="22">
        <f t="shared" si="84"/>
        <v>10.279369425393114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2.1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7.7</v>
      </c>
      <c r="H75" s="67">
        <f t="shared" si="56"/>
        <v>225.86666666666665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67.021632721752411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9.4</v>
      </c>
      <c r="N75" s="13">
        <f>IF('Données projet'!$A$36&gt;35,N74+M75-V74,IF(A75&lt;'Données projet'!$A$36,$K$205^A75,IF(A75='Données projet'!$A$36,'Données projet'!$B$36,N74+M75-V74)))</f>
        <v>306.79999999999995</v>
      </c>
      <c r="O75" s="13">
        <f>N75*VLOOKUP('Données projet'!$B$9,Paramètres!$A$1:$I$89,3,0)*VLOOKUP('Données projet'!$B$9,Paramètres!$A$1:$I$89,5,0)</f>
        <v>263.23439999999999</v>
      </c>
      <c r="P75" s="13">
        <f t="shared" si="87"/>
        <v>63.411324464279403</v>
      </c>
      <c r="Q75" s="20">
        <f t="shared" si="54"/>
        <v>568.90797010861991</v>
      </c>
      <c r="R75" s="59">
        <f t="shared" si="55"/>
        <v>851.32062342171207</v>
      </c>
      <c r="S75" s="59">
        <f ca="1">AVERAGE(OFFSET($R$3,0,0,'Données projet'!$E$9+1,1))-AVERAGE(OFFSET($H$3,0,0,'Données projet'!$E$9+1,1))</f>
        <v>476.79071915271794</v>
      </c>
      <c r="T75" s="59">
        <f t="shared" si="88"/>
        <v>264.79929759351762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20.128224917927785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20.128224917927785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67.021632721752411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6.2</v>
      </c>
      <c r="AI75" s="13">
        <f>IF('Données projet'!$A$62&gt;35,AI74+AH75-AQ74,IF(A75&lt;'Données projet'!$A$62,$AF$205^A75,IF(A75='Données projet'!$A$62,'Données projet'!$B$62,AI74+AH75-AQ74)))</f>
        <v>233.39999999999998</v>
      </c>
      <c r="AJ75" s="13">
        <f>AI75*VLOOKUP('Données projet'!$B$10,Paramètres!$A$1:$I$89,3,0)*VLOOKUP('Données projet'!$B$10,Paramètres!$A$1:$I$89,5,0)</f>
        <v>196.61616000000001</v>
      </c>
      <c r="AK75" s="13">
        <f t="shared" si="89"/>
        <v>48.999765174076551</v>
      </c>
      <c r="AL75" s="20">
        <f t="shared" si="58"/>
        <v>427.78106967818331</v>
      </c>
      <c r="AM75" s="59">
        <f t="shared" si="59"/>
        <v>710.19372299127554</v>
      </c>
      <c r="AN75" s="59">
        <f ca="1">AVERAGE(OFFSET($AM$3,0,0,'Données projet'!$E$10+1,1))-AVERAGE(OFFSET($H$3,0,0,'Données projet'!$E$10+1,1))</f>
        <v>365.104658862176</v>
      </c>
      <c r="AO75" s="59">
        <f t="shared" si="90"/>
        <v>226.29232910286325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14.932764155741589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14.932764155741589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67.021632721752411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6.2</v>
      </c>
      <c r="BD75" s="12">
        <f>IF('Données projet'!$A$88&gt;35,BD74+BC75-BL74,IF(A75&lt;'Données projet'!$A$88,$BA$205^A75,IF(A75='Données projet'!$A$88,'Données projet'!$B$88,BD74+BC75-BL74)))</f>
        <v>233.39999999999998</v>
      </c>
      <c r="BE75" s="13">
        <f>BD75*VLOOKUP('Données projet'!$B$11,Paramètres!$A$1:$I$89,3,0)*VLOOKUP('Données projet'!$B$11,Paramètres!$A$1:$I$89,5,0)</f>
        <v>211.18031999999999</v>
      </c>
      <c r="BF75" s="13">
        <f t="shared" si="91"/>
        <v>52.193431117443019</v>
      </c>
      <c r="BG75" s="20">
        <f t="shared" si="61"/>
        <v>458.70928319621322</v>
      </c>
      <c r="BH75" s="59">
        <f t="shared" si="62"/>
        <v>741.12193650930544</v>
      </c>
      <c r="BI75" s="59">
        <f ca="1">AVERAGE(OFFSET($BH$3,0,0,'Données projet'!$E$11+1,1))-AVERAGE(OFFSET($H$3,0,0,'Données projet'!$E$11+1,1))</f>
        <v>388.12494342575195</v>
      </c>
      <c r="BJ75" s="59">
        <f t="shared" si="92"/>
        <v>239.39471445648454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16.038894833944664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16.038894833944664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67.021632721752411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6.2</v>
      </c>
      <c r="BY75" s="12">
        <f>IF('Données projet'!$A$114&gt;35,BY74+BX75-CG74,IF(A75&lt;'Données projet'!$A$114,$BV$205^A75,IF(A75='Données projet'!$A$114,'Données projet'!$B$114,BY74+BX75-CG74)))</f>
        <v>233.39999999999998</v>
      </c>
      <c r="BZ75" s="13">
        <f>BY75*VLOOKUP('Données projet'!$B$12,Paramètres!$A$1:$I$89,3,0)*VLOOKUP('Données projet'!$B$12,Paramètres!$A$1:$I$89,5,0)</f>
        <v>236.66759999999996</v>
      </c>
      <c r="CA75" s="13">
        <f t="shared" si="93"/>
        <v>57.721965974560838</v>
      </c>
      <c r="CB75" s="20">
        <f t="shared" si="64"/>
        <v>512.72849407236004</v>
      </c>
      <c r="CC75" s="59">
        <f t="shared" si="65"/>
        <v>795.1411473854522</v>
      </c>
      <c r="CD75" s="59">
        <f ca="1">AVERAGE(OFFSET($CC$3,0,0,'Données projet'!$E$12+1,1))-AVERAGE(OFFSET($H$3,0,0,'Données projet'!$E$12+1,1))</f>
        <v>428.33148932885132</v>
      </c>
      <c r="CE75" s="59">
        <f t="shared" si="94"/>
        <v>262.27548054534373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17.974623520800058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17.974623520800058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67.021632721752411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5</v>
      </c>
      <c r="CT75" s="12">
        <f>IF('Données projet'!$A$140&gt;35,CT74+CS75-DB74,IF(A75&lt;'Données projet'!$A$140,$CQ$205^A75,IF(A75='Données projet'!$A$140,'Données projet'!$B$140,CT74+CS75-DB74)))</f>
        <v>168</v>
      </c>
      <c r="CU75" s="17">
        <f>CT75*VLOOKUP('Données projet'!$B$13,Paramètres!$A$1:$I$89,3,0)*VLOOKUP('Données projet'!$B$13,Paramètres!$A$1:$I$89,5,0)</f>
        <v>159.86880000000002</v>
      </c>
      <c r="CV75" s="13">
        <f t="shared" si="95"/>
        <v>40.812921467768035</v>
      </c>
      <c r="CW75" s="20">
        <f t="shared" si="67"/>
        <v>349.52066488969604</v>
      </c>
      <c r="CX75" s="59">
        <f t="shared" si="68"/>
        <v>631.9333182027882</v>
      </c>
      <c r="CY75" s="59">
        <f ca="1">AVERAGE(OFFSET($CX$3,0,0,'Données projet'!$E$13+1,1))-AVERAGE(OFFSET($H$3,0,0,'Données projet'!$E$13+1,1))</f>
        <v>307.62549820830162</v>
      </c>
      <c r="CZ75" s="59">
        <f t="shared" si="96"/>
        <v>160.26466014910304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9.7280234347004519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9.7280234347004519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67.021632721752411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3.4</v>
      </c>
      <c r="DO75" s="12">
        <f>IF('Données projet'!$A$166&gt;35,DO74+DN75-DW74,IF(A75&lt;'Données projet'!$A$166,$DL$205^A75,IF(A75='Données projet'!$A$166,'Données projet'!$B$166,DO74+DN75-DW74)))</f>
        <v>259.79999999999984</v>
      </c>
      <c r="DP75" s="17">
        <f>DO75*VLOOKUP('Données projet'!$B$14,Paramètres!$A$1:$I$89,3,0)*VLOOKUP('Données projet'!$B$14,Paramètres!$A$1:$I$89,5,0)</f>
        <v>206.69687999999991</v>
      </c>
      <c r="DQ75" s="13">
        <f t="shared" si="97"/>
        <v>51.213106197404436</v>
      </c>
      <c r="DR75" s="20">
        <f t="shared" si="70"/>
        <v>449.1932259604792</v>
      </c>
      <c r="DS75" s="59">
        <f t="shared" si="71"/>
        <v>731.60587927357142</v>
      </c>
      <c r="DT75" s="59">
        <f ca="1">AVERAGE(OFFSET($DS$3,0,0,'Données projet'!$E$14+1,1))-AVERAGE(OFFSET($H$3,0,0,'Données projet'!$E$14+1,1))</f>
        <v>309.14579005132464</v>
      </c>
      <c r="DU75" s="59">
        <f t="shared" si="98"/>
        <v>300.60311050289533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15.083214837113678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15.083214837113678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67.021632721752411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4.2</v>
      </c>
      <c r="EJ75" s="12">
        <f>IF('Données projet'!$A$192&gt;35,EJ74+EI75-ER74,IF(A75&lt;'Données projet'!$A$192,$EG$205^A75,IF(A75='Données projet'!$A$192,'Données projet'!$B$192,EJ74+EI75-ER74)))</f>
        <v>311.39999999999992</v>
      </c>
      <c r="EK75" s="17">
        <f>EJ75*VLOOKUP('Données projet'!$B$15,Paramètres!$A$1:$I$89,3,0)*VLOOKUP('Données projet'!$B$15,Paramètres!$A$1:$I$89,5,0)</f>
        <v>228.31847999999994</v>
      </c>
      <c r="EL75" s="13">
        <f t="shared" si="99"/>
        <v>55.918942466546987</v>
      </c>
      <c r="EM75" s="20">
        <f t="shared" si="73"/>
        <v>495.04684412923598</v>
      </c>
      <c r="EN75" s="59">
        <f t="shared" si="74"/>
        <v>777.45949744232814</v>
      </c>
      <c r="EO75" s="59">
        <f ca="1">AVERAGE(OFFSET($EN$3,0,0,'Données projet'!$E$15+1,1))-AVERAGE(OFFSET($H$3,0,0,'Données projet'!$E$15+1,1))</f>
        <v>338.59243085476896</v>
      </c>
      <c r="EP75" s="59">
        <f t="shared" si="100"/>
        <v>329.8393445823275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16.423147220640839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16.423147220640839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67.021632721752411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4.2</v>
      </c>
      <c r="FE75" s="12">
        <f>IF('Données projet'!$A$218&gt;35,FE74+FD75-FM74,IF(A75&lt;'Données projet'!$A$218,$FB$205^A75,IF(A75='Données projet'!$A$218,'Données projet'!$B$218,FE74+FD75-FM74)))</f>
        <v>311.39999999999992</v>
      </c>
      <c r="FF75" s="17">
        <f>FE75*VLOOKUP('Données projet'!$B$16,Paramètres!$A$1:$I$89,3,0)*VLOOKUP('Données projet'!$B$16,Paramètres!$A$1:$I$89,5,0)</f>
        <v>204.02927999999994</v>
      </c>
      <c r="FG75" s="13">
        <f t="shared" si="101"/>
        <v>50.628650934368238</v>
      </c>
      <c r="FH75" s="20">
        <f t="shared" si="76"/>
        <v>443.5292297106912</v>
      </c>
      <c r="FI75" s="59">
        <f t="shared" si="77"/>
        <v>725.94188302378336</v>
      </c>
      <c r="FJ75" s="59">
        <f ca="1">AVERAGE(OFFSET($FI$3,0,0,'Données projet'!$E$16+1,1))-AVERAGE(OFFSET($H$3,0,0,'Données projet'!$E$16+1,1))</f>
        <v>307.50573770128085</v>
      </c>
      <c r="FK75" s="59">
        <f t="shared" si="102"/>
        <v>300.2007312562655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14.676003899296065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14.676003899296065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67.021632721752411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4.2</v>
      </c>
      <c r="FZ75" s="12">
        <f>IF('Données projet'!$A$244&gt;35,FZ74+FY75-GH74,IF(A75&lt;'Données projet'!$A$244,$FW$205^A75,IF(A75='Données projet'!$A$244,'Données projet'!$B$244,FZ74+FY75-GH74)))</f>
        <v>311.39999999999992</v>
      </c>
      <c r="GA75" s="17">
        <f>FZ75*VLOOKUP('Données projet'!$B$17,Paramètres!$A$1:$I$89,3,0)*VLOOKUP('Données projet'!$B$17,Paramètres!$A$1:$I$89,5,0)</f>
        <v>252.60767999999996</v>
      </c>
      <c r="GB75" s="13">
        <f t="shared" si="103"/>
        <v>61.143998601713257</v>
      </c>
      <c r="GC75" s="20">
        <f t="shared" si="79"/>
        <v>546.4508402313171</v>
      </c>
      <c r="GD75" s="59">
        <f t="shared" si="80"/>
        <v>828.86349354440927</v>
      </c>
      <c r="GE75" s="59">
        <f ca="1">AVERAGE(OFFSET($GD$3,0,0,'Données projet'!$E$17+1,1))-AVERAGE(OFFSET($H$3,0,0,'Données projet'!$E$17+1,1))</f>
        <v>369.60865427618342</v>
      </c>
      <c r="GF75" s="59">
        <f t="shared" si="104"/>
        <v>359.40898775279197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18.170290541985604</v>
      </c>
      <c r="GM75" s="21">
        <f>EXP(-LN(2)/25)*GM74+(1-EXP(-LN(2)/25))/(LN(2)/25)*Calculateur!GH75*Calculateur!GJ75*VLOOKUP('Données projet'!$B$17,Paramètres!$A$1:$I$89,3,0)*0.475*44/12</f>
        <v>0</v>
      </c>
      <c r="GN75" s="21">
        <f>EXP(-LN(2)/2)*GN74+(1-EXP(-LN(2)/2))/(LN(2)/2)*GH75*GK75*VLOOKUP('Données projet'!$B$17,Paramètres!$A$1:$I$89,3,0)*0.475*44/12</f>
        <v>0</v>
      </c>
      <c r="GO75" s="21">
        <f t="shared" si="81"/>
        <v>18.170290541985604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67.021632721752411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3.4</v>
      </c>
      <c r="GU75" s="12">
        <f>IF('Données projet'!$A$270&gt;35,GU74+GT75-HC74,IF(A75&lt;'Données projet'!$A$270,$GR$205^A75,IF(A75='Données projet'!$A$270,'Données projet'!$B$270,GU74+GT75-HC74)))</f>
        <v>259.79999999999984</v>
      </c>
      <c r="GV75" s="17">
        <f>GU75*VLOOKUP('Données projet'!$B$18,Paramètres!$A$1:$I$89,3,0)*VLOOKUP('Données projet'!$B$18,Paramètres!$A$1:$I$89,5,0)</f>
        <v>170.22095999999991</v>
      </c>
      <c r="GW75" s="13">
        <f t="shared" si="105"/>
        <v>43.13950753318327</v>
      </c>
      <c r="GX75" s="20">
        <f t="shared" si="82"/>
        <v>371.60281428696067</v>
      </c>
      <c r="GY75" s="59">
        <f t="shared" si="83"/>
        <v>654.01546760005283</v>
      </c>
      <c r="GZ75" s="59">
        <f ca="1">AVERAGE(OFFSET($GY$3,0,0,'Données projet'!$E$18+1,1))-AVERAGE(OFFSET($H$3,0,0,'Données projet'!$E$18+1,1))</f>
        <v>262.62914256200031</v>
      </c>
      <c r="HA75" s="59">
        <f t="shared" si="106"/>
        <v>256.45129229594409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projet'!$B$18,Paramètres!$A$1:$I$89,3,0)*0.475*44/12</f>
        <v>10.077797260757412</v>
      </c>
      <c r="HH75" s="21">
        <f>EXP(-LN(2)/25)*HH74+(1-EXP(-LN(2)/25))/(LN(2)/25)*Calculateur!HC75*Calculateur!HE75*VLOOKUP('Données projet'!$B$18,Paramètres!$A$1:$I$89,3,0)*0.475*44/12</f>
        <v>0</v>
      </c>
      <c r="HI75" s="21">
        <f>EXP(-LN(2)/2)*HI74+(1-EXP(-LN(2)/2))/(LN(2)/2)*HC75*HF75*VLOOKUP('Données projet'!$B$18,Paramètres!$A$1:$I$89,3,0)*0.475*44/12</f>
        <v>0</v>
      </c>
      <c r="HJ75" s="22">
        <f t="shared" si="84"/>
        <v>10.077797260757412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2.1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7.7</v>
      </c>
      <c r="H76" s="67">
        <f t="shared" si="56"/>
        <v>225.86666666666665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67.073300735398306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9.4</v>
      </c>
      <c r="N76" s="13">
        <f>IF('Données projet'!$A$36&gt;35,N75+M76-V75,IF(A76&lt;'Données projet'!$A$36,$K$205^A76,IF(A76='Données projet'!$A$36,'Données projet'!$B$36,N75+M76-V75)))</f>
        <v>316.19999999999993</v>
      </c>
      <c r="O76" s="13">
        <f>N76*VLOOKUP('Données projet'!$B$9,Paramètres!$A$1:$I$89,3,0)*VLOOKUP('Données projet'!$B$9,Paramètres!$A$1:$I$89,5,0)</f>
        <v>271.29959999999994</v>
      </c>
      <c r="P76" s="13">
        <f t="shared" si="87"/>
        <v>65.125000081857877</v>
      </c>
      <c r="Q76" s="20">
        <f t="shared" si="54"/>
        <v>585.93951180923568</v>
      </c>
      <c r="R76" s="59">
        <f t="shared" si="55"/>
        <v>868.54161450569609</v>
      </c>
      <c r="S76" s="59">
        <f ca="1">AVERAGE(OFFSET($R$3,0,0,'Données projet'!$E$9+1,1))-AVERAGE(OFFSET($H$3,0,0,'Données projet'!$E$9+1,1))</f>
        <v>476.79071915271794</v>
      </c>
      <c r="T76" s="59">
        <f t="shared" si="88"/>
        <v>264.79929759351762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19.733522704292167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19.733522704292167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67.073300735398306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6.2</v>
      </c>
      <c r="AI76" s="13">
        <f>IF('Données projet'!$A$62&gt;35,AI75+AH76-AQ75,IF(A76&lt;'Données projet'!$A$62,$AF$205^A76,IF(A76='Données projet'!$A$62,'Données projet'!$B$62,AI75+AH76-AQ75)))</f>
        <v>239.59999999999997</v>
      </c>
      <c r="AJ76" s="13">
        <f>AI76*VLOOKUP('Données projet'!$B$10,Paramètres!$A$1:$I$89,3,0)*VLOOKUP('Données projet'!$B$10,Paramètres!$A$1:$I$89,5,0)</f>
        <v>201.83903999999998</v>
      </c>
      <c r="AK76" s="13">
        <f t="shared" si="89"/>
        <v>50.148117498343801</v>
      </c>
      <c r="AL76" s="20">
        <f t="shared" si="58"/>
        <v>438.87763264294875</v>
      </c>
      <c r="AM76" s="59">
        <f t="shared" si="59"/>
        <v>721.47973533940922</v>
      </c>
      <c r="AN76" s="59">
        <f ca="1">AVERAGE(OFFSET($AM$3,0,0,'Données projet'!$E$10+1,1))-AVERAGE(OFFSET($H$3,0,0,'Données projet'!$E$10+1,1))</f>
        <v>365.104658862176</v>
      </c>
      <c r="AO76" s="59">
        <f t="shared" si="90"/>
        <v>226.29232910286325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14.639941758734283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14.639941758734283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67.073300735398306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6.2</v>
      </c>
      <c r="BD76" s="12">
        <f>IF('Données projet'!$A$88&gt;35,BD75+BC76-BL75,IF(A76&lt;'Données projet'!$A$88,$BA$205^A76,IF(A76='Données projet'!$A$88,'Données projet'!$B$88,BD75+BC76-BL75)))</f>
        <v>239.59999999999997</v>
      </c>
      <c r="BE76" s="13">
        <f>BD76*VLOOKUP('Données projet'!$B$11,Paramètres!$A$1:$I$89,3,0)*VLOOKUP('Données projet'!$B$11,Paramètres!$A$1:$I$89,5,0)</f>
        <v>216.79007999999996</v>
      </c>
      <c r="BF76" s="13">
        <f t="shared" si="91"/>
        <v>53.416629794462551</v>
      </c>
      <c r="BG76" s="20">
        <f t="shared" si="61"/>
        <v>470.61001955868886</v>
      </c>
      <c r="BH76" s="59">
        <f t="shared" si="62"/>
        <v>753.21212225514932</v>
      </c>
      <c r="BI76" s="59">
        <f ca="1">AVERAGE(OFFSET($BH$3,0,0,'Données projet'!$E$11+1,1))-AVERAGE(OFFSET($H$3,0,0,'Données projet'!$E$11+1,1))</f>
        <v>388.12494342575195</v>
      </c>
      <c r="BJ76" s="59">
        <f t="shared" si="92"/>
        <v>239.39471445648454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15.724381889010891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15.724381889010891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67.073300735398306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6.2</v>
      </c>
      <c r="BY76" s="12">
        <f>IF('Données projet'!$A$114&gt;35,BY75+BX76-CG75,IF(A76&lt;'Données projet'!$A$114,$BV$205^A76,IF(A76='Données projet'!$A$114,'Données projet'!$B$114,BY75+BX76-CG75)))</f>
        <v>239.59999999999997</v>
      </c>
      <c r="BZ76" s="13">
        <f>BY76*VLOOKUP('Données projet'!$B$12,Paramètres!$A$1:$I$89,3,0)*VLOOKUP('Données projet'!$B$12,Paramètres!$A$1:$I$89,5,0)</f>
        <v>242.95439999999996</v>
      </c>
      <c r="CA76" s="13">
        <f t="shared" si="93"/>
        <v>59.074730698078945</v>
      </c>
      <c r="CB76" s="20">
        <f t="shared" si="64"/>
        <v>526.03406929915411</v>
      </c>
      <c r="CC76" s="59">
        <f t="shared" si="65"/>
        <v>808.63617199561463</v>
      </c>
      <c r="CD76" s="59">
        <f ca="1">AVERAGE(OFFSET($CC$3,0,0,'Données projet'!$E$12+1,1))-AVERAGE(OFFSET($H$3,0,0,'Données projet'!$E$12+1,1))</f>
        <v>428.33148932885132</v>
      </c>
      <c r="CE76" s="59">
        <f t="shared" si="94"/>
        <v>262.27548054534373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17.622152116994968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17.622152116994968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67.073300735398306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5</v>
      </c>
      <c r="CT76" s="12">
        <f>IF('Données projet'!$A$140&gt;35,CT75+CS76-DB75,IF(A76&lt;'Données projet'!$A$140,$CQ$205^A76,IF(A76='Données projet'!$A$140,'Données projet'!$B$140,CT75+CS76-DB75)))</f>
        <v>173</v>
      </c>
      <c r="CU76" s="17">
        <f>CT76*VLOOKUP('Données projet'!$B$13,Paramètres!$A$1:$I$89,3,0)*VLOOKUP('Données projet'!$B$13,Paramètres!$A$1:$I$89,5,0)</f>
        <v>164.6268</v>
      </c>
      <c r="CV76" s="13">
        <f t="shared" si="95"/>
        <v>41.884365321551833</v>
      </c>
      <c r="CW76" s="20">
        <f t="shared" si="67"/>
        <v>359.67361293503609</v>
      </c>
      <c r="CX76" s="59">
        <f t="shared" si="68"/>
        <v>642.2757156314965</v>
      </c>
      <c r="CY76" s="59">
        <f ca="1">AVERAGE(OFFSET($CX$3,0,0,'Données projet'!$E$13+1,1))-AVERAGE(OFFSET($H$3,0,0,'Données projet'!$E$13+1,1))</f>
        <v>307.62549820830162</v>
      </c>
      <c r="CZ76" s="59">
        <f t="shared" si="96"/>
        <v>160.26466014910304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9.5372628286543861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9.5372628286543861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67.073300735398306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3.4</v>
      </c>
      <c r="DO76" s="12">
        <f>IF('Données projet'!$A$166&gt;35,DO75+DN76-DW75,IF(A76&lt;'Données projet'!$A$166,$DL$205^A76,IF(A76='Données projet'!$A$166,'Données projet'!$B$166,DO75+DN76-DW75)))</f>
        <v>263.19999999999982</v>
      </c>
      <c r="DP76" s="17">
        <f>DO76*VLOOKUP('Données projet'!$B$14,Paramètres!$A$1:$I$89,3,0)*VLOOKUP('Données projet'!$B$14,Paramètres!$A$1:$I$89,5,0)</f>
        <v>209.40191999999988</v>
      </c>
      <c r="DQ76" s="13">
        <f t="shared" si="97"/>
        <v>51.804868484579039</v>
      </c>
      <c r="DR76" s="20">
        <f t="shared" si="70"/>
        <v>454.93515661064157</v>
      </c>
      <c r="DS76" s="59">
        <f t="shared" si="71"/>
        <v>737.53725930710198</v>
      </c>
      <c r="DT76" s="59">
        <f ca="1">AVERAGE(OFFSET($DS$3,0,0,'Données projet'!$E$14+1,1))-AVERAGE(OFFSET($H$3,0,0,'Données projet'!$E$14+1,1))</f>
        <v>309.14579005132464</v>
      </c>
      <c r="DU76" s="59">
        <f t="shared" si="98"/>
        <v>300.60311050289533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14.78744219401052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14.78744219401052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67.073300735398306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4.2</v>
      </c>
      <c r="EJ76" s="12">
        <f>IF('Données projet'!$A$192&gt;35,EJ75+EI76-ER75,IF(A76&lt;'Données projet'!$A$192,$EG$205^A76,IF(A76='Données projet'!$A$192,'Données projet'!$B$192,EJ75+EI76-ER75)))</f>
        <v>315.59999999999991</v>
      </c>
      <c r="EK76" s="17">
        <f>EJ76*VLOOKUP('Données projet'!$B$15,Paramètres!$A$1:$I$89,3,0)*VLOOKUP('Données projet'!$B$15,Paramètres!$A$1:$I$89,5,0)</f>
        <v>231.39791999999991</v>
      </c>
      <c r="EL76" s="13">
        <f t="shared" si="99"/>
        <v>56.584837838715806</v>
      </c>
      <c r="EM76" s="20">
        <f t="shared" si="73"/>
        <v>501.56996990242982</v>
      </c>
      <c r="EN76" s="59">
        <f t="shared" si="74"/>
        <v>784.17207259889028</v>
      </c>
      <c r="EO76" s="59">
        <f ca="1">AVERAGE(OFFSET($EN$3,0,0,'Données projet'!$E$15+1,1))-AVERAGE(OFFSET($H$3,0,0,'Données projet'!$E$15+1,1))</f>
        <v>338.59243085476896</v>
      </c>
      <c r="EP76" s="59">
        <f t="shared" si="100"/>
        <v>329.8393445823275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16.101099320774768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16.101099320774768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67.073300735398306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4.2</v>
      </c>
      <c r="FE76" s="12">
        <f>IF('Données projet'!$A$218&gt;35,FE75+FD76-FM75,IF(A76&lt;'Données projet'!$A$218,$FB$205^A76,IF(A76='Données projet'!$A$218,'Données projet'!$B$218,FE75+FD76-FM75)))</f>
        <v>315.59999999999991</v>
      </c>
      <c r="FF76" s="17">
        <f>FE76*VLOOKUP('Données projet'!$B$16,Paramètres!$A$1:$I$89,3,0)*VLOOKUP('Données projet'!$B$16,Paramètres!$A$1:$I$89,5,0)</f>
        <v>206.78111999999996</v>
      </c>
      <c r="FG76" s="13">
        <f t="shared" si="101"/>
        <v>51.231548322431642</v>
      </c>
      <c r="FH76" s="20">
        <f t="shared" si="76"/>
        <v>449.37206399490168</v>
      </c>
      <c r="FI76" s="59">
        <f t="shared" si="77"/>
        <v>731.97416669136214</v>
      </c>
      <c r="FJ76" s="59">
        <f ca="1">AVERAGE(OFFSET($FI$3,0,0,'Données projet'!$E$16+1,1))-AVERAGE(OFFSET($H$3,0,0,'Données projet'!$E$16+1,1))</f>
        <v>307.50573770128085</v>
      </c>
      <c r="FK76" s="59">
        <f t="shared" si="102"/>
        <v>300.2007312562655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14.388216414309362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14.388216414309362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67.073300735398306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4.2</v>
      </c>
      <c r="FZ76" s="12">
        <f>IF('Données projet'!$A$244&gt;35,FZ75+FY76-GH75,IF(A76&lt;'Données projet'!$A$244,$FW$205^A76,IF(A76='Données projet'!$A$244,'Données projet'!$B$244,FZ75+FY76-GH75)))</f>
        <v>315.59999999999991</v>
      </c>
      <c r="GA76" s="17">
        <f>FZ76*VLOOKUP('Données projet'!$B$17,Paramètres!$A$1:$I$89,3,0)*VLOOKUP('Données projet'!$B$17,Paramètres!$A$1:$I$89,5,0)</f>
        <v>256.01471999999995</v>
      </c>
      <c r="GB76" s="13">
        <f t="shared" si="103"/>
        <v>61.872115120174627</v>
      </c>
      <c r="GC76" s="20">
        <f t="shared" si="79"/>
        <v>553.65290450097075</v>
      </c>
      <c r="GD76" s="59">
        <f t="shared" si="80"/>
        <v>836.25500719743127</v>
      </c>
      <c r="GE76" s="59">
        <f ca="1">AVERAGE(OFFSET($GD$3,0,0,'Données projet'!$E$17+1,1))-AVERAGE(OFFSET($H$3,0,0,'Données projet'!$E$17+1,1))</f>
        <v>369.60865427618342</v>
      </c>
      <c r="GF76" s="59">
        <f t="shared" si="104"/>
        <v>359.40898775279197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17.813982227240164</v>
      </c>
      <c r="GM76" s="21">
        <f>EXP(-LN(2)/25)*GM75+(1-EXP(-LN(2)/25))/(LN(2)/25)*Calculateur!GH76*Calculateur!GJ76*VLOOKUP('Données projet'!$B$17,Paramètres!$A$1:$I$89,3,0)*0.475*44/12</f>
        <v>0</v>
      </c>
      <c r="GN76" s="21">
        <f>EXP(-LN(2)/2)*GN75+(1-EXP(-LN(2)/2))/(LN(2)/2)*GH76*GK76*VLOOKUP('Données projet'!$B$17,Paramètres!$A$1:$I$89,3,0)*0.475*44/12</f>
        <v>0</v>
      </c>
      <c r="GO76" s="21">
        <f t="shared" si="81"/>
        <v>17.813982227240164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67.073300735398306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3.4</v>
      </c>
      <c r="GU76" s="12">
        <f>IF('Données projet'!$A$270&gt;35,GU75+GT76-HC75,IF(A76&lt;'Données projet'!$A$270,$GR$205^A76,IF(A76='Données projet'!$A$270,'Données projet'!$B$270,GU75+GT76-HC75)))</f>
        <v>263.19999999999982</v>
      </c>
      <c r="GV76" s="17">
        <f>GU76*VLOOKUP('Données projet'!$B$18,Paramètres!$A$1:$I$89,3,0)*VLOOKUP('Données projet'!$B$18,Paramètres!$A$1:$I$89,5,0)</f>
        <v>172.4486399999999</v>
      </c>
      <c r="GW76" s="13">
        <f t="shared" si="105"/>
        <v>43.637980200453676</v>
      </c>
      <c r="GX76" s="20">
        <f t="shared" si="82"/>
        <v>376.35086351579002</v>
      </c>
      <c r="GY76" s="59">
        <f t="shared" si="83"/>
        <v>658.95296621225043</v>
      </c>
      <c r="GZ76" s="59">
        <f ca="1">AVERAGE(OFFSET($GY$3,0,0,'Données projet'!$E$18+1,1))-AVERAGE(OFFSET($H$3,0,0,'Données projet'!$E$18+1,1))</f>
        <v>262.62914256200031</v>
      </c>
      <c r="HA76" s="59">
        <f t="shared" si="106"/>
        <v>256.45129229594409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projet'!$B$18,Paramètres!$A$1:$I$89,3,0)*0.475*44/12</f>
        <v>9.8801778033233383</v>
      </c>
      <c r="HH76" s="21">
        <f>EXP(-LN(2)/25)*HH75+(1-EXP(-LN(2)/25))/(LN(2)/25)*Calculateur!HC76*Calculateur!HE76*VLOOKUP('Données projet'!$B$18,Paramètres!$A$1:$I$89,3,0)*0.475*44/12</f>
        <v>0</v>
      </c>
      <c r="HI76" s="21">
        <f>EXP(-LN(2)/2)*HI75+(1-EXP(-LN(2)/2))/(LN(2)/2)*HC76*HF76*VLOOKUP('Données projet'!$B$18,Paramètres!$A$1:$I$89,3,0)*0.475*44/12</f>
        <v>0</v>
      </c>
      <c r="HJ76" s="22">
        <f t="shared" si="84"/>
        <v>9.8801778033233383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2.1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7.7</v>
      </c>
      <c r="H77" s="67">
        <f t="shared" si="56"/>
        <v>225.86666666666665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67.124072424519809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9.4</v>
      </c>
      <c r="N77" s="13">
        <f>IF('Données projet'!$A$36&gt;35,N76+M77-V76,IF(A77&lt;'Données projet'!$A$36,$K$205^A77,IF(A77='Données projet'!$A$36,'Données projet'!$B$36,N76+M77-V76)))</f>
        <v>325.59999999999991</v>
      </c>
      <c r="O77" s="13">
        <f>N77*VLOOKUP('Données projet'!$B$9,Paramètres!$A$1:$I$89,3,0)*VLOOKUP('Données projet'!$B$9,Paramètres!$A$1:$I$89,5,0)</f>
        <v>279.36479999999995</v>
      </c>
      <c r="P77" s="13">
        <f t="shared" si="87"/>
        <v>66.832755122992182</v>
      </c>
      <c r="Q77" s="20">
        <f t="shared" si="54"/>
        <v>602.96074183921132</v>
      </c>
      <c r="R77" s="59">
        <f t="shared" si="55"/>
        <v>885.74900739578402</v>
      </c>
      <c r="S77" s="59">
        <f ca="1">AVERAGE(OFFSET($R$3,0,0,'Données projet'!$E$9+1,1))-AVERAGE(OFFSET($H$3,0,0,'Données projet'!$E$9+1,1))</f>
        <v>476.79071915271794</v>
      </c>
      <c r="T77" s="59">
        <f t="shared" si="88"/>
        <v>264.79929759351762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19.346560360321366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19.346560360321366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67.124072424519809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6.2</v>
      </c>
      <c r="AI77" s="13">
        <f>IF('Données projet'!$A$62&gt;35,AI76+AH77-AQ76,IF(A77&lt;'Données projet'!$A$62,$AF$205^A77,IF(A77='Données projet'!$A$62,'Données projet'!$B$62,AI76+AH77-AQ76)))</f>
        <v>245.79999999999995</v>
      </c>
      <c r="AJ77" s="13">
        <f>AI77*VLOOKUP('Données projet'!$B$10,Paramètres!$A$1:$I$89,3,0)*VLOOKUP('Données projet'!$B$10,Paramètres!$A$1:$I$89,5,0)</f>
        <v>207.06191999999996</v>
      </c>
      <c r="AK77" s="13">
        <f t="shared" si="89"/>
        <v>51.293015758902222</v>
      </c>
      <c r="AL77" s="20">
        <f t="shared" si="58"/>
        <v>449.96817978008789</v>
      </c>
      <c r="AM77" s="59">
        <f t="shared" si="59"/>
        <v>732.75644533666059</v>
      </c>
      <c r="AN77" s="59">
        <f ca="1">AVERAGE(OFFSET($AM$3,0,0,'Données projet'!$E$10+1,1))-AVERAGE(OFFSET($H$3,0,0,'Données projet'!$E$10+1,1))</f>
        <v>365.104658862176</v>
      </c>
      <c r="AO77" s="59">
        <f t="shared" si="90"/>
        <v>226.29232910286325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14.352861430328263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14.352861430328263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67.124072424519809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6.2</v>
      </c>
      <c r="BD77" s="12">
        <f>IF('Données projet'!$A$88&gt;35,BD76+BC77-BL76,IF(A77&lt;'Données projet'!$A$88,$BA$205^A77,IF(A77='Données projet'!$A$88,'Données projet'!$B$88,BD76+BC77-BL76)))</f>
        <v>245.79999999999995</v>
      </c>
      <c r="BE77" s="13">
        <f>BD77*VLOOKUP('Données projet'!$B$11,Paramètres!$A$1:$I$89,3,0)*VLOOKUP('Données projet'!$B$11,Paramètres!$A$1:$I$89,5,0)</f>
        <v>222.39983999999995</v>
      </c>
      <c r="BF77" s="13">
        <f t="shared" si="91"/>
        <v>54.636149281681448</v>
      </c>
      <c r="BG77" s="20">
        <f t="shared" si="61"/>
        <v>482.50434799892838</v>
      </c>
      <c r="BH77" s="59">
        <f t="shared" si="62"/>
        <v>765.29261355550102</v>
      </c>
      <c r="BI77" s="59">
        <f ca="1">AVERAGE(OFFSET($BH$3,0,0,'Données projet'!$E$11+1,1))-AVERAGE(OFFSET($H$3,0,0,'Données projet'!$E$11+1,1))</f>
        <v>388.12494342575195</v>
      </c>
      <c r="BJ77" s="59">
        <f t="shared" si="92"/>
        <v>239.39471445648454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15.416036351093314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15.416036351093314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67.124072424519809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6.2</v>
      </c>
      <c r="BY77" s="12">
        <f>IF('Données projet'!$A$114&gt;35,BY76+BX77-CG76,IF(A77&lt;'Données projet'!$A$114,$BV$205^A77,IF(A77='Données projet'!$A$114,'Données projet'!$B$114,BY76+BX77-CG76)))</f>
        <v>245.79999999999995</v>
      </c>
      <c r="BZ77" s="13">
        <f>BY77*VLOOKUP('Données projet'!$B$12,Paramètres!$A$1:$I$89,3,0)*VLOOKUP('Données projet'!$B$12,Paramètres!$A$1:$I$89,5,0)</f>
        <v>249.24119999999999</v>
      </c>
      <c r="CA77" s="13">
        <f t="shared" si="93"/>
        <v>60.42342651744692</v>
      </c>
      <c r="CB77" s="20">
        <f t="shared" si="64"/>
        <v>539.33255785122003</v>
      </c>
      <c r="CC77" s="59">
        <f t="shared" si="65"/>
        <v>822.12082340779261</v>
      </c>
      <c r="CD77" s="59">
        <f ca="1">AVERAGE(OFFSET($CC$3,0,0,'Données projet'!$E$12+1,1))-AVERAGE(OFFSET($H$3,0,0,'Données projet'!$E$12+1,1))</f>
        <v>428.33148932885132</v>
      </c>
      <c r="CE77" s="59">
        <f t="shared" si="94"/>
        <v>262.27548054534373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17.276592462432166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17.276592462432166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67.124072424519809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5</v>
      </c>
      <c r="CT77" s="12">
        <f>IF('Données projet'!$A$140&gt;35,CT76+CS77-DB76,IF(A77&lt;'Données projet'!$A$140,$CQ$205^A77,IF(A77='Données projet'!$A$140,'Données projet'!$B$140,CT76+CS77-DB76)))</f>
        <v>178</v>
      </c>
      <c r="CU77" s="17">
        <f>CT77*VLOOKUP('Données projet'!$B$13,Paramètres!$A$1:$I$89,3,0)*VLOOKUP('Données projet'!$B$13,Paramètres!$A$1:$I$89,5,0)</f>
        <v>169.38480000000001</v>
      </c>
      <c r="CV77" s="13">
        <f t="shared" si="95"/>
        <v>42.952210191662466</v>
      </c>
      <c r="CW77" s="20">
        <f t="shared" si="67"/>
        <v>369.82029275047876</v>
      </c>
      <c r="CX77" s="59">
        <f t="shared" si="68"/>
        <v>652.60855830705145</v>
      </c>
      <c r="CY77" s="59">
        <f ca="1">AVERAGE(OFFSET($CX$3,0,0,'Données projet'!$E$13+1,1))-AVERAGE(OFFSET($H$3,0,0,'Données projet'!$E$13+1,1))</f>
        <v>307.62549820830162</v>
      </c>
      <c r="CZ77" s="59">
        <f t="shared" si="96"/>
        <v>160.26466014910304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9.3502429217404028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9.3502429217404028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67.124072424519809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3.4</v>
      </c>
      <c r="DO77" s="12">
        <f>IF('Données projet'!$A$166&gt;35,DO76+DN77-DW76,IF(A77&lt;'Données projet'!$A$166,$DL$205^A77,IF(A77='Données projet'!$A$166,'Données projet'!$B$166,DO76+DN77-DW76)))</f>
        <v>266.5999999999998</v>
      </c>
      <c r="DP77" s="17">
        <f>DO77*VLOOKUP('Données projet'!$B$14,Paramètres!$A$1:$I$89,3,0)*VLOOKUP('Données projet'!$B$14,Paramètres!$A$1:$I$89,5,0)</f>
        <v>212.10695999999984</v>
      </c>
      <c r="DQ77" s="13">
        <f t="shared" si="97"/>
        <v>52.395741612408194</v>
      </c>
      <c r="DR77" s="20">
        <f t="shared" si="70"/>
        <v>460.67553864161067</v>
      </c>
      <c r="DS77" s="59">
        <f t="shared" si="71"/>
        <v>743.46380419818331</v>
      </c>
      <c r="DT77" s="59">
        <f ca="1">AVERAGE(OFFSET($DS$3,0,0,'Données projet'!$E$14+1,1))-AVERAGE(OFFSET($H$3,0,0,'Données projet'!$E$14+1,1))</f>
        <v>309.14579005132464</v>
      </c>
      <c r="DU77" s="59">
        <f t="shared" si="98"/>
        <v>300.60311050289533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14.497469472035116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14.497469472035116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67.124072424519809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4.2</v>
      </c>
      <c r="EJ77" s="12">
        <f>IF('Données projet'!$A$192&gt;35,EJ76+EI77-ER76,IF(A77&lt;'Données projet'!$A$192,$EG$205^A77,IF(A77='Données projet'!$A$192,'Données projet'!$B$192,EJ76+EI77-ER76)))</f>
        <v>319.7999999999999</v>
      </c>
      <c r="EK77" s="17">
        <f>EJ77*VLOOKUP('Données projet'!$B$15,Paramètres!$A$1:$I$89,3,0)*VLOOKUP('Données projet'!$B$15,Paramètres!$A$1:$I$89,5,0)</f>
        <v>234.47735999999995</v>
      </c>
      <c r="EL77" s="13">
        <f t="shared" si="99"/>
        <v>57.249702472380292</v>
      </c>
      <c r="EM77" s="20">
        <f t="shared" si="73"/>
        <v>508.09130047272885</v>
      </c>
      <c r="EN77" s="59">
        <f t="shared" si="74"/>
        <v>790.87956602930149</v>
      </c>
      <c r="EO77" s="59">
        <f ca="1">AVERAGE(OFFSET($EN$3,0,0,'Données projet'!$E$15+1,1))-AVERAGE(OFFSET($H$3,0,0,'Données projet'!$E$15+1,1))</f>
        <v>338.59243085476896</v>
      </c>
      <c r="EP77" s="59">
        <f t="shared" si="100"/>
        <v>329.8393445823275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15.785366583795247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15.785366583795247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67.124072424519809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4.2</v>
      </c>
      <c r="FE77" s="12">
        <f>IF('Données projet'!$A$218&gt;35,FE76+FD77-FM76,IF(A77&lt;'Données projet'!$A$218,$FB$205^A77,IF(A77='Données projet'!$A$218,'Données projet'!$B$218,FE76+FD77-FM76)))</f>
        <v>319.7999999999999</v>
      </c>
      <c r="FF77" s="17">
        <f>FE77*VLOOKUP('Données projet'!$B$16,Paramètres!$A$1:$I$89,3,0)*VLOOKUP('Données projet'!$B$16,Paramètres!$A$1:$I$89,5,0)</f>
        <v>209.53295999999992</v>
      </c>
      <c r="FG77" s="13">
        <f t="shared" si="101"/>
        <v>51.833512486481077</v>
      </c>
      <c r="FH77" s="20">
        <f t="shared" si="76"/>
        <v>455.21327291395437</v>
      </c>
      <c r="FI77" s="59">
        <f t="shared" si="77"/>
        <v>738.00153847052707</v>
      </c>
      <c r="FJ77" s="59">
        <f ca="1">AVERAGE(OFFSET($FI$3,0,0,'Données projet'!$E$16+1,1))-AVERAGE(OFFSET($H$3,0,0,'Données projet'!$E$16+1,1))</f>
        <v>307.50573770128085</v>
      </c>
      <c r="FK77" s="59">
        <f t="shared" si="102"/>
        <v>300.2007312562655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14.106072266370216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14.106072266370216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67.124072424519809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4.2</v>
      </c>
      <c r="FZ77" s="12">
        <f>IF('Données projet'!$A$244&gt;35,FZ76+FY77-GH76,IF(A77&lt;'Données projet'!$A$244,$FW$205^A77,IF(A77='Données projet'!$A$244,'Données projet'!$B$244,FZ76+FY77-GH76)))</f>
        <v>319.7999999999999</v>
      </c>
      <c r="GA77" s="17">
        <f>FZ77*VLOOKUP('Données projet'!$B$17,Paramètres!$A$1:$I$89,3,0)*VLOOKUP('Données projet'!$B$17,Paramètres!$A$1:$I$89,5,0)</f>
        <v>259.42175999999995</v>
      </c>
      <c r="GB77" s="13">
        <f t="shared" si="103"/>
        <v>62.599104588107195</v>
      </c>
      <c r="GC77" s="20">
        <f t="shared" si="79"/>
        <v>560.85300582428658</v>
      </c>
      <c r="GD77" s="59">
        <f t="shared" si="80"/>
        <v>843.64127138085928</v>
      </c>
      <c r="GE77" s="59">
        <f ca="1">AVERAGE(OFFSET($GD$3,0,0,'Données projet'!$E$17+1,1))-AVERAGE(OFFSET($H$3,0,0,'Données projet'!$E$17+1,1))</f>
        <v>369.60865427618342</v>
      </c>
      <c r="GF77" s="59">
        <f t="shared" si="104"/>
        <v>359.40898775279197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17.464660901220267</v>
      </c>
      <c r="GM77" s="21">
        <f>EXP(-LN(2)/25)*GM76+(1-EXP(-LN(2)/25))/(LN(2)/25)*Calculateur!GH77*Calculateur!GJ77*VLOOKUP('Données projet'!$B$17,Paramètres!$A$1:$I$89,3,0)*0.475*44/12</f>
        <v>0</v>
      </c>
      <c r="GN77" s="21">
        <f>EXP(-LN(2)/2)*GN76+(1-EXP(-LN(2)/2))/(LN(2)/2)*GH77*GK77*VLOOKUP('Données projet'!$B$17,Paramètres!$A$1:$I$89,3,0)*0.475*44/12</f>
        <v>0</v>
      </c>
      <c r="GO77" s="21">
        <f t="shared" si="81"/>
        <v>17.464660901220267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67.124072424519809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3.4</v>
      </c>
      <c r="GU77" s="12">
        <f>IF('Données projet'!$A$270&gt;35,GU76+GT77-HC76,IF(A77&lt;'Données projet'!$A$270,$GR$205^A77,IF(A77='Données projet'!$A$270,'Données projet'!$B$270,GU76+GT77-HC76)))</f>
        <v>266.5999999999998</v>
      </c>
      <c r="GV77" s="17">
        <f>GU77*VLOOKUP('Données projet'!$B$18,Paramètres!$A$1:$I$89,3,0)*VLOOKUP('Données projet'!$B$18,Paramètres!$A$1:$I$89,5,0)</f>
        <v>174.67631999999986</v>
      </c>
      <c r="GW77" s="13">
        <f t="shared" si="105"/>
        <v>44.135703881788075</v>
      </c>
      <c r="GX77" s="20">
        <f t="shared" si="82"/>
        <v>381.09760826078065</v>
      </c>
      <c r="GY77" s="59">
        <f t="shared" si="83"/>
        <v>663.88587381735329</v>
      </c>
      <c r="GZ77" s="59">
        <f ca="1">AVERAGE(OFFSET($GY$3,0,0,'Données projet'!$E$18+1,1))-AVERAGE(OFFSET($H$3,0,0,'Données projet'!$E$18+1,1))</f>
        <v>262.62914256200031</v>
      </c>
      <c r="HA77" s="59">
        <f t="shared" si="106"/>
        <v>256.45129229594409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projet'!$B$18,Paramètres!$A$1:$I$89,3,0)*0.475*44/12</f>
        <v>9.6864335429135782</v>
      </c>
      <c r="HH77" s="21">
        <f>EXP(-LN(2)/25)*HH76+(1-EXP(-LN(2)/25))/(LN(2)/25)*Calculateur!HC77*Calculateur!HE77*VLOOKUP('Données projet'!$B$18,Paramètres!$A$1:$I$89,3,0)*0.475*44/12</f>
        <v>0</v>
      </c>
      <c r="HI77" s="21">
        <f>EXP(-LN(2)/2)*HI76+(1-EXP(-LN(2)/2))/(LN(2)/2)*HC77*HF77*VLOOKUP('Données projet'!$B$18,Paramètres!$A$1:$I$89,3,0)*0.475*44/12</f>
        <v>0</v>
      </c>
      <c r="HJ77" s="22">
        <f t="shared" si="84"/>
        <v>9.6864335429135782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2.1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7.7</v>
      </c>
      <c r="H78" s="67">
        <f t="shared" si="56"/>
        <v>225.86666666666665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67.173963338343555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335</v>
      </c>
      <c r="L78" s="12">
        <f>VLOOKUP(A78,'Données projet'!$A$35:$I$55,9,0)</f>
        <v>9.4</v>
      </c>
      <c r="M78" s="12">
        <f t="array" ref="M78">INDEX(L:L,MIN(IF(ISNUMBER(L78:L274),ROW(L78:L274),"")))</f>
        <v>9.4</v>
      </c>
      <c r="N78" s="13">
        <f>IF('Données projet'!$A$36&gt;35,N77+M78-V77,IF(A78&lt;'Données projet'!$A$36,$K$205^A78,IF(A78='Données projet'!$A$36,'Données projet'!$B$36,N77+M78-V77)))</f>
        <v>334.99999999999989</v>
      </c>
      <c r="O78" s="13">
        <f>N78*VLOOKUP('Données projet'!$B$9,Paramètres!$A$1:$I$89,3,0)*VLOOKUP('Données projet'!$B$9,Paramètres!$A$1:$I$89,5,0)</f>
        <v>287.42999999999989</v>
      </c>
      <c r="P78" s="13">
        <f t="shared" si="87"/>
        <v>68.534780142555746</v>
      </c>
      <c r="Q78" s="20">
        <f t="shared" si="54"/>
        <v>619.97199208161771</v>
      </c>
      <c r="R78" s="59">
        <f t="shared" si="55"/>
        <v>902.9431909888774</v>
      </c>
      <c r="S78" s="59">
        <f ca="1">AVERAGE(OFFSET($R$3,0,0,'Données projet'!$E$9+1,1))-AVERAGE(OFFSET($H$3,0,0,'Données projet'!$E$9+1,1))</f>
        <v>476.79071915271794</v>
      </c>
      <c r="T78" s="59">
        <f t="shared" si="88"/>
        <v>264.79929759351762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28</v>
      </c>
      <c r="W78" s="16">
        <f>IF(ISNA(VLOOKUP(A78,'Données projet'!$A$35:$I$55,5,0)),0%,VLOOKUP(A78,'Données projet'!$A$35:$I$55,5,0)*VLOOKUP('Données projet'!$B$9,Paramètres!$A$1:$I$89,7,0))</f>
        <v>0.26500000000000001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26.005008517335501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26.005008517335501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67.173963338343555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252</v>
      </c>
      <c r="AG78" s="12">
        <f>VLOOKUP(A78,'Données projet'!$A$61:$I$81,9,0)</f>
        <v>6.2</v>
      </c>
      <c r="AH78" s="12">
        <f t="array" ref="AH78">INDEX(AG:AG,MIN(IF(ISNUMBER(AG78:AG274),ROW(AG78:AG274),"")))</f>
        <v>6.2</v>
      </c>
      <c r="AI78" s="13">
        <f>IF('Données projet'!$A$62&gt;35,AI77+AH78-AQ77,IF(A78&lt;'Données projet'!$A$62,$AF$205^A78,IF(A78='Données projet'!$A$62,'Données projet'!$B$62,AI77+AH78-AQ77)))</f>
        <v>251.99999999999994</v>
      </c>
      <c r="AJ78" s="13">
        <f>AI78*VLOOKUP('Données projet'!$B$10,Paramètres!$A$1:$I$89,3,0)*VLOOKUP('Données projet'!$B$10,Paramètres!$A$1:$I$89,5,0)</f>
        <v>212.28479999999999</v>
      </c>
      <c r="AK78" s="13">
        <f t="shared" si="89"/>
        <v>52.434557099704193</v>
      </c>
      <c r="AL78" s="20">
        <f t="shared" si="58"/>
        <v>461.05288028198476</v>
      </c>
      <c r="AM78" s="59">
        <f t="shared" si="59"/>
        <v>744.0240791892445</v>
      </c>
      <c r="AN78" s="59">
        <f ca="1">AVERAGE(OFFSET($AM$3,0,0,'Données projet'!$E$10+1,1))-AVERAGE(OFFSET($H$3,0,0,'Données projet'!$E$10+1,1))</f>
        <v>365.104658862176</v>
      </c>
      <c r="AO78" s="59">
        <f t="shared" si="90"/>
        <v>226.29232910286325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21</v>
      </c>
      <c r="AR78" s="16">
        <f>IF(ISNA(VLOOKUP(A78,'Données projet'!$A$61:$I$81,5,0)),0%,VLOOKUP(A78,'Données projet'!$A$61:$I$81,5,0)*VLOOKUP('Données projet'!$B$10,Paramètres!$A$1:$I$89,7,0))</f>
        <v>0.215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18.275996410509862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18.275996410509862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67.173963338343555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252</v>
      </c>
      <c r="BB78" s="12">
        <f>VLOOKUP(A78,'Données projet'!$A$87:$I$107,9,0)</f>
        <v>6.2</v>
      </c>
      <c r="BC78" s="12">
        <f t="array" ref="BC78">INDEX(BB:BB,MIN(IF(ISNUMBER(BB78:BB274),ROW(BB78:BB274),"")))</f>
        <v>6.2</v>
      </c>
      <c r="BD78" s="12">
        <f>IF('Données projet'!$A$88&gt;35,BD77+BC78-BL77,IF(A78&lt;'Données projet'!$A$88,$BA$205^A78,IF(A78='Données projet'!$A$88,'Données projet'!$B$88,BD77+BC78-BL77)))</f>
        <v>251.99999999999994</v>
      </c>
      <c r="BE78" s="13">
        <f>BD78*VLOOKUP('Données projet'!$B$11,Paramètres!$A$1:$I$89,3,0)*VLOOKUP('Données projet'!$B$11,Paramètres!$A$1:$I$89,5,0)</f>
        <v>228.00959999999995</v>
      </c>
      <c r="BF78" s="13">
        <f t="shared" si="91"/>
        <v>55.852093054619829</v>
      </c>
      <c r="BG78" s="20">
        <f t="shared" si="61"/>
        <v>494.3924487367961</v>
      </c>
      <c r="BH78" s="59">
        <f t="shared" si="62"/>
        <v>777.36364764405585</v>
      </c>
      <c r="BI78" s="59">
        <f ca="1">AVERAGE(OFFSET($BH$3,0,0,'Données projet'!$E$11+1,1))-AVERAGE(OFFSET($H$3,0,0,'Données projet'!$E$11+1,1))</f>
        <v>388.12494342575195</v>
      </c>
      <c r="BJ78" s="59">
        <f t="shared" si="92"/>
        <v>239.39471445648454</v>
      </c>
      <c r="BK78" s="15">
        <f>IF(ISNA(VLOOKUP(A78,'Données projet'!$A$87:$I$107,3,0)),0,VLOOKUP(A78,'Données projet'!$A$87:$I$107,3,0))</f>
        <v>12</v>
      </c>
      <c r="BL78" s="15">
        <f>IF(ISNA(VLOOKUP(A78,'Données projet'!$A$87:$I$107,4,0)),0,VLOOKUP(A78,'Données projet'!$A$87:$I$107,4,0))</f>
        <v>21</v>
      </c>
      <c r="BM78" s="16">
        <f>IF(ISNA(VLOOKUP(A78,'Données projet'!$A$87:$I$107,5,0)),0%,VLOOKUP(A78,'Données projet'!$A$87:$I$107,5,0)*VLOOKUP('Données projet'!$B$11,Paramètres!$A$1:$I$89,7,0))</f>
        <v>0.215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19.629773922399476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19.629773922399476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67.173963338343555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252</v>
      </c>
      <c r="BW78" s="12">
        <f>VLOOKUP(A78,'Données projet'!$A$113:$I$133,9,0)</f>
        <v>6.2</v>
      </c>
      <c r="BX78" s="12">
        <f t="array" ref="BX78">INDEX(BW:BW,MIN(IF(ISNUMBER(BW78:BW274),ROW(BW78:BW274),"")))</f>
        <v>6.2</v>
      </c>
      <c r="BY78" s="12">
        <f>IF('Données projet'!$A$114&gt;35,BY77+BX78-CG77,IF(A78&lt;'Données projet'!$A$114,$BV$205^A78,IF(A78='Données projet'!$A$114,'Données projet'!$B$114,BY77+BX78-CG77)))</f>
        <v>251.99999999999994</v>
      </c>
      <c r="BZ78" s="13">
        <f>BY78*VLOOKUP('Données projet'!$B$12,Paramètres!$A$1:$I$89,3,0)*VLOOKUP('Données projet'!$B$12,Paramètres!$A$1:$I$89,5,0)</f>
        <v>255.52799999999993</v>
      </c>
      <c r="CA78" s="13">
        <f t="shared" si="93"/>
        <v>61.768167868721477</v>
      </c>
      <c r="CB78" s="20">
        <f t="shared" si="64"/>
        <v>552.62415903802309</v>
      </c>
      <c r="CC78" s="59">
        <f t="shared" si="65"/>
        <v>835.59535794528279</v>
      </c>
      <c r="CD78" s="59">
        <f ca="1">AVERAGE(OFFSET($CC$3,0,0,'Données projet'!$E$12+1,1))-AVERAGE(OFFSET($H$3,0,0,'Données projet'!$E$12+1,1))</f>
        <v>428.33148932885132</v>
      </c>
      <c r="CE78" s="59">
        <f t="shared" si="94"/>
        <v>262.27548054534373</v>
      </c>
      <c r="CF78" s="15">
        <f>IF(ISNA(VLOOKUP(A78,'Données projet'!$A$113:$I$133,3,0)),0,VLOOKUP(A78,'Données projet'!$A$113:$I$133,3,0))</f>
        <v>12</v>
      </c>
      <c r="CG78" s="15">
        <f>IF(ISNA(VLOOKUP(A78,'Données projet'!$A$113:$I$133,4,0)),0,VLOOKUP(A78,'Données projet'!$A$113:$I$133,4,0))</f>
        <v>21</v>
      </c>
      <c r="CH78" s="16">
        <f>IF(ISNA(VLOOKUP(A78,'Données projet'!$A$113:$I$133,5,0)),0%,VLOOKUP(A78,'Données projet'!$A$113:$I$133,5,0)*VLOOKUP('Données projet'!$B$12,Paramètres!$A$1:$I$89,7,0))</f>
        <v>0.215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21.998884568206311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21.998884568206311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67.173963338343555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183</v>
      </c>
      <c r="CR78" s="12">
        <f>VLOOKUP(A78,'Données projet'!$A$139:$I$159,9,0)</f>
        <v>5</v>
      </c>
      <c r="CS78" s="12">
        <f t="array" ref="CS78">INDEX(CR:CR,MIN(IF(ISNUMBER(CR78:CR274),ROW(CR78:CR274),"")))</f>
        <v>5</v>
      </c>
      <c r="CT78" s="12">
        <f>IF('Données projet'!$A$140&gt;35,CT77+CS78-DB77,IF(A78&lt;'Données projet'!$A$140,$CQ$205^A78,IF(A78='Données projet'!$A$140,'Données projet'!$B$140,CT77+CS78-DB77)))</f>
        <v>183</v>
      </c>
      <c r="CU78" s="17">
        <f>CT78*VLOOKUP('Données projet'!$B$13,Paramètres!$A$1:$I$89,3,0)*VLOOKUP('Données projet'!$B$13,Paramètres!$A$1:$I$89,5,0)</f>
        <v>174.14279999999999</v>
      </c>
      <c r="CV78" s="13">
        <f t="shared" si="95"/>
        <v>44.016568786329351</v>
      </c>
      <c r="CW78" s="20">
        <f t="shared" si="67"/>
        <v>379.96090063619022</v>
      </c>
      <c r="CX78" s="59">
        <f t="shared" si="68"/>
        <v>662.93209954344991</v>
      </c>
      <c r="CY78" s="59">
        <f ca="1">AVERAGE(OFFSET($CX$3,0,0,'Données projet'!$E$13+1,1))-AVERAGE(OFFSET($H$3,0,0,'Données projet'!$E$13+1,1))</f>
        <v>307.62549820830162</v>
      </c>
      <c r="CZ78" s="59">
        <f t="shared" si="96"/>
        <v>160.26466014910304</v>
      </c>
      <c r="DA78" s="15">
        <f>IF(ISNA(VLOOKUP(A78,'Données projet'!$A$139:$I$159,3,0)),0,VLOOKUP(A78,'Données projet'!$A$139:$I$159,3,0))</f>
        <v>11</v>
      </c>
      <c r="DB78" s="15">
        <f>IF(ISNA(VLOOKUP(A78,'Données projet'!$A$139:$I$159,4,0)),0,VLOOKUP(A78,'Données projet'!$A$139:$I$159,4,0))</f>
        <v>14</v>
      </c>
      <c r="DC78" s="16">
        <f>IF(ISNA(VLOOKUP(A78,'Données projet'!$A$139:$I$159,5,0)),0%,VLOOKUP(A78,'Données projet'!$A$139:$I$159,5,0)*VLOOKUP('Données projet'!$B$13,Paramètres!$A$1:$I$89,7,0))</f>
        <v>0.215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12.333306856752424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12.333306856752424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67.173963338343555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270</v>
      </c>
      <c r="DM78" s="12">
        <f>VLOOKUP(A78,'Données projet'!$A$165:$I$185,9,0)</f>
        <v>3.4</v>
      </c>
      <c r="DN78" s="12">
        <f t="array" ref="DN78">INDEX(DM:DM,MIN(IF(ISNUMBER(DM78:DM274),ROW(DM78:DM274),"")))</f>
        <v>3.4</v>
      </c>
      <c r="DO78" s="12">
        <f>IF('Données projet'!$A$166&gt;35,DO77+DN78-DW77,IF(A78&lt;'Données projet'!$A$166,$DL$205^A78,IF(A78='Données projet'!$A$166,'Données projet'!$B$166,DO77+DN78-DW77)))</f>
        <v>269.99999999999977</v>
      </c>
      <c r="DP78" s="17">
        <f>DO78*VLOOKUP('Données projet'!$B$14,Paramètres!$A$1:$I$89,3,0)*VLOOKUP('Données projet'!$B$14,Paramètres!$A$1:$I$89,5,0)</f>
        <v>214.81199999999981</v>
      </c>
      <c r="DQ78" s="13">
        <f t="shared" si="97"/>
        <v>52.985738231738011</v>
      </c>
      <c r="DR78" s="20">
        <f t="shared" si="70"/>
        <v>466.41439408694333</v>
      </c>
      <c r="DS78" s="59">
        <f t="shared" si="71"/>
        <v>749.38559299420308</v>
      </c>
      <c r="DT78" s="59">
        <f ca="1">AVERAGE(OFFSET($DS$3,0,0,'Données projet'!$E$14+1,1))-AVERAGE(OFFSET($H$3,0,0,'Données projet'!$E$14+1,1))</f>
        <v>309.14579005132464</v>
      </c>
      <c r="DU78" s="59">
        <f t="shared" si="98"/>
        <v>300.60311050289533</v>
      </c>
      <c r="DV78" s="15">
        <f>IF(ISNA(VLOOKUP(A78,'Données projet'!$A$165:$I$185,3,0)),0,VLOOKUP(A78,'Données projet'!$A$165:$I$185,3,0))</f>
        <v>13</v>
      </c>
      <c r="DW78" s="15">
        <f>IF(ISNA(VLOOKUP(A78,'Données projet'!$A$165:$I$185,4,0)),0,VLOOKUP(A78,'Données projet'!$A$165:$I$185,4,0))</f>
        <v>9</v>
      </c>
      <c r="DX78" s="16">
        <f>IF(ISNA(VLOOKUP(A78,'Données projet'!$A$165:$I$185,5,0)),0%,VLOOKUP(A78,'Données projet'!$A$165:$I$185,5,0)*VLOOKUP('Données projet'!$B$14,Paramètres!$A$1:$I$89,7,0))</f>
        <v>0.318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16.730346951855012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16.730346951855012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67.173963338343555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324</v>
      </c>
      <c r="EH78" s="12">
        <f>VLOOKUP(A78,'Données projet'!$A$191:$I$211,9,0)</f>
        <v>4.2</v>
      </c>
      <c r="EI78" s="12">
        <f t="array" ref="EI78">INDEX(EH:EH,MIN(IF(ISNUMBER(EH78:EH274),ROW(EH78:EH274),"")))</f>
        <v>4.2</v>
      </c>
      <c r="EJ78" s="12">
        <f>IF('Données projet'!$A$192&gt;35,EJ77+EI78-ER77,IF(A78&lt;'Données projet'!$A$192,$EG$205^A78,IF(A78='Données projet'!$A$192,'Données projet'!$B$192,EJ77+EI78-ER77)))</f>
        <v>323.99999999999989</v>
      </c>
      <c r="EK78" s="17">
        <f>EJ78*VLOOKUP('Données projet'!$B$15,Paramètres!$A$1:$I$89,3,0)*VLOOKUP('Données projet'!$B$15,Paramètres!$A$1:$I$89,5,0)</f>
        <v>237.55679999999992</v>
      </c>
      <c r="EL78" s="13">
        <f t="shared" si="99"/>
        <v>57.913551469467308</v>
      </c>
      <c r="EM78" s="20">
        <f t="shared" si="73"/>
        <v>514.61086214265538</v>
      </c>
      <c r="EN78" s="59">
        <f t="shared" si="74"/>
        <v>797.58206104991507</v>
      </c>
      <c r="EO78" s="59">
        <f ca="1">AVERAGE(OFFSET($EN$3,0,0,'Données projet'!$E$15+1,1))-AVERAGE(OFFSET($H$3,0,0,'Données projet'!$E$15+1,1))</f>
        <v>338.59243085476896</v>
      </c>
      <c r="EP78" s="59">
        <f t="shared" si="100"/>
        <v>329.8393445823275</v>
      </c>
      <c r="EQ78" s="15">
        <f>IF(ISNA(VLOOKUP(A78,'Données projet'!$A$191:$I$211,3,0)),0,VLOOKUP(A78,'Données projet'!$A$191:$I$211,3,0))</f>
        <v>14</v>
      </c>
      <c r="ER78" s="15">
        <f>IF(ISNA(VLOOKUP(A78,'Données projet'!$A$191:$I$211,4,0)),0,VLOOKUP(A78,'Données projet'!$A$191:$I$211,4,0))</f>
        <v>12</v>
      </c>
      <c r="ES78" s="16">
        <f>IF(ISNA(VLOOKUP(A78,'Données projet'!$A$191:$I$211,5,0)),0%,VLOOKUP(A78,'Données projet'!$A$191:$I$211,5,0)*VLOOKUP('Données projet'!$B$15,Paramètres!$A$1:$I$89,7,0))</f>
        <v>0.25800000000000001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17.985228784728879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17.985228784728879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67.173963338343555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324</v>
      </c>
      <c r="FC78" s="12">
        <f>VLOOKUP(A78,'Données projet'!$A$217:$I$237,9,0)</f>
        <v>4.2</v>
      </c>
      <c r="FD78" s="12">
        <f t="array" ref="FD78">INDEX(FC:FC,MIN(IF(ISNUMBER(FC78:FC274),ROW(FC78:FC274),"")))</f>
        <v>4.2</v>
      </c>
      <c r="FE78" s="12">
        <f>IF('Données projet'!$A$218&gt;35,FE77+FD78-FM77,IF(A78&lt;'Données projet'!$A$218,$FB$205^A78,IF(A78='Données projet'!$A$218,'Données projet'!$B$218,FE77+FD78-FM77)))</f>
        <v>323.99999999999989</v>
      </c>
      <c r="FF78" s="17">
        <f>FE78*VLOOKUP('Données projet'!$B$16,Paramètres!$A$1:$I$89,3,0)*VLOOKUP('Données projet'!$B$16,Paramètres!$A$1:$I$89,5,0)</f>
        <v>212.28479999999993</v>
      </c>
      <c r="FG78" s="13">
        <f t="shared" si="101"/>
        <v>52.434557099704143</v>
      </c>
      <c r="FH78" s="20">
        <f t="shared" si="76"/>
        <v>461.05288028198464</v>
      </c>
      <c r="FI78" s="59">
        <f t="shared" si="77"/>
        <v>744.02407918924428</v>
      </c>
      <c r="FJ78" s="59">
        <f ca="1">AVERAGE(OFFSET($FI$3,0,0,'Données projet'!$E$16+1,1))-AVERAGE(OFFSET($H$3,0,0,'Données projet'!$E$16+1,1))</f>
        <v>307.50573770128085</v>
      </c>
      <c r="FK78" s="59">
        <f t="shared" si="102"/>
        <v>300.2007312562655</v>
      </c>
      <c r="FL78" s="15">
        <f>IF(ISNA(VLOOKUP(A78,'Données projet'!$A$217:$I$237,3,0)),0,VLOOKUP(A78,'Données projet'!$A$217:$I$237,3,0))</f>
        <v>14</v>
      </c>
      <c r="FM78" s="15">
        <f>IF(ISNA(VLOOKUP(A78,'Données projet'!$A$217:$I$237,4,0)),0,VLOOKUP(A78,'Données projet'!$A$217:$I$237,4,0))</f>
        <v>12</v>
      </c>
      <c r="FN78" s="16">
        <f>IF(ISNA(VLOOKUP(A78,'Données projet'!$A$217:$I$237,5,0)),0%,VLOOKUP(A78,'Données projet'!$A$217:$I$237,5,0)*VLOOKUP('Données projet'!$B$16,Paramètres!$A$1:$I$89,7,0))</f>
        <v>0.25800000000000001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16.071906573587505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16.071906573587505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67.173963338343555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>
        <f>VLOOKUP(A78,'Données projet'!$A$243:$I$263,2,0)</f>
        <v>324</v>
      </c>
      <c r="FX78" s="12">
        <f>VLOOKUP(A78,'Données projet'!$A$243:$I$263,9,0)</f>
        <v>4.2</v>
      </c>
      <c r="FY78" s="12">
        <f t="array" ref="FY78">INDEX(FX:FX,MIN(IF(ISNUMBER(FX78:FX274),ROW(FX78:FX274),"")))</f>
        <v>4.2</v>
      </c>
      <c r="FZ78" s="12">
        <f>IF('Données projet'!$A$244&gt;35,FZ77+FY78-GH77,IF(A78&lt;'Données projet'!$A$244,$FW$205^A78,IF(A78='Données projet'!$A$244,'Données projet'!$B$244,FZ77+FY78-GH77)))</f>
        <v>323.99999999999989</v>
      </c>
      <c r="GA78" s="17">
        <f>FZ78*VLOOKUP('Données projet'!$B$17,Paramètres!$A$1:$I$89,3,0)*VLOOKUP('Données projet'!$B$17,Paramètres!$A$1:$I$89,5,0)</f>
        <v>262.82879999999989</v>
      </c>
      <c r="GB78" s="13">
        <f t="shared" si="103"/>
        <v>63.324983518559428</v>
      </c>
      <c r="GC78" s="20">
        <f t="shared" si="79"/>
        <v>568.05117296149081</v>
      </c>
      <c r="GD78" s="59">
        <f t="shared" si="80"/>
        <v>851.0223718687505</v>
      </c>
      <c r="GE78" s="59">
        <f ca="1">AVERAGE(OFFSET($GD$3,0,0,'Données projet'!$E$17+1,1))-AVERAGE(OFFSET($H$3,0,0,'Données projet'!$E$17+1,1))</f>
        <v>369.60865427618342</v>
      </c>
      <c r="GF78" s="59">
        <f t="shared" si="104"/>
        <v>359.40898775279197</v>
      </c>
      <c r="GG78" s="15">
        <f>IF(ISNA(VLOOKUP(A78,'Données projet'!$A$243:$I$263,3,0)),0,VLOOKUP(A78,'Données projet'!$A$243:$I$263,3,0))</f>
        <v>14</v>
      </c>
      <c r="GH78" s="15">
        <f>IF(ISNA(VLOOKUP(A78,'Données projet'!$A$243:$I$263,4,0)),0,VLOOKUP(A78,'Données projet'!$A$243:$I$263,4,0))</f>
        <v>12</v>
      </c>
      <c r="GI78" s="16">
        <f>IF(ISNA(VLOOKUP(A78,'Données projet'!$A$243:$I$263,5,0)),0%,VLOOKUP(A78,'Données projet'!$A$243:$I$263,5,0)*VLOOKUP('Données projet'!$B$17,Paramètres!$A$1:$I$89,7,0))</f>
        <v>0.25800000000000001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19.898550995870242</v>
      </c>
      <c r="GM78" s="21">
        <f>EXP(-LN(2)/25)*GM77+(1-EXP(-LN(2)/25))/(LN(2)/25)*Calculateur!GH78*Calculateur!GJ78*VLOOKUP('Données projet'!$B$17,Paramètres!$A$1:$I$89,3,0)*0.475*44/12</f>
        <v>0</v>
      </c>
      <c r="GN78" s="21">
        <f>EXP(-LN(2)/2)*GN77+(1-EXP(-LN(2)/2))/(LN(2)/2)*GH78*GK78*VLOOKUP('Données projet'!$B$17,Paramètres!$A$1:$I$89,3,0)*0.475*44/12</f>
        <v>0</v>
      </c>
      <c r="GO78" s="21">
        <f t="shared" si="81"/>
        <v>19.898550995870242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67.173963338343555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>
        <f>VLOOKUP(A78,'Données projet'!$A$269:$I$289,2,0)</f>
        <v>270</v>
      </c>
      <c r="GS78" s="12">
        <f>VLOOKUP(A78,'Données projet'!$A$269:$I$289,9,0)</f>
        <v>3.4</v>
      </c>
      <c r="GT78" s="12">
        <f t="array" ref="GT78">INDEX(GS:GS,MIN(IF(ISNUMBER(GS78:GS274),ROW(GS78:GS274),"")))</f>
        <v>3.4</v>
      </c>
      <c r="GU78" s="12">
        <f>IF('Données projet'!$A$270&gt;35,GU77+GT78-HC77,IF(A78&lt;'Données projet'!$A$270,$GR$205^A78,IF(A78='Données projet'!$A$270,'Données projet'!$B$270,GU77+GT78-HC77)))</f>
        <v>269.99999999999977</v>
      </c>
      <c r="GV78" s="17">
        <f>GU78*VLOOKUP('Données projet'!$B$18,Paramètres!$A$1:$I$89,3,0)*VLOOKUP('Données projet'!$B$18,Paramètres!$A$1:$I$89,5,0)</f>
        <v>176.90399999999985</v>
      </c>
      <c r="GW78" s="13">
        <f t="shared" si="105"/>
        <v>44.632689233663115</v>
      </c>
      <c r="GX78" s="20">
        <f t="shared" si="82"/>
        <v>385.843067081963</v>
      </c>
      <c r="GY78" s="59">
        <f t="shared" si="83"/>
        <v>668.81426598922269</v>
      </c>
      <c r="GZ78" s="59">
        <f ca="1">AVERAGE(OFFSET($GY$3,0,0,'Données projet'!$E$18+1,1))-AVERAGE(OFFSET($H$3,0,0,'Données projet'!$E$18+1,1))</f>
        <v>262.62914256200031</v>
      </c>
      <c r="HA78" s="59">
        <f t="shared" si="106"/>
        <v>256.45129229594409</v>
      </c>
      <c r="HB78" s="15">
        <f>IF(ISNA(VLOOKUP(A78,'Données projet'!$A$269:$I$289,3,0)),0,VLOOKUP(A78,'Données projet'!$A$269:$I$289,3,0))</f>
        <v>13</v>
      </c>
      <c r="HC78" s="15">
        <f>IF(ISNA(VLOOKUP(A78,'Données projet'!$A$269:$I$289,4,0)),0,VLOOKUP(A78,'Données projet'!$A$269:$I$289,4,0))</f>
        <v>9</v>
      </c>
      <c r="HD78" s="16">
        <f>IF(ISNA(VLOOKUP(A78,'Données projet'!$A$269:$I$289,5,0)),0%,VLOOKUP(A78,'Données projet'!$A$269:$I$289,5,0)*VLOOKUP('Données projet'!$B$18,Paramètres!$A$1:$I$89,7,0))</f>
        <v>0.25800000000000001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>
        <f>EXP(-LN(2)/35)*HG77+(1-EXP(-LN(2)/35))/(LN(2)/35)*HC78*HD78*VLOOKUP('Données projet'!$B$18,Paramètres!$A$1:$I$89,3,0)*0.475*44/12</f>
        <v>11.178322824657837</v>
      </c>
      <c r="HH78" s="21">
        <f>EXP(-LN(2)/25)*HH77+(1-EXP(-LN(2)/25))/(LN(2)/25)*Calculateur!HC78*Calculateur!HE78*VLOOKUP('Données projet'!$B$18,Paramètres!$A$1:$I$89,3,0)*0.475*44/12</f>
        <v>0</v>
      </c>
      <c r="HI78" s="21">
        <f>EXP(-LN(2)/2)*HI77+(1-EXP(-LN(2)/2))/(LN(2)/2)*HC78*HF78*VLOOKUP('Données projet'!$B$18,Paramètres!$A$1:$I$89,3,0)*0.475*44/12</f>
        <v>0</v>
      </c>
      <c r="HJ78" s="22">
        <f t="shared" si="84"/>
        <v>11.178322824657837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2.1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7.7</v>
      </c>
      <c r="H79" s="67">
        <f t="shared" si="56"/>
        <v>225.86666666666665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67.222988756351839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8.8000000000000007</v>
      </c>
      <c r="N79" s="13">
        <f>IF('Données projet'!$A$36&gt;35,N78+M79-V78,IF(A79&lt;'Données projet'!$A$36,$K$205^A79,IF(A79='Données projet'!$A$36,'Données projet'!$B$36,N78+M79-V78)))</f>
        <v>315.7999999999999</v>
      </c>
      <c r="O79" s="13">
        <f>N79*VLOOKUP('Données projet'!$B$9,Paramètres!$A$1:$I$89,3,0)*VLOOKUP('Données projet'!$B$9,Paramètres!$A$1:$I$89,5,0)</f>
        <v>270.95639999999997</v>
      </c>
      <c r="P79" s="13">
        <f t="shared" si="87"/>
        <v>65.052199716598778</v>
      </c>
      <c r="Q79" s="20">
        <f t="shared" si="54"/>
        <v>585.2149778397428</v>
      </c>
      <c r="R79" s="59">
        <f t="shared" si="55"/>
        <v>868.36593661303289</v>
      </c>
      <c r="S79" s="59">
        <f ca="1">AVERAGE(OFFSET($R$3,0,0,'Données projet'!$E$9+1,1))-AVERAGE(OFFSET($H$3,0,0,'Données projet'!$E$9+1,1))</f>
        <v>476.79071915271794</v>
      </c>
      <c r="T79" s="59">
        <f t="shared" si="88"/>
        <v>264.79929759351762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25.495066161799556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25.495066161799556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67.222988756351839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</v>
      </c>
      <c r="AI79" s="13">
        <f>IF('Données projet'!$A$62&gt;35,AI78+AH79-AQ78,IF(A79&lt;'Données projet'!$A$62,$AF$205^A79,IF(A79='Données projet'!$A$62,'Données projet'!$B$62,AI78+AH79-AQ78)))</f>
        <v>236.99999999999994</v>
      </c>
      <c r="AJ79" s="13">
        <f>AI79*VLOOKUP('Données projet'!$B$10,Paramètres!$A$1:$I$89,3,0)*VLOOKUP('Données projet'!$B$10,Paramètres!$A$1:$I$89,5,0)</f>
        <v>199.64879999999997</v>
      </c>
      <c r="AK79" s="13">
        <f t="shared" si="89"/>
        <v>49.666976701936271</v>
      </c>
      <c r="AL79" s="20">
        <f t="shared" si="58"/>
        <v>434.22497775587226</v>
      </c>
      <c r="AM79" s="59">
        <f t="shared" si="59"/>
        <v>717.37593652916235</v>
      </c>
      <c r="AN79" s="59">
        <f ca="1">AVERAGE(OFFSET($AM$3,0,0,'Données projet'!$E$10+1,1))-AVERAGE(OFFSET($H$3,0,0,'Données projet'!$E$10+1,1))</f>
        <v>365.104658862176</v>
      </c>
      <c r="AO79" s="59">
        <f t="shared" si="90"/>
        <v>226.29232910286325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17.917615268156872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17.917615268156872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67.222988756351839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6</v>
      </c>
      <c r="BD79" s="12">
        <f>IF('Données projet'!$A$88&gt;35,BD78+BC79-BL78,IF(A79&lt;'Données projet'!$A$88,$BA$205^A79,IF(A79='Données projet'!$A$88,'Données projet'!$B$88,BD78+BC79-BL78)))</f>
        <v>236.99999999999994</v>
      </c>
      <c r="BE79" s="13">
        <f>BD79*VLOOKUP('Données projet'!$B$11,Paramètres!$A$1:$I$89,3,0)*VLOOKUP('Données projet'!$B$11,Paramètres!$A$1:$I$89,5,0)</f>
        <v>214.43759999999992</v>
      </c>
      <c r="BF79" s="13">
        <f t="shared" si="91"/>
        <v>52.904129603372375</v>
      </c>
      <c r="BG79" s="20">
        <f t="shared" si="61"/>
        <v>465.62017905920675</v>
      </c>
      <c r="BH79" s="59">
        <f t="shared" si="62"/>
        <v>748.77113783249683</v>
      </c>
      <c r="BI79" s="59">
        <f ca="1">AVERAGE(OFFSET($BH$3,0,0,'Données projet'!$E$11+1,1))-AVERAGE(OFFSET($H$3,0,0,'Données projet'!$E$11+1,1))</f>
        <v>388.12494342575195</v>
      </c>
      <c r="BJ79" s="59">
        <f t="shared" si="92"/>
        <v>239.39471445648454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19.244846028761081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19.244846028761081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67.222988756351839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6</v>
      </c>
      <c r="BY79" s="12">
        <f>IF('Données projet'!$A$114&gt;35,BY78+BX79-CG78,IF(A79&lt;'Données projet'!$A$114,$BV$205^A79,IF(A79='Données projet'!$A$114,'Données projet'!$B$114,BY78+BX79-CG78)))</f>
        <v>236.99999999999994</v>
      </c>
      <c r="BZ79" s="13">
        <f>BY79*VLOOKUP('Données projet'!$B$12,Paramètres!$A$1:$I$89,3,0)*VLOOKUP('Données projet'!$B$12,Paramètres!$A$1:$I$89,5,0)</f>
        <v>240.31799999999993</v>
      </c>
      <c r="CA79" s="13">
        <f t="shared" si="93"/>
        <v>58.507944457766534</v>
      </c>
      <c r="CB79" s="20">
        <f t="shared" si="64"/>
        <v>520.45518659727657</v>
      </c>
      <c r="CC79" s="59">
        <f t="shared" si="65"/>
        <v>803.60614537056665</v>
      </c>
      <c r="CD79" s="59">
        <f ca="1">AVERAGE(OFFSET($CC$3,0,0,'Données projet'!$E$12+1,1))-AVERAGE(OFFSET($H$3,0,0,'Données projet'!$E$12+1,1))</f>
        <v>428.33148932885132</v>
      </c>
      <c r="CE79" s="59">
        <f t="shared" si="94"/>
        <v>262.27548054534373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21.567499859818454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21.567499859818454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67.222988756351839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4.5999999999999996</v>
      </c>
      <c r="CT79" s="12">
        <f>IF('Données projet'!$A$140&gt;35,CT78+CS79-DB78,IF(A79&lt;'Données projet'!$A$140,$CQ$205^A79,IF(A79='Données projet'!$A$140,'Données projet'!$B$140,CT78+CS79-DB78)))</f>
        <v>173.6</v>
      </c>
      <c r="CU79" s="17">
        <f>CT79*VLOOKUP('Données projet'!$B$13,Paramètres!$A$1:$I$89,3,0)*VLOOKUP('Données projet'!$B$13,Paramètres!$A$1:$I$89,5,0)</f>
        <v>165.19776000000002</v>
      </c>
      <c r="CV79" s="13">
        <f t="shared" si="95"/>
        <v>42.012694447196324</v>
      </c>
      <c r="CW79" s="20">
        <f t="shared" si="67"/>
        <v>360.8915414955336</v>
      </c>
      <c r="CX79" s="59">
        <f t="shared" si="68"/>
        <v>644.04250026882369</v>
      </c>
      <c r="CY79" s="59">
        <f ca="1">AVERAGE(OFFSET($CX$3,0,0,'Données projet'!$E$13+1,1))-AVERAGE(OFFSET($H$3,0,0,'Données projet'!$E$13+1,1))</f>
        <v>307.62549820830162</v>
      </c>
      <c r="CZ79" s="59">
        <f t="shared" si="96"/>
        <v>160.26466014910304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12.091458231865898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12.091458231865898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67.222988756351839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2.8</v>
      </c>
      <c r="DO79" s="12">
        <f>IF('Données projet'!$A$166&gt;35,DO78+DN79-DW78,IF(A79&lt;'Données projet'!$A$166,$DL$205^A79,IF(A79='Données projet'!$A$166,'Données projet'!$B$166,DO78+DN79-DW78)))</f>
        <v>263.79999999999978</v>
      </c>
      <c r="DP79" s="17">
        <f>DO79*VLOOKUP('Données projet'!$B$14,Paramètres!$A$1:$I$89,3,0)*VLOOKUP('Données projet'!$B$14,Paramètres!$A$1:$I$89,5,0)</f>
        <v>209.87927999999985</v>
      </c>
      <c r="DQ79" s="13">
        <f t="shared" si="97"/>
        <v>51.909204458241767</v>
      </c>
      <c r="DR79" s="20">
        <f t="shared" si="70"/>
        <v>455.94827709810414</v>
      </c>
      <c r="DS79" s="59">
        <f t="shared" si="71"/>
        <v>739.09923587139428</v>
      </c>
      <c r="DT79" s="59">
        <f ca="1">AVERAGE(OFFSET($DS$3,0,0,'Données projet'!$E$14+1,1))-AVERAGE(OFFSET($H$3,0,0,'Données projet'!$E$14+1,1))</f>
        <v>309.14579005132464</v>
      </c>
      <c r="DU79" s="59">
        <f t="shared" si="98"/>
        <v>300.60311050289533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16.402275052633165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16.402275052633165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67.222988756351839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3.6</v>
      </c>
      <c r="EJ79" s="12">
        <f>IF('Données projet'!$A$192&gt;35,EJ78+EI79-ER78,IF(A79&lt;'Données projet'!$A$192,$EG$205^A79,IF(A79='Données projet'!$A$192,'Données projet'!$B$192,EJ78+EI79-ER78)))</f>
        <v>315.59999999999991</v>
      </c>
      <c r="EK79" s="17">
        <f>EJ79*VLOOKUP('Données projet'!$B$15,Paramètres!$A$1:$I$89,3,0)*VLOOKUP('Données projet'!$B$15,Paramètres!$A$1:$I$89,5,0)</f>
        <v>231.39791999999991</v>
      </c>
      <c r="EL79" s="13">
        <f t="shared" si="99"/>
        <v>56.584837838715806</v>
      </c>
      <c r="EM79" s="20">
        <f t="shared" si="73"/>
        <v>501.56996990242982</v>
      </c>
      <c r="EN79" s="59">
        <f t="shared" si="74"/>
        <v>784.72092867571996</v>
      </c>
      <c r="EO79" s="59">
        <f ca="1">AVERAGE(OFFSET($EN$3,0,0,'Données projet'!$E$15+1,1))-AVERAGE(OFFSET($H$3,0,0,'Données projet'!$E$15+1,1))</f>
        <v>338.59243085476896</v>
      </c>
      <c r="EP79" s="59">
        <f t="shared" si="100"/>
        <v>329.8393445823275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17.632549418166715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17.632549418166715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67.222988756351839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3.6</v>
      </c>
      <c r="FE79" s="12">
        <f>IF('Données projet'!$A$218&gt;35,FE78+FD79-FM78,IF(A79&lt;'Données projet'!$A$218,$FB$205^A79,IF(A79='Données projet'!$A$218,'Données projet'!$B$218,FE78+FD79-FM78)))</f>
        <v>315.59999999999991</v>
      </c>
      <c r="FF79" s="17">
        <f>FE79*VLOOKUP('Données projet'!$B$16,Paramètres!$A$1:$I$89,3,0)*VLOOKUP('Données projet'!$B$16,Paramètres!$A$1:$I$89,5,0)</f>
        <v>206.78111999999996</v>
      </c>
      <c r="FG79" s="13">
        <f t="shared" si="101"/>
        <v>51.231548322431642</v>
      </c>
      <c r="FH79" s="20">
        <f t="shared" si="76"/>
        <v>449.37206399490168</v>
      </c>
      <c r="FI79" s="59">
        <f t="shared" si="77"/>
        <v>732.52302276819182</v>
      </c>
      <c r="FJ79" s="59">
        <f ca="1">AVERAGE(OFFSET($FI$3,0,0,'Données projet'!$E$16+1,1))-AVERAGE(OFFSET($H$3,0,0,'Données projet'!$E$16+1,1))</f>
        <v>307.50573770128085</v>
      </c>
      <c r="FK79" s="59">
        <f t="shared" si="102"/>
        <v>300.2007312562655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15.756746288574508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15.756746288574508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67.222988756351839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3.6</v>
      </c>
      <c r="FZ79" s="12">
        <f>IF('Données projet'!$A$244&gt;35,FZ78+FY79-GH78,IF(A79&lt;'Données projet'!$A$244,$FW$205^A79,IF(A79='Données projet'!$A$244,'Données projet'!$B$244,FZ78+FY79-GH78)))</f>
        <v>315.59999999999991</v>
      </c>
      <c r="GA79" s="17">
        <f>FZ79*VLOOKUP('Données projet'!$B$17,Paramètres!$A$1:$I$89,3,0)*VLOOKUP('Données projet'!$B$17,Paramètres!$A$1:$I$89,5,0)</f>
        <v>256.01471999999995</v>
      </c>
      <c r="GB79" s="13">
        <f t="shared" si="103"/>
        <v>61.872115120174627</v>
      </c>
      <c r="GC79" s="20">
        <f t="shared" si="79"/>
        <v>553.65290450097075</v>
      </c>
      <c r="GD79" s="59">
        <f t="shared" si="80"/>
        <v>836.80386327426083</v>
      </c>
      <c r="GE79" s="59">
        <f ca="1">AVERAGE(OFFSET($GD$3,0,0,'Données projet'!$E$17+1,1))-AVERAGE(OFFSET($H$3,0,0,'Données projet'!$E$17+1,1))</f>
        <v>369.60865427618342</v>
      </c>
      <c r="GF79" s="59">
        <f t="shared" si="104"/>
        <v>359.40898775279197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19.508352547758914</v>
      </c>
      <c r="GM79" s="21">
        <f>EXP(-LN(2)/25)*GM78+(1-EXP(-LN(2)/25))/(LN(2)/25)*Calculateur!GH79*Calculateur!GJ79*VLOOKUP('Données projet'!$B$17,Paramètres!$A$1:$I$89,3,0)*0.475*44/12</f>
        <v>0</v>
      </c>
      <c r="GN79" s="21">
        <f>EXP(-LN(2)/2)*GN78+(1-EXP(-LN(2)/2))/(LN(2)/2)*GH79*GK79*VLOOKUP('Données projet'!$B$17,Paramètres!$A$1:$I$89,3,0)*0.475*44/12</f>
        <v>0</v>
      </c>
      <c r="GO79" s="21">
        <f t="shared" si="81"/>
        <v>19.508352547758914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67.222988756351839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2.8</v>
      </c>
      <c r="GU79" s="12">
        <f>IF('Données projet'!$A$270&gt;35,GU78+GT79-HC78,IF(A79&lt;'Données projet'!$A$270,$GR$205^A79,IF(A79='Données projet'!$A$270,'Données projet'!$B$270,GU78+GT79-HC78)))</f>
        <v>263.79999999999978</v>
      </c>
      <c r="GV79" s="17">
        <f>GU79*VLOOKUP('Données projet'!$B$18,Paramètres!$A$1:$I$89,3,0)*VLOOKUP('Données projet'!$B$18,Paramètres!$A$1:$I$89,5,0)</f>
        <v>172.84175999999985</v>
      </c>
      <c r="GW79" s="13">
        <f t="shared" si="105"/>
        <v>43.725867908425457</v>
      </c>
      <c r="GX79" s="20">
        <f t="shared" si="82"/>
        <v>377.18861860717408</v>
      </c>
      <c r="GY79" s="59">
        <f t="shared" si="83"/>
        <v>660.33957738046411</v>
      </c>
      <c r="GZ79" s="59">
        <f ca="1">AVERAGE(OFFSET($GY$3,0,0,'Données projet'!$E$18+1,1))-AVERAGE(OFFSET($H$3,0,0,'Données projet'!$E$18+1,1))</f>
        <v>262.62914256200031</v>
      </c>
      <c r="HA79" s="59">
        <f t="shared" si="106"/>
        <v>256.45129229594409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projet'!$B$18,Paramètres!$A$1:$I$89,3,0)*0.475*44/12</f>
        <v>10.959122732169988</v>
      </c>
      <c r="HH79" s="21">
        <f>EXP(-LN(2)/25)*HH78+(1-EXP(-LN(2)/25))/(LN(2)/25)*Calculateur!HC79*Calculateur!HE79*VLOOKUP('Données projet'!$B$18,Paramètres!$A$1:$I$89,3,0)*0.475*44/12</f>
        <v>0</v>
      </c>
      <c r="HI79" s="21">
        <f>EXP(-LN(2)/2)*HI78+(1-EXP(-LN(2)/2))/(LN(2)/2)*HC79*HF79*VLOOKUP('Données projet'!$B$18,Paramètres!$A$1:$I$89,3,0)*0.475*44/12</f>
        <v>0</v>
      </c>
      <c r="HJ79" s="22">
        <f t="shared" si="84"/>
        <v>10.959122732169988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2.1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7.7</v>
      </c>
      <c r="H80" s="67">
        <f t="shared" si="56"/>
        <v>225.86666666666665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67.271163692962091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8.8000000000000007</v>
      </c>
      <c r="N80" s="13">
        <f>IF('Données projet'!$A$36&gt;35,N79+M80-V79,IF(A80&lt;'Données projet'!$A$36,$K$205^A80,IF(A80='Données projet'!$A$36,'Données projet'!$B$36,N79+M80-V79)))</f>
        <v>324.59999999999991</v>
      </c>
      <c r="O80" s="13">
        <f>N80*VLOOKUP('Données projet'!$B$9,Paramètres!$A$1:$I$89,3,0)*VLOOKUP('Données projet'!$B$9,Paramètres!$A$1:$I$89,5,0)</f>
        <v>278.50679999999994</v>
      </c>
      <c r="P80" s="13">
        <f t="shared" si="87"/>
        <v>66.651354661909949</v>
      </c>
      <c r="Q80" s="20">
        <f t="shared" si="54"/>
        <v>601.15045270282633</v>
      </c>
      <c r="R80" s="59">
        <f t="shared" si="55"/>
        <v>884.47805291035399</v>
      </c>
      <c r="S80" s="59">
        <f ca="1">AVERAGE(OFFSET($R$3,0,0,'Données projet'!$E$9+1,1))-AVERAGE(OFFSET($H$3,0,0,'Données projet'!$E$9+1,1))</f>
        <v>476.79071915271794</v>
      </c>
      <c r="T80" s="59">
        <f t="shared" si="88"/>
        <v>264.79929759351762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24.995123464821546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24.995123464821546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67.271163692962091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</v>
      </c>
      <c r="AI80" s="13">
        <f>IF('Données projet'!$A$62&gt;35,AI79+AH80-AQ79,IF(A80&lt;'Données projet'!$A$62,$AF$205^A80,IF(A80='Données projet'!$A$62,'Données projet'!$B$62,AI79+AH80-AQ79)))</f>
        <v>242.99999999999994</v>
      </c>
      <c r="AJ80" s="13">
        <f>AI80*VLOOKUP('Données projet'!$B$10,Paramètres!$A$1:$I$89,3,0)*VLOOKUP('Données projet'!$B$10,Paramètres!$A$1:$I$89,5,0)</f>
        <v>204.70319999999995</v>
      </c>
      <c r="AK80" s="13">
        <f t="shared" si="89"/>
        <v>50.776386315598728</v>
      </c>
      <c r="AL80" s="20">
        <f t="shared" si="58"/>
        <v>444.96027949966771</v>
      </c>
      <c r="AM80" s="59">
        <f t="shared" si="59"/>
        <v>728.28787970719532</v>
      </c>
      <c r="AN80" s="59">
        <f ca="1">AVERAGE(OFFSET($AM$3,0,0,'Données projet'!$E$10+1,1))-AVERAGE(OFFSET($H$3,0,0,'Données projet'!$E$10+1,1))</f>
        <v>365.104658862176</v>
      </c>
      <c r="AO80" s="59">
        <f t="shared" si="90"/>
        <v>226.29232910286325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17.566261761414513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17.566261761414513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67.271163692962091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6</v>
      </c>
      <c r="BD80" s="12">
        <f>IF('Données projet'!$A$88&gt;35,BD79+BC80-BL79,IF(A80&lt;'Données projet'!$A$88,$BA$205^A80,IF(A80='Données projet'!$A$88,'Données projet'!$B$88,BD79+BC80-BL79)))</f>
        <v>242.99999999999994</v>
      </c>
      <c r="BE80" s="13">
        <f>BD80*VLOOKUP('Données projet'!$B$11,Paramètres!$A$1:$I$89,3,0)*VLOOKUP('Données projet'!$B$11,Paramètres!$A$1:$I$89,5,0)</f>
        <v>219.86639999999997</v>
      </c>
      <c r="BF80" s="13">
        <f t="shared" si="91"/>
        <v>54.085847394182416</v>
      </c>
      <c r="BG80" s="20">
        <f t="shared" si="61"/>
        <v>477.13349754486762</v>
      </c>
      <c r="BH80" s="59">
        <f t="shared" si="62"/>
        <v>760.46109775239529</v>
      </c>
      <c r="BI80" s="59">
        <f ca="1">AVERAGE(OFFSET($BH$3,0,0,'Données projet'!$E$11+1,1))-AVERAGE(OFFSET($H$3,0,0,'Données projet'!$E$11+1,1))</f>
        <v>388.12494342575195</v>
      </c>
      <c r="BJ80" s="59">
        <f t="shared" si="92"/>
        <v>239.39471445648454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18.867466336334104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18.867466336334104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67.271163692962091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6</v>
      </c>
      <c r="BY80" s="12">
        <f>IF('Données projet'!$A$114&gt;35,BY79+BX80-CG79,IF(A80&lt;'Données projet'!$A$114,$BV$205^A80,IF(A80='Données projet'!$A$114,'Données projet'!$B$114,BY79+BX80-CG79)))</f>
        <v>242.99999999999994</v>
      </c>
      <c r="BZ80" s="13">
        <f>BY80*VLOOKUP('Données projet'!$B$12,Paramètres!$A$1:$I$89,3,0)*VLOOKUP('Données projet'!$B$12,Paramètres!$A$1:$I$89,5,0)</f>
        <v>246.40199999999996</v>
      </c>
      <c r="CA80" s="13">
        <f t="shared" si="93"/>
        <v>59.814834475385474</v>
      </c>
      <c r="CB80" s="20">
        <f t="shared" si="64"/>
        <v>533.32765337796297</v>
      </c>
      <c r="CC80" s="59">
        <f t="shared" si="65"/>
        <v>816.65525358549064</v>
      </c>
      <c r="CD80" s="59">
        <f ca="1">AVERAGE(OFFSET($CC$3,0,0,'Données projet'!$E$12+1,1))-AVERAGE(OFFSET($H$3,0,0,'Données projet'!$E$12+1,1))</f>
        <v>428.33148932885132</v>
      </c>
      <c r="CE80" s="59">
        <f t="shared" si="94"/>
        <v>262.27548054534373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21.144574342443391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21.144574342443391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67.271163692962091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4.5999999999999996</v>
      </c>
      <c r="CT80" s="12">
        <f>IF('Données projet'!$A$140&gt;35,CT79+CS80-DB79,IF(A80&lt;'Données projet'!$A$140,$CQ$205^A80,IF(A80='Données projet'!$A$140,'Données projet'!$B$140,CT79+CS80-DB79)))</f>
        <v>178.2</v>
      </c>
      <c r="CU80" s="17">
        <f>CT80*VLOOKUP('Données projet'!$B$13,Paramètres!$A$1:$I$89,3,0)*VLOOKUP('Données projet'!$B$13,Paramètres!$A$1:$I$89,5,0)</f>
        <v>169.57511999999997</v>
      </c>
      <c r="CV80" s="13">
        <f t="shared" si="95"/>
        <v>42.994850744606339</v>
      </c>
      <c r="CW80" s="20">
        <f t="shared" si="67"/>
        <v>370.22603238018934</v>
      </c>
      <c r="CX80" s="59">
        <f t="shared" si="68"/>
        <v>653.55363258771695</v>
      </c>
      <c r="CY80" s="59">
        <f ca="1">AVERAGE(OFFSET($CX$3,0,0,'Données projet'!$E$13+1,1))-AVERAGE(OFFSET($H$3,0,0,'Données projet'!$E$13+1,1))</f>
        <v>307.62549820830162</v>
      </c>
      <c r="CZ80" s="59">
        <f t="shared" si="96"/>
        <v>160.26466014910304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11.854352111000303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11.854352111000303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67.271163692962091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2.8</v>
      </c>
      <c r="DO80" s="12">
        <f>IF('Données projet'!$A$166&gt;35,DO79+DN80-DW79,IF(A80&lt;'Données projet'!$A$166,$DL$205^A80,IF(A80='Données projet'!$A$166,'Données projet'!$B$166,DO79+DN80-DW79)))</f>
        <v>266.5999999999998</v>
      </c>
      <c r="DP80" s="17">
        <f>DO80*VLOOKUP('Données projet'!$B$14,Paramètres!$A$1:$I$89,3,0)*VLOOKUP('Données projet'!$B$14,Paramètres!$A$1:$I$89,5,0)</f>
        <v>212.10695999999984</v>
      </c>
      <c r="DQ80" s="13">
        <f t="shared" si="97"/>
        <v>52.395741612408194</v>
      </c>
      <c r="DR80" s="20">
        <f t="shared" si="70"/>
        <v>460.67553864161067</v>
      </c>
      <c r="DS80" s="59">
        <f t="shared" si="71"/>
        <v>744.0031388491384</v>
      </c>
      <c r="DT80" s="59">
        <f ca="1">AVERAGE(OFFSET($DS$3,0,0,'Données projet'!$E$14+1,1))-AVERAGE(OFFSET($H$3,0,0,'Données projet'!$E$14+1,1))</f>
        <v>309.14579005132464</v>
      </c>
      <c r="DU80" s="59">
        <f t="shared" si="98"/>
        <v>300.60311050289533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16.08063644325096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16.08063644325096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67.271163692962091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3.6</v>
      </c>
      <c r="EJ80" s="12">
        <f>IF('Données projet'!$A$192&gt;35,EJ79+EI80-ER79,IF(A80&lt;'Données projet'!$A$192,$EG$205^A80,IF(A80='Données projet'!$A$192,'Données projet'!$B$192,EJ79+EI80-ER79)))</f>
        <v>319.19999999999993</v>
      </c>
      <c r="EK80" s="17">
        <f>EJ80*VLOOKUP('Données projet'!$B$15,Paramètres!$A$1:$I$89,3,0)*VLOOKUP('Données projet'!$B$15,Paramètres!$A$1:$I$89,5,0)</f>
        <v>234.03743999999998</v>
      </c>
      <c r="EL80" s="13">
        <f t="shared" si="99"/>
        <v>57.154784339928739</v>
      </c>
      <c r="EM80" s="20">
        <f t="shared" si="73"/>
        <v>507.15979072537579</v>
      </c>
      <c r="EN80" s="59">
        <f t="shared" si="74"/>
        <v>790.48739093290351</v>
      </c>
      <c r="EO80" s="59">
        <f ca="1">AVERAGE(OFFSET($EN$3,0,0,'Données projet'!$E$15+1,1))-AVERAGE(OFFSET($H$3,0,0,'Données projet'!$E$15+1,1))</f>
        <v>338.59243085476896</v>
      </c>
      <c r="EP80" s="59">
        <f t="shared" si="100"/>
        <v>329.8393445823275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17.286785878869662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17.286785878869662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67.271163692962091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3.6</v>
      </c>
      <c r="FE80" s="12">
        <f>IF('Données projet'!$A$218&gt;35,FE79+FD80-FM79,IF(A80&lt;'Données projet'!$A$218,$FB$205^A80,IF(A80='Données projet'!$A$218,'Données projet'!$B$218,FE79+FD80-FM79)))</f>
        <v>319.19999999999993</v>
      </c>
      <c r="FF80" s="17">
        <f>FE80*VLOOKUP('Données projet'!$B$16,Paramètres!$A$1:$I$89,3,0)*VLOOKUP('Données projet'!$B$16,Paramètres!$A$1:$I$89,5,0)</f>
        <v>209.13983999999996</v>
      </c>
      <c r="FG80" s="13">
        <f t="shared" si="101"/>
        <v>51.747574219710266</v>
      </c>
      <c r="FH80" s="20">
        <f t="shared" si="76"/>
        <v>454.37891309932866</v>
      </c>
      <c r="FI80" s="59">
        <f t="shared" si="77"/>
        <v>737.70651330685632</v>
      </c>
      <c r="FJ80" s="59">
        <f ca="1">AVERAGE(OFFSET($FI$3,0,0,'Données projet'!$E$16+1,1))-AVERAGE(OFFSET($H$3,0,0,'Données projet'!$E$16+1,1))</f>
        <v>307.50573770128085</v>
      </c>
      <c r="FK80" s="59">
        <f t="shared" si="102"/>
        <v>300.2007312562655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15.447766104521824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15.447766104521824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67.271163692962091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3.6</v>
      </c>
      <c r="FZ80" s="12">
        <f>IF('Données projet'!$A$244&gt;35,FZ79+FY80-GH79,IF(A80&lt;'Données projet'!$A$244,$FW$205^A80,IF(A80='Données projet'!$A$244,'Données projet'!$B$244,FZ79+FY80-GH79)))</f>
        <v>319.19999999999993</v>
      </c>
      <c r="GA80" s="17">
        <f>FZ80*VLOOKUP('Données projet'!$B$17,Paramètres!$A$1:$I$89,3,0)*VLOOKUP('Données projet'!$B$17,Paramètres!$A$1:$I$89,5,0)</f>
        <v>258.93503999999996</v>
      </c>
      <c r="GB80" s="13">
        <f t="shared" si="103"/>
        <v>62.495317322077135</v>
      </c>
      <c r="GC80" s="20">
        <f t="shared" si="79"/>
        <v>559.8245390026176</v>
      </c>
      <c r="GD80" s="59">
        <f t="shared" si="80"/>
        <v>843.15213921014526</v>
      </c>
      <c r="GE80" s="59">
        <f ca="1">AVERAGE(OFFSET($GD$3,0,0,'Données projet'!$E$17+1,1))-AVERAGE(OFFSET($H$3,0,0,'Données projet'!$E$17+1,1))</f>
        <v>369.60865427618342</v>
      </c>
      <c r="GF80" s="59">
        <f t="shared" si="104"/>
        <v>359.40898775279197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19.125805653217494</v>
      </c>
      <c r="GM80" s="21">
        <f>EXP(-LN(2)/25)*GM79+(1-EXP(-LN(2)/25))/(LN(2)/25)*Calculateur!GH80*Calculateur!GJ80*VLOOKUP('Données projet'!$B$17,Paramètres!$A$1:$I$89,3,0)*0.475*44/12</f>
        <v>0</v>
      </c>
      <c r="GN80" s="21">
        <f>EXP(-LN(2)/2)*GN79+(1-EXP(-LN(2)/2))/(LN(2)/2)*GH80*GK80*VLOOKUP('Données projet'!$B$17,Paramètres!$A$1:$I$89,3,0)*0.475*44/12</f>
        <v>0</v>
      </c>
      <c r="GO80" s="21">
        <f t="shared" si="81"/>
        <v>19.125805653217494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67.271163692962091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2.8</v>
      </c>
      <c r="GU80" s="12">
        <f>IF('Données projet'!$A$270&gt;35,GU79+GT80-HC79,IF(A80&lt;'Données projet'!$A$270,$GR$205^A80,IF(A80='Données projet'!$A$270,'Données projet'!$B$270,GU79+GT80-HC79)))</f>
        <v>266.5999999999998</v>
      </c>
      <c r="GV80" s="17">
        <f>GU80*VLOOKUP('Données projet'!$B$18,Paramètres!$A$1:$I$89,3,0)*VLOOKUP('Données projet'!$B$18,Paramètres!$A$1:$I$89,5,0)</f>
        <v>174.67631999999986</v>
      </c>
      <c r="GW80" s="13">
        <f t="shared" si="105"/>
        <v>44.135703881788075</v>
      </c>
      <c r="GX80" s="20">
        <f t="shared" si="82"/>
        <v>381.09760826078065</v>
      </c>
      <c r="GY80" s="59">
        <f t="shared" si="83"/>
        <v>664.42520846830826</v>
      </c>
      <c r="GZ80" s="59">
        <f ca="1">AVERAGE(OFFSET($GY$3,0,0,'Données projet'!$E$18+1,1))-AVERAGE(OFFSET($H$3,0,0,'Données projet'!$E$18+1,1))</f>
        <v>262.62914256200031</v>
      </c>
      <c r="HA80" s="59">
        <f t="shared" si="106"/>
        <v>256.45129229594409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projet'!$B$18,Paramètres!$A$1:$I$89,3,0)*0.475*44/12</f>
        <v>10.744221019796971</v>
      </c>
      <c r="HH80" s="21">
        <f>EXP(-LN(2)/25)*HH79+(1-EXP(-LN(2)/25))/(LN(2)/25)*Calculateur!HC80*Calculateur!HE80*VLOOKUP('Données projet'!$B$18,Paramètres!$A$1:$I$89,3,0)*0.475*44/12</f>
        <v>0</v>
      </c>
      <c r="HI80" s="21">
        <f>EXP(-LN(2)/2)*HI79+(1-EXP(-LN(2)/2))/(LN(2)/2)*HC80*HF80*VLOOKUP('Données projet'!$B$18,Paramètres!$A$1:$I$89,3,0)*0.475*44/12</f>
        <v>0</v>
      </c>
      <c r="HJ80" s="22">
        <f t="shared" si="84"/>
        <v>10.744221019796971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2.1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7.7</v>
      </c>
      <c r="H81" s="67">
        <f t="shared" si="56"/>
        <v>225.86666666666665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67.318502902125175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8.8000000000000007</v>
      </c>
      <c r="N81" s="13">
        <f>IF('Données projet'!$A$36&gt;35,N80+M81-V80,IF(A81&lt;'Données projet'!$A$36,$K$205^A81,IF(A81='Données projet'!$A$36,'Données projet'!$B$36,N80+M81-V80)))</f>
        <v>333.39999999999992</v>
      </c>
      <c r="O81" s="13">
        <f>N81*VLOOKUP('Données projet'!$B$9,Paramètres!$A$1:$I$89,3,0)*VLOOKUP('Données projet'!$B$9,Paramètres!$A$1:$I$89,5,0)</f>
        <v>286.05719999999997</v>
      </c>
      <c r="P81" s="13">
        <f t="shared" si="87"/>
        <v>68.24547055517067</v>
      </c>
      <c r="Q81" s="20">
        <f t="shared" si="54"/>
        <v>617.07715121692206</v>
      </c>
      <c r="R81" s="59">
        <f t="shared" si="55"/>
        <v>900.57832852471438</v>
      </c>
      <c r="S81" s="59">
        <f ca="1">AVERAGE(OFFSET($R$3,0,0,'Données projet'!$E$9+1,1))-AVERAGE(OFFSET($H$3,0,0,'Données projet'!$E$9+1,1))</f>
        <v>476.79071915271794</v>
      </c>
      <c r="T81" s="59">
        <f t="shared" si="88"/>
        <v>264.79929759351762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24.504984339196341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24.504984339196341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67.318502902125175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</v>
      </c>
      <c r="AI81" s="13">
        <f>IF('Données projet'!$A$62&gt;35,AI80+AH81-AQ80,IF(A81&lt;'Données projet'!$A$62,$AF$205^A81,IF(A81='Données projet'!$A$62,'Données projet'!$B$62,AI80+AH81-AQ80)))</f>
        <v>248.99999999999994</v>
      </c>
      <c r="AJ81" s="13">
        <f>AI81*VLOOKUP('Données projet'!$B$10,Paramètres!$A$1:$I$89,3,0)*VLOOKUP('Données projet'!$B$10,Paramètres!$A$1:$I$89,5,0)</f>
        <v>209.75759999999997</v>
      </c>
      <c r="AK81" s="13">
        <f t="shared" si="89"/>
        <v>51.88261163954845</v>
      </c>
      <c r="AL81" s="20">
        <f t="shared" si="58"/>
        <v>455.69003527221344</v>
      </c>
      <c r="AM81" s="59">
        <f t="shared" si="59"/>
        <v>739.19121258000575</v>
      </c>
      <c r="AN81" s="59">
        <f ca="1">AVERAGE(OFFSET($AM$3,0,0,'Données projet'!$E$10+1,1))-AVERAGE(OFFSET($H$3,0,0,'Données projet'!$E$10+1,1))</f>
        <v>365.104658862176</v>
      </c>
      <c r="AO81" s="59">
        <f t="shared" si="90"/>
        <v>226.29232910286325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17.221798082634894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17.221798082634894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67.318502902125175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6</v>
      </c>
      <c r="BD81" s="12">
        <f>IF('Données projet'!$A$88&gt;35,BD80+BC81-BL80,IF(A81&lt;'Données projet'!$A$88,$BA$205^A81,IF(A81='Données projet'!$A$88,'Données projet'!$B$88,BD80+BC81-BL80)))</f>
        <v>248.99999999999994</v>
      </c>
      <c r="BE81" s="13">
        <f>BD81*VLOOKUP('Données projet'!$B$11,Paramètres!$A$1:$I$89,3,0)*VLOOKUP('Données projet'!$B$11,Paramètres!$A$1:$I$89,5,0)</f>
        <v>225.29519999999994</v>
      </c>
      <c r="BF81" s="13">
        <f t="shared" si="91"/>
        <v>55.264173352293078</v>
      </c>
      <c r="BG81" s="20">
        <f t="shared" si="61"/>
        <v>488.64090858857691</v>
      </c>
      <c r="BH81" s="59">
        <f t="shared" si="62"/>
        <v>772.14208589636928</v>
      </c>
      <c r="BI81" s="59">
        <f ca="1">AVERAGE(OFFSET($BH$3,0,0,'Données projet'!$E$11+1,1))-AVERAGE(OFFSET($H$3,0,0,'Données projet'!$E$11+1,1))</f>
        <v>388.12494342575195</v>
      </c>
      <c r="BJ81" s="59">
        <f t="shared" si="92"/>
        <v>239.39471445648454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18.497486829496737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18.497486829496737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67.318502902125175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6</v>
      </c>
      <c r="BY81" s="12">
        <f>IF('Données projet'!$A$114&gt;35,BY80+BX81-CG80,IF(A81&lt;'Données projet'!$A$114,$BV$205^A81,IF(A81='Données projet'!$A$114,'Données projet'!$B$114,BY80+BX81-CG80)))</f>
        <v>248.99999999999994</v>
      </c>
      <c r="BZ81" s="13">
        <f>BY81*VLOOKUP('Données projet'!$B$12,Paramètres!$A$1:$I$89,3,0)*VLOOKUP('Données projet'!$B$12,Paramètres!$A$1:$I$89,5,0)</f>
        <v>252.48599999999996</v>
      </c>
      <c r="CA81" s="13">
        <f t="shared" si="93"/>
        <v>61.117973383957384</v>
      </c>
      <c r="CB81" s="20">
        <f t="shared" si="64"/>
        <v>546.193586977059</v>
      </c>
      <c r="CC81" s="59">
        <f t="shared" si="65"/>
        <v>829.69476428485132</v>
      </c>
      <c r="CD81" s="59">
        <f ca="1">AVERAGE(OFFSET($CC$3,0,0,'Données projet'!$E$12+1,1))-AVERAGE(OFFSET($H$3,0,0,'Données projet'!$E$12+1,1))</f>
        <v>428.33148932885132</v>
      </c>
      <c r="CE81" s="59">
        <f t="shared" si="94"/>
        <v>262.27548054534373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20.72994213650496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20.72994213650496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67.318502902125175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4.5999999999999996</v>
      </c>
      <c r="CT81" s="12">
        <f>IF('Données projet'!$A$140&gt;35,CT80+CS81-DB80,IF(A81&lt;'Données projet'!$A$140,$CQ$205^A81,IF(A81='Données projet'!$A$140,'Données projet'!$B$140,CT80+CS81-DB80)))</f>
        <v>182.79999999999998</v>
      </c>
      <c r="CU81" s="17">
        <f>CT81*VLOOKUP('Données projet'!$B$13,Paramètres!$A$1:$I$89,3,0)*VLOOKUP('Données projet'!$B$13,Paramètres!$A$1:$I$89,5,0)</f>
        <v>173.95247999999998</v>
      </c>
      <c r="CV81" s="13">
        <f t="shared" si="95"/>
        <v>43.97406002672421</v>
      </c>
      <c r="CW81" s="20">
        <f t="shared" si="67"/>
        <v>379.55539054654463</v>
      </c>
      <c r="CX81" s="59">
        <f t="shared" si="68"/>
        <v>663.05656785433689</v>
      </c>
      <c r="CY81" s="59">
        <f ca="1">AVERAGE(OFFSET($CX$3,0,0,'Données projet'!$E$13+1,1))-AVERAGE(OFFSET($H$3,0,0,'Données projet'!$E$13+1,1))</f>
        <v>307.62549820830162</v>
      </c>
      <c r="CZ81" s="59">
        <f t="shared" si="96"/>
        <v>160.26466014910304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11.621895496544427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11.621895496544427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67.318502902125175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2.8</v>
      </c>
      <c r="DO81" s="12">
        <f>IF('Données projet'!$A$166&gt;35,DO80+DN81-DW80,IF(A81&lt;'Données projet'!$A$166,$DL$205^A81,IF(A81='Données projet'!$A$166,'Données projet'!$B$166,DO80+DN81-DW80)))</f>
        <v>269.39999999999981</v>
      </c>
      <c r="DP81" s="17">
        <f>DO81*VLOOKUP('Données projet'!$B$14,Paramètres!$A$1:$I$89,3,0)*VLOOKUP('Données projet'!$B$14,Paramètres!$A$1:$I$89,5,0)</f>
        <v>214.33463999999984</v>
      </c>
      <c r="DQ81" s="13">
        <f t="shared" si="97"/>
        <v>52.881684324030282</v>
      </c>
      <c r="DR81" s="20">
        <f t="shared" si="70"/>
        <v>465.40176486435234</v>
      </c>
      <c r="DS81" s="59">
        <f t="shared" si="71"/>
        <v>748.90294217214466</v>
      </c>
      <c r="DT81" s="59">
        <f ca="1">AVERAGE(OFFSET($DS$3,0,0,'Données projet'!$E$14+1,1))-AVERAGE(OFFSET($H$3,0,0,'Données projet'!$E$14+1,1))</f>
        <v>309.14579005132464</v>
      </c>
      <c r="DU81" s="59">
        <f t="shared" si="98"/>
        <v>300.60311050289533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15.765304970818557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15.765304970818557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67.318502902125175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3.6</v>
      </c>
      <c r="EJ81" s="12">
        <f>IF('Données projet'!$A$192&gt;35,EJ80+EI81-ER80,IF(A81&lt;'Données projet'!$A$192,$EG$205^A81,IF(A81='Données projet'!$A$192,'Données projet'!$B$192,EJ80+EI81-ER80)))</f>
        <v>322.79999999999995</v>
      </c>
      <c r="EK81" s="17">
        <f>EJ81*VLOOKUP('Données projet'!$B$15,Paramètres!$A$1:$I$89,3,0)*VLOOKUP('Données projet'!$B$15,Paramètres!$A$1:$I$89,5,0)</f>
        <v>236.67695999999998</v>
      </c>
      <c r="EL81" s="13">
        <f t="shared" si="99"/>
        <v>57.723983099802702</v>
      </c>
      <c r="EM81" s="20">
        <f t="shared" si="73"/>
        <v>512.74830923215643</v>
      </c>
      <c r="EN81" s="59">
        <f t="shared" si="74"/>
        <v>796.24948653994875</v>
      </c>
      <c r="EO81" s="59">
        <f ca="1">AVERAGE(OFFSET($EN$3,0,0,'Données projet'!$E$15+1,1))-AVERAGE(OFFSET($H$3,0,0,'Données projet'!$E$15+1,1))</f>
        <v>338.59243085476896</v>
      </c>
      <c r="EP81" s="59">
        <f t="shared" si="100"/>
        <v>329.8393445823275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16.947802551683289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16.947802551683289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67.318502902125175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3.6</v>
      </c>
      <c r="FE81" s="12">
        <f>IF('Données projet'!$A$218&gt;35,FE80+FD81-FM80,IF(A81&lt;'Données projet'!$A$218,$FB$205^A81,IF(A81='Données projet'!$A$218,'Données projet'!$B$218,FE80+FD81-FM80)))</f>
        <v>322.79999999999995</v>
      </c>
      <c r="FF81" s="17">
        <f>FE81*VLOOKUP('Données projet'!$B$16,Paramètres!$A$1:$I$89,3,0)*VLOOKUP('Données projet'!$B$16,Paramètres!$A$1:$I$89,5,0)</f>
        <v>211.49855999999994</v>
      </c>
      <c r="FG81" s="13">
        <f t="shared" si="101"/>
        <v>52.262923116788812</v>
      </c>
      <c r="FH81" s="20">
        <f t="shared" si="76"/>
        <v>459.38458309507376</v>
      </c>
      <c r="FI81" s="59">
        <f t="shared" si="77"/>
        <v>742.88576040286603</v>
      </c>
      <c r="FJ81" s="59">
        <f ca="1">AVERAGE(OFFSET($FI$3,0,0,'Données projet'!$E$16+1,1))-AVERAGE(OFFSET($H$3,0,0,'Données projet'!$E$16+1,1))</f>
        <v>307.50573770128085</v>
      </c>
      <c r="FK81" s="59">
        <f t="shared" si="102"/>
        <v>300.2007312562655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15.144844833419109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15.144844833419109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67.318502902125175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3.6</v>
      </c>
      <c r="FZ81" s="12">
        <f>IF('Données projet'!$A$244&gt;35,FZ80+FY81-GH80,IF(A81&lt;'Données projet'!$A$244,$FW$205^A81,IF(A81='Données projet'!$A$244,'Données projet'!$B$244,FZ80+FY81-GH80)))</f>
        <v>322.79999999999995</v>
      </c>
      <c r="GA81" s="17">
        <f>FZ81*VLOOKUP('Données projet'!$B$17,Paramètres!$A$1:$I$89,3,0)*VLOOKUP('Données projet'!$B$17,Paramètres!$A$1:$I$89,5,0)</f>
        <v>261.85536000000002</v>
      </c>
      <c r="GB81" s="13">
        <f t="shared" si="103"/>
        <v>63.117701913821712</v>
      </c>
      <c r="GC81" s="20">
        <f t="shared" si="79"/>
        <v>565.99474949990611</v>
      </c>
      <c r="GD81" s="59">
        <f t="shared" si="80"/>
        <v>849.49592680769842</v>
      </c>
      <c r="GE81" s="59">
        <f ca="1">AVERAGE(OFFSET($GD$3,0,0,'Données projet'!$E$17+1,1))-AVERAGE(OFFSET($H$3,0,0,'Données projet'!$E$17+1,1))</f>
        <v>369.60865427618342</v>
      </c>
      <c r="GF81" s="59">
        <f t="shared" si="104"/>
        <v>359.40898775279197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18.750760269947467</v>
      </c>
      <c r="GM81" s="21">
        <f>EXP(-LN(2)/25)*GM80+(1-EXP(-LN(2)/25))/(LN(2)/25)*Calculateur!GH81*Calculateur!GJ81*VLOOKUP('Données projet'!$B$17,Paramètres!$A$1:$I$89,3,0)*0.475*44/12</f>
        <v>0</v>
      </c>
      <c r="GN81" s="21">
        <f>EXP(-LN(2)/2)*GN80+(1-EXP(-LN(2)/2))/(LN(2)/2)*GH81*GK81*VLOOKUP('Données projet'!$B$17,Paramètres!$A$1:$I$89,3,0)*0.475*44/12</f>
        <v>0</v>
      </c>
      <c r="GO81" s="21">
        <f t="shared" si="81"/>
        <v>18.750760269947467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67.318502902125175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2.8</v>
      </c>
      <c r="GU81" s="12">
        <f>IF('Données projet'!$A$270&gt;35,GU80+GT81-HC80,IF(A81&lt;'Données projet'!$A$270,$GR$205^A81,IF(A81='Données projet'!$A$270,'Données projet'!$B$270,GU80+GT81-HC80)))</f>
        <v>269.39999999999981</v>
      </c>
      <c r="GV81" s="17">
        <f>GU81*VLOOKUP('Données projet'!$B$18,Paramètres!$A$1:$I$89,3,0)*VLOOKUP('Données projet'!$B$18,Paramètres!$A$1:$I$89,5,0)</f>
        <v>176.51087999999987</v>
      </c>
      <c r="GW81" s="13">
        <f t="shared" si="105"/>
        <v>44.545039124761026</v>
      </c>
      <c r="GX81" s="20">
        <f t="shared" si="82"/>
        <v>385.00572580895852</v>
      </c>
      <c r="GY81" s="59">
        <f t="shared" si="83"/>
        <v>668.50690311675089</v>
      </c>
      <c r="GZ81" s="59">
        <f ca="1">AVERAGE(OFFSET($GY$3,0,0,'Données projet'!$E$18+1,1))-AVERAGE(OFFSET($H$3,0,0,'Données projet'!$E$18+1,1))</f>
        <v>262.62914256200031</v>
      </c>
      <c r="HA81" s="59">
        <f t="shared" si="106"/>
        <v>256.45129229594409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>
        <f>EXP(-LN(2)/35)*HG80+(1-EXP(-LN(2)/35))/(LN(2)/35)*HC81*HD81*VLOOKUP('Données projet'!$B$18,Paramètres!$A$1:$I$89,3,0)*0.475*44/12</f>
        <v>10.533533398926487</v>
      </c>
      <c r="HH81" s="21">
        <f>EXP(-LN(2)/25)*HH80+(1-EXP(-LN(2)/25))/(LN(2)/25)*Calculateur!HC81*Calculateur!HE81*VLOOKUP('Données projet'!$B$18,Paramètres!$A$1:$I$89,3,0)*0.475*44/12</f>
        <v>0</v>
      </c>
      <c r="HI81" s="21">
        <f>EXP(-LN(2)/2)*HI80+(1-EXP(-LN(2)/2))/(LN(2)/2)*HC81*HF81*VLOOKUP('Données projet'!$B$18,Paramètres!$A$1:$I$89,3,0)*0.475*44/12</f>
        <v>0</v>
      </c>
      <c r="HJ81" s="22">
        <f t="shared" si="84"/>
        <v>10.533533398926487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2.1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7.7</v>
      </c>
      <c r="H82" s="67">
        <f t="shared" si="56"/>
        <v>225.86666666666665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67.365020881843904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8.8000000000000007</v>
      </c>
      <c r="N82" s="13">
        <f>IF('Données projet'!$A$36&gt;35,N81+M82-V81,IF(A82&lt;'Données projet'!$A$36,$K$205^A82,IF(A82='Données projet'!$A$36,'Données projet'!$B$36,N81+M82-V81)))</f>
        <v>342.19999999999993</v>
      </c>
      <c r="O82" s="13">
        <f>N82*VLOOKUP('Données projet'!$B$9,Paramètres!$A$1:$I$89,3,0)*VLOOKUP('Données projet'!$B$9,Paramètres!$A$1:$I$89,5,0)</f>
        <v>293.60759999999999</v>
      </c>
      <c r="P82" s="13">
        <f t="shared" si="87"/>
        <v>69.834695689453682</v>
      </c>
      <c r="Q82" s="20">
        <f t="shared" si="54"/>
        <v>632.99533165913181</v>
      </c>
      <c r="R82" s="59">
        <f t="shared" si="55"/>
        <v>916.66707489255941</v>
      </c>
      <c r="S82" s="59">
        <f ca="1">AVERAGE(OFFSET($R$3,0,0,'Données projet'!$E$9+1,1))-AVERAGE(OFFSET($H$3,0,0,'Données projet'!$E$9+1,1))</f>
        <v>476.79071915271794</v>
      </c>
      <c r="T82" s="59">
        <f t="shared" si="88"/>
        <v>264.79929759351762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24.024456542869295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24.024456542869295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67.365020881843904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</v>
      </c>
      <c r="AI82" s="13">
        <f>IF('Données projet'!$A$62&gt;35,AI81+AH82-AQ81,IF(A82&lt;'Données projet'!$A$62,$AF$205^A82,IF(A82='Données projet'!$A$62,'Données projet'!$B$62,AI81+AH82-AQ81)))</f>
        <v>254.99999999999994</v>
      </c>
      <c r="AJ82" s="13">
        <f>AI82*VLOOKUP('Données projet'!$B$10,Paramètres!$A$1:$I$89,3,0)*VLOOKUP('Données projet'!$B$10,Paramètres!$A$1:$I$89,5,0)</f>
        <v>214.81199999999998</v>
      </c>
      <c r="AK82" s="13">
        <f t="shared" si="89"/>
        <v>52.985738231738054</v>
      </c>
      <c r="AL82" s="20">
        <f t="shared" si="58"/>
        <v>466.41439408694373</v>
      </c>
      <c r="AM82" s="59">
        <f t="shared" si="59"/>
        <v>750.08613732037134</v>
      </c>
      <c r="AN82" s="59">
        <f ca="1">AVERAGE(OFFSET($AM$3,0,0,'Données projet'!$E$10+1,1))-AVERAGE(OFFSET($H$3,0,0,'Données projet'!$E$10+1,1))</f>
        <v>365.104658862176</v>
      </c>
      <c r="AO82" s="59">
        <f t="shared" si="90"/>
        <v>226.29232910286325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16.884089126494043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16.884089126494043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67.365020881843904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6</v>
      </c>
      <c r="BD82" s="12">
        <f>IF('Données projet'!$A$88&gt;35,BD81+BC82-BL81,IF(A82&lt;'Données projet'!$A$88,$BA$205^A82,IF(A82='Données projet'!$A$88,'Données projet'!$B$88,BD81+BC82-BL81)))</f>
        <v>254.99999999999994</v>
      </c>
      <c r="BE82" s="13">
        <f>BD82*VLOOKUP('Données projet'!$B$11,Paramètres!$A$1:$I$89,3,0)*VLOOKUP('Données projet'!$B$11,Paramètres!$A$1:$I$89,5,0)</f>
        <v>230.72399999999993</v>
      </c>
      <c r="BF82" s="13">
        <f t="shared" si="91"/>
        <v>56.439198612082045</v>
      </c>
      <c r="BG82" s="20">
        <f t="shared" si="61"/>
        <v>500.14257091604276</v>
      </c>
      <c r="BH82" s="59">
        <f t="shared" si="62"/>
        <v>783.81431414947042</v>
      </c>
      <c r="BI82" s="59">
        <f ca="1">AVERAGE(OFFSET($BH$3,0,0,'Données projet'!$E$11+1,1))-AVERAGE(OFFSET($H$3,0,0,'Données projet'!$E$11+1,1))</f>
        <v>388.12494342575195</v>
      </c>
      <c r="BJ82" s="59">
        <f t="shared" si="92"/>
        <v>239.39471445648454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18.134762395123232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18.134762395123232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67.365020881843904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6</v>
      </c>
      <c r="BY82" s="12">
        <f>IF('Données projet'!$A$114&gt;35,BY81+BX82-CG81,IF(A82&lt;'Données projet'!$A$114,$BV$205^A82,IF(A82='Données projet'!$A$114,'Données projet'!$B$114,BY81+BX82-CG81)))</f>
        <v>254.99999999999994</v>
      </c>
      <c r="BZ82" s="13">
        <f>BY82*VLOOKUP('Données projet'!$B$12,Paramètres!$A$1:$I$89,3,0)*VLOOKUP('Données projet'!$B$12,Paramètres!$A$1:$I$89,5,0)</f>
        <v>258.56999999999994</v>
      </c>
      <c r="CA82" s="13">
        <f t="shared" si="93"/>
        <v>62.417461971173843</v>
      </c>
      <c r="CB82" s="20">
        <f t="shared" si="64"/>
        <v>559.05316293312762</v>
      </c>
      <c r="CC82" s="59">
        <f t="shared" si="65"/>
        <v>842.72490616655523</v>
      </c>
      <c r="CD82" s="59">
        <f ca="1">AVERAGE(OFFSET($CC$3,0,0,'Données projet'!$E$12+1,1))-AVERAGE(OFFSET($H$3,0,0,'Données projet'!$E$12+1,1))</f>
        <v>428.33148932885132</v>
      </c>
      <c r="CE82" s="59">
        <f t="shared" si="94"/>
        <v>262.27548054534373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20.323440615224307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20.323440615224307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67.365020881843904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4.5999999999999996</v>
      </c>
      <c r="CT82" s="12">
        <f>IF('Données projet'!$A$140&gt;35,CT81+CS82-DB81,IF(A82&lt;'Données projet'!$A$140,$CQ$205^A82,IF(A82='Données projet'!$A$140,'Données projet'!$B$140,CT81+CS82-DB81)))</f>
        <v>187.39999999999998</v>
      </c>
      <c r="CU82" s="17">
        <f>CT82*VLOOKUP('Données projet'!$B$13,Paramètres!$A$1:$I$89,3,0)*VLOOKUP('Données projet'!$B$13,Paramètres!$A$1:$I$89,5,0)</f>
        <v>178.32983999999996</v>
      </c>
      <c r="CV82" s="13">
        <f t="shared" si="95"/>
        <v>44.950404981211172</v>
      </c>
      <c r="CW82" s="20">
        <f t="shared" si="67"/>
        <v>388.8797600089427</v>
      </c>
      <c r="CX82" s="59">
        <f t="shared" si="68"/>
        <v>672.55150324237036</v>
      </c>
      <c r="CY82" s="59">
        <f ca="1">AVERAGE(OFFSET($CX$3,0,0,'Données projet'!$E$13+1,1))-AVERAGE(OFFSET($H$3,0,0,'Données projet'!$E$13+1,1))</f>
        <v>307.62549820830162</v>
      </c>
      <c r="CZ82" s="59">
        <f t="shared" si="96"/>
        <v>160.26466014910304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11.393997214513497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11.393997214513497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67.365020881843904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2.8</v>
      </c>
      <c r="DO82" s="12">
        <f>IF('Données projet'!$A$166&gt;35,DO81+DN82-DW81,IF(A82&lt;'Données projet'!$A$166,$DL$205^A82,IF(A82='Données projet'!$A$166,'Données projet'!$B$166,DO81+DN82-DW81)))</f>
        <v>272.19999999999982</v>
      </c>
      <c r="DP82" s="17">
        <f>DO82*VLOOKUP('Données projet'!$B$14,Paramètres!$A$1:$I$89,3,0)*VLOOKUP('Données projet'!$B$14,Paramètres!$A$1:$I$89,5,0)</f>
        <v>216.56231999999989</v>
      </c>
      <c r="DQ82" s="13">
        <f t="shared" si="97"/>
        <v>53.367039486661959</v>
      </c>
      <c r="DR82" s="20">
        <f t="shared" si="70"/>
        <v>470.12696777260271</v>
      </c>
      <c r="DS82" s="59">
        <f t="shared" si="71"/>
        <v>753.79871100603032</v>
      </c>
      <c r="DT82" s="59">
        <f ca="1">AVERAGE(OFFSET($DS$3,0,0,'Données projet'!$E$14+1,1))-AVERAGE(OFFSET($H$3,0,0,'Données projet'!$E$14+1,1))</f>
        <v>309.14579005132464</v>
      </c>
      <c r="DU82" s="59">
        <f t="shared" si="98"/>
        <v>300.60311050289533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15.456156956227346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15.456156956227346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67.365020881843904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3.6</v>
      </c>
      <c r="EJ82" s="12">
        <f>IF('Données projet'!$A$192&gt;35,EJ81+EI82-ER81,IF(A82&lt;'Données projet'!$A$192,$EG$205^A82,IF(A82='Données projet'!$A$192,'Données projet'!$B$192,EJ81+EI82-ER81)))</f>
        <v>326.39999999999998</v>
      </c>
      <c r="EK82" s="17">
        <f>EJ82*VLOOKUP('Données projet'!$B$15,Paramètres!$A$1:$I$89,3,0)*VLOOKUP('Données projet'!$B$15,Paramètres!$A$1:$I$89,5,0)</f>
        <v>239.31647999999998</v>
      </c>
      <c r="EL82" s="13">
        <f t="shared" si="99"/>
        <v>58.292443422481945</v>
      </c>
      <c r="EM82" s="20">
        <f t="shared" si="73"/>
        <v>518.33554162748942</v>
      </c>
      <c r="EN82" s="59">
        <f t="shared" si="74"/>
        <v>802.00728486091703</v>
      </c>
      <c r="EO82" s="59">
        <f ca="1">AVERAGE(OFFSET($EN$3,0,0,'Données projet'!$E$15+1,1))-AVERAGE(OFFSET($H$3,0,0,'Données projet'!$E$15+1,1))</f>
        <v>338.59243085476896</v>
      </c>
      <c r="EP82" s="59">
        <f t="shared" si="100"/>
        <v>329.8393445823275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16.615466480783628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16.615466480783628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67.365020881843904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3.6</v>
      </c>
      <c r="FE82" s="12">
        <f>IF('Données projet'!$A$218&gt;35,FE81+FD82-FM81,IF(A82&lt;'Données projet'!$A$218,$FB$205^A82,IF(A82='Données projet'!$A$218,'Données projet'!$B$218,FE81+FD82-FM81)))</f>
        <v>326.39999999999998</v>
      </c>
      <c r="FF82" s="17">
        <f>FE82*VLOOKUP('Données projet'!$B$16,Paramètres!$A$1:$I$89,3,0)*VLOOKUP('Données projet'!$B$16,Paramètres!$A$1:$I$89,5,0)</f>
        <v>213.85728</v>
      </c>
      <c r="FG82" s="13">
        <f t="shared" si="101"/>
        <v>52.777603437579678</v>
      </c>
      <c r="FH82" s="20">
        <f t="shared" si="76"/>
        <v>464.38908865378454</v>
      </c>
      <c r="FI82" s="59">
        <f t="shared" si="77"/>
        <v>748.0608318872122</v>
      </c>
      <c r="FJ82" s="59">
        <f ca="1">AVERAGE(OFFSET($FI$3,0,0,'Données projet'!$E$16+1,1))-AVERAGE(OFFSET($H$3,0,0,'Données projet'!$E$16+1,1))</f>
        <v>307.50573770128085</v>
      </c>
      <c r="FK82" s="59">
        <f t="shared" si="102"/>
        <v>300.2007312562655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14.847863663678988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14.847863663678988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67.365020881843904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3.6</v>
      </c>
      <c r="FZ82" s="12">
        <f>IF('Données projet'!$A$244&gt;35,FZ81+FY82-GH81,IF(A82&lt;'Données projet'!$A$244,$FW$205^A82,IF(A82='Données projet'!$A$244,'Données projet'!$B$244,FZ81+FY82-GH81)))</f>
        <v>326.39999999999998</v>
      </c>
      <c r="GA82" s="17">
        <f>FZ82*VLOOKUP('Données projet'!$B$17,Paramètres!$A$1:$I$89,3,0)*VLOOKUP('Données projet'!$B$17,Paramètres!$A$1:$I$89,5,0)</f>
        <v>264.77567999999997</v>
      </c>
      <c r="GB82" s="13">
        <f t="shared" si="103"/>
        <v>63.739279068930159</v>
      </c>
      <c r="GC82" s="20">
        <f t="shared" si="79"/>
        <v>572.16355371171983</v>
      </c>
      <c r="GD82" s="59">
        <f t="shared" si="80"/>
        <v>855.83529694514755</v>
      </c>
      <c r="GE82" s="59">
        <f ca="1">AVERAGE(OFFSET($GD$3,0,0,'Données projet'!$E$17+1,1))-AVERAGE(OFFSET($H$3,0,0,'Données projet'!$E$17+1,1))</f>
        <v>369.60865427618342</v>
      </c>
      <c r="GF82" s="59">
        <f t="shared" si="104"/>
        <v>359.40898775279197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18.383069297888269</v>
      </c>
      <c r="GM82" s="21">
        <f>EXP(-LN(2)/25)*GM81+(1-EXP(-LN(2)/25))/(LN(2)/25)*Calculateur!GH82*Calculateur!GJ82*VLOOKUP('Données projet'!$B$17,Paramètres!$A$1:$I$89,3,0)*0.475*44/12</f>
        <v>0</v>
      </c>
      <c r="GN82" s="21">
        <f>EXP(-LN(2)/2)*GN81+(1-EXP(-LN(2)/2))/(LN(2)/2)*GH82*GK82*VLOOKUP('Données projet'!$B$17,Paramètres!$A$1:$I$89,3,0)*0.475*44/12</f>
        <v>0</v>
      </c>
      <c r="GO82" s="21">
        <f t="shared" si="81"/>
        <v>18.383069297888269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67.365020881843904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2.8</v>
      </c>
      <c r="GU82" s="12">
        <f>IF('Données projet'!$A$270&gt;35,GU81+GT82-HC81,IF(A82&lt;'Données projet'!$A$270,$GR$205^A82,IF(A82='Données projet'!$A$270,'Données projet'!$B$270,GU81+GT82-HC81)))</f>
        <v>272.19999999999982</v>
      </c>
      <c r="GV82" s="17">
        <f>GU82*VLOOKUP('Données projet'!$B$18,Paramètres!$A$1:$I$89,3,0)*VLOOKUP('Données projet'!$B$18,Paramètres!$A$1:$I$89,5,0)</f>
        <v>178.34543999999988</v>
      </c>
      <c r="GW82" s="13">
        <f t="shared" si="105"/>
        <v>44.953879444149464</v>
      </c>
      <c r="GX82" s="20">
        <f t="shared" si="82"/>
        <v>388.9129813652267</v>
      </c>
      <c r="GY82" s="59">
        <f t="shared" si="83"/>
        <v>672.58472459865436</v>
      </c>
      <c r="GZ82" s="59">
        <f ca="1">AVERAGE(OFFSET($GY$3,0,0,'Données projet'!$E$18+1,1))-AVERAGE(OFFSET($H$3,0,0,'Données projet'!$E$18+1,1))</f>
        <v>262.62914256200031</v>
      </c>
      <c r="HA82" s="59">
        <f t="shared" si="106"/>
        <v>256.45129229594409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projet'!$B$18,Paramètres!$A$1:$I$89,3,0)*0.475*44/12</f>
        <v>10.326977233794514</v>
      </c>
      <c r="HH82" s="21">
        <f>EXP(-LN(2)/25)*HH81+(1-EXP(-LN(2)/25))/(LN(2)/25)*Calculateur!HC82*Calculateur!HE82*VLOOKUP('Données projet'!$B$18,Paramètres!$A$1:$I$89,3,0)*0.475*44/12</f>
        <v>0</v>
      </c>
      <c r="HI82" s="21">
        <f>EXP(-LN(2)/2)*HI81+(1-EXP(-LN(2)/2))/(LN(2)/2)*HC82*HF82*VLOOKUP('Données projet'!$B$18,Paramètres!$A$1:$I$89,3,0)*0.475*44/12</f>
        <v>0</v>
      </c>
      <c r="HJ82" s="22">
        <f t="shared" si="84"/>
        <v>10.326977233794514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2.1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7.7</v>
      </c>
      <c r="H83" s="67">
        <f t="shared" si="56"/>
        <v>225.86666666666665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67.41073187861312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351</v>
      </c>
      <c r="L83" s="12">
        <f>VLOOKUP(A83,'Données projet'!$A$35:$I$55,9,0)</f>
        <v>8.8000000000000007</v>
      </c>
      <c r="M83" s="12">
        <f t="array" ref="M83">INDEX(L:L,MIN(IF(ISNUMBER(L83:L279),ROW(L83:L279),"")))</f>
        <v>8.8000000000000007</v>
      </c>
      <c r="N83" s="13">
        <f>IF('Données projet'!$A$36&gt;35,N82+M83-V82,IF(A83&lt;'Données projet'!$A$36,$K$205^A83,IF(A83='Données projet'!$A$36,'Données projet'!$B$36,N82+M83-V82)))</f>
        <v>350.99999999999994</v>
      </c>
      <c r="O83" s="13">
        <f>N83*VLOOKUP('Données projet'!$B$9,Paramètres!$A$1:$I$89,3,0)*VLOOKUP('Données projet'!$B$9,Paramètres!$A$1:$I$89,5,0)</f>
        <v>301.15799999999996</v>
      </c>
      <c r="P83" s="13">
        <f t="shared" si="87"/>
        <v>71.419170296330975</v>
      </c>
      <c r="Q83" s="20">
        <f t="shared" si="54"/>
        <v>648.90523826610968</v>
      </c>
      <c r="R83" s="59">
        <f t="shared" si="55"/>
        <v>932.74458848769109</v>
      </c>
      <c r="S83" s="59">
        <f ca="1">AVERAGE(OFFSET($R$3,0,0,'Données projet'!$E$9+1,1))-AVERAGE(OFFSET($H$3,0,0,'Données projet'!$E$9+1,1))</f>
        <v>476.79071915271794</v>
      </c>
      <c r="T83" s="59">
        <f t="shared" si="88"/>
        <v>264.79929759351762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28</v>
      </c>
      <c r="W83" s="16">
        <f>IF(ISNA(VLOOKUP(A83,'Données projet'!$A$35:$I$55,5,0)),0%,VLOOKUP(A83,'Données projet'!$A$35:$I$55,5,0)*VLOOKUP('Données projet'!$B$9,Paramètres!$A$1:$I$89,7,0))</f>
        <v>0.26500000000000001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30.591174008978602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30.591174008978602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67.41073187861312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261</v>
      </c>
      <c r="AG83" s="12">
        <f>VLOOKUP(A83,'Données projet'!$A$61:$I$81,9,0)</f>
        <v>6</v>
      </c>
      <c r="AH83" s="12">
        <f t="array" ref="AH83">INDEX(AG:AG,MIN(IF(ISNUMBER(AG83:AG279),ROW(AG83:AG279),"")))</f>
        <v>6</v>
      </c>
      <c r="AI83" s="13">
        <f>IF('Données projet'!$A$62&gt;35,AI82+AH83-AQ82,IF(A83&lt;'Données projet'!$A$62,$AF$205^A83,IF(A83='Données projet'!$A$62,'Données projet'!$B$62,AI82+AH83-AQ82)))</f>
        <v>260.99999999999994</v>
      </c>
      <c r="AJ83" s="13">
        <f>AI83*VLOOKUP('Données projet'!$B$10,Paramètres!$A$1:$I$89,3,0)*VLOOKUP('Données projet'!$B$10,Paramètres!$A$1:$I$89,5,0)</f>
        <v>219.86639999999997</v>
      </c>
      <c r="AK83" s="13">
        <f t="shared" si="89"/>
        <v>54.085847394182416</v>
      </c>
      <c r="AL83" s="20">
        <f t="shared" si="58"/>
        <v>477.13349754486762</v>
      </c>
      <c r="AM83" s="59">
        <f t="shared" si="59"/>
        <v>760.97284776644915</v>
      </c>
      <c r="AN83" s="59">
        <f ca="1">AVERAGE(OFFSET($AM$3,0,0,'Données projet'!$E$10+1,1))-AVERAGE(OFFSET($H$3,0,0,'Données projet'!$E$10+1,1))</f>
        <v>365.104658862176</v>
      </c>
      <c r="AO83" s="59">
        <f t="shared" si="90"/>
        <v>226.29232910286325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21</v>
      </c>
      <c r="AR83" s="16">
        <f>IF(ISNA(VLOOKUP(A83,'Données projet'!$A$61:$I$81,5,0)),0%,VLOOKUP(A83,'Données projet'!$A$61:$I$81,5,0)*VLOOKUP('Données projet'!$B$10,Paramètres!$A$1:$I$89,7,0))</f>
        <v>0.25800000000000001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21.598505443140134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21.598505443140134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67.41073187861312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261</v>
      </c>
      <c r="BB83" s="12">
        <f>VLOOKUP(A83,'Données projet'!$A$87:$I$107,9,0)</f>
        <v>6</v>
      </c>
      <c r="BC83" s="12">
        <f t="array" ref="BC83">INDEX(BB:BB,MIN(IF(ISNUMBER(BB83:BB279),ROW(BB83:BB279),"")))</f>
        <v>6</v>
      </c>
      <c r="BD83" s="12">
        <f>IF('Données projet'!$A$88&gt;35,BD82+BC83-BL82,IF(A83&lt;'Données projet'!$A$88,$BA$205^A83,IF(A83='Données projet'!$A$88,'Données projet'!$B$88,BD82+BC83-BL82)))</f>
        <v>260.99999999999994</v>
      </c>
      <c r="BE83" s="13">
        <f>BD83*VLOOKUP('Données projet'!$B$11,Paramètres!$A$1:$I$89,3,0)*VLOOKUP('Données projet'!$B$11,Paramètres!$A$1:$I$89,5,0)</f>
        <v>236.15279999999996</v>
      </c>
      <c r="BF83" s="13">
        <f t="shared" si="91"/>
        <v>57.61100977459936</v>
      </c>
      <c r="BG83" s="20">
        <f t="shared" si="61"/>
        <v>511.63863535742718</v>
      </c>
      <c r="BH83" s="59">
        <f t="shared" si="62"/>
        <v>795.47798557900865</v>
      </c>
      <c r="BI83" s="59">
        <f ca="1">AVERAGE(OFFSET($BH$3,0,0,'Données projet'!$E$11+1,1))-AVERAGE(OFFSET($H$3,0,0,'Données projet'!$E$11+1,1))</f>
        <v>388.12494342575195</v>
      </c>
      <c r="BJ83" s="59">
        <f t="shared" si="92"/>
        <v>239.39471445648454</v>
      </c>
      <c r="BK83" s="15">
        <f>IF(ISNA(VLOOKUP(A83,'Données projet'!$A$87:$I$107,3,0)),0,VLOOKUP(A83,'Données projet'!$A$87:$I$107,3,0))</f>
        <v>13</v>
      </c>
      <c r="BL83" s="21">
        <f>IF(ISNA(VLOOKUP(A83,'Données projet'!$A$87:$I$107,4,0)),0,VLOOKUP(A83,'Données projet'!$A$87:$I$107,4,0))</f>
        <v>21</v>
      </c>
      <c r="BM83" s="16">
        <f>IF(ISNA(VLOOKUP(A83,'Données projet'!$A$87:$I$107,5,0)),0%,VLOOKUP(A83,'Données projet'!$A$87:$I$107,5,0)*VLOOKUP('Données projet'!$B$11,Paramètres!$A$1:$I$89,7,0))</f>
        <v>0.25800000000000001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23.198394735224589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23.198394735224589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67.41073187861312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261</v>
      </c>
      <c r="BW83" s="12">
        <f>VLOOKUP(A83,'Données projet'!$A$113:$I$133,9,0)</f>
        <v>6</v>
      </c>
      <c r="BX83" s="12">
        <f t="array" ref="BX83">INDEX(BW:BW,MIN(IF(ISNUMBER(BW83:BW279),ROW(BW83:BW279),"")))</f>
        <v>6</v>
      </c>
      <c r="BY83" s="12">
        <f>IF('Données projet'!$A$114&gt;35,BY82+BX83-CG82,IF(A83&lt;'Données projet'!$A$114,$BV$205^A83,IF(A83='Données projet'!$A$114,'Données projet'!$B$114,BY82+BX83-CG82)))</f>
        <v>260.99999999999994</v>
      </c>
      <c r="BZ83" s="13">
        <f>BY83*VLOOKUP('Données projet'!$B$12,Paramètres!$A$1:$I$89,3,0)*VLOOKUP('Données projet'!$B$12,Paramètres!$A$1:$I$89,5,0)</f>
        <v>264.654</v>
      </c>
      <c r="CA83" s="13">
        <f t="shared" si="93"/>
        <v>63.713396011211117</v>
      </c>
      <c r="CB83" s="20">
        <f t="shared" si="64"/>
        <v>571.90654805285931</v>
      </c>
      <c r="CC83" s="59">
        <f t="shared" si="65"/>
        <v>855.74589827444083</v>
      </c>
      <c r="CD83" s="59">
        <f ca="1">AVERAGE(OFFSET($CC$3,0,0,'Données projet'!$E$12+1,1))-AVERAGE(OFFSET($H$3,0,0,'Données projet'!$E$12+1,1))</f>
        <v>428.33148932885132</v>
      </c>
      <c r="CE83" s="59">
        <f t="shared" si="94"/>
        <v>262.27548054534373</v>
      </c>
      <c r="CF83" s="15">
        <f>IF(ISNA(VLOOKUP(A83,'Données projet'!$A$113:$I$133,3,0)),0,VLOOKUP(A83,'Données projet'!$A$113:$I$133,3,0))</f>
        <v>13</v>
      </c>
      <c r="CG83" s="15">
        <f>IF(ISNA(VLOOKUP(A83,'Données projet'!$A$113:$I$133,4,0)),0,VLOOKUP(A83,'Données projet'!$A$113:$I$133,4,0))</f>
        <v>21</v>
      </c>
      <c r="CH83" s="16">
        <f>IF(ISNA(VLOOKUP(A83,'Données projet'!$A$113:$I$133,5,0)),0%,VLOOKUP(A83,'Données projet'!$A$113:$I$133,5,0)*VLOOKUP('Données projet'!$B$12,Paramètres!$A$1:$I$89,7,0))</f>
        <v>0.25800000000000001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25.998200996372379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25.998200996372379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67.41073187861312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192</v>
      </c>
      <c r="CR83" s="12">
        <f>VLOOKUP(A83,'Données projet'!$A$139:$I$159,9,0)</f>
        <v>4.5999999999999996</v>
      </c>
      <c r="CS83" s="12">
        <f t="array" ref="CS83">INDEX(CR:CR,MIN(IF(ISNUMBER(CR83:CR279),ROW(CR83:CR279),"")))</f>
        <v>4.5999999999999996</v>
      </c>
      <c r="CT83" s="12">
        <f>IF('Données projet'!$A$140&gt;35,CT82+CS83-DB82,IF(A83&lt;'Données projet'!$A$140,$CQ$205^A83,IF(A83='Données projet'!$A$140,'Données projet'!$B$140,CT82+CS83-DB82)))</f>
        <v>191.99999999999997</v>
      </c>
      <c r="CU83" s="17">
        <f>CT83*VLOOKUP('Données projet'!$B$13,Paramètres!$A$1:$I$89,3,0)*VLOOKUP('Données projet'!$B$13,Paramètres!$A$1:$I$89,5,0)</f>
        <v>182.70719999999997</v>
      </c>
      <c r="CV83" s="13">
        <f t="shared" si="95"/>
        <v>45.923964004932436</v>
      </c>
      <c r="CW83" s="20">
        <f t="shared" si="67"/>
        <v>398.19927730859058</v>
      </c>
      <c r="CX83" s="59">
        <f t="shared" si="68"/>
        <v>682.03862753017211</v>
      </c>
      <c r="CY83" s="59">
        <f ca="1">AVERAGE(OFFSET($CX$3,0,0,'Données projet'!$E$13+1,1))-AVERAGE(OFFSET($H$3,0,0,'Données projet'!$E$13+1,1))</f>
        <v>307.62549820830162</v>
      </c>
      <c r="CZ83" s="59">
        <f t="shared" si="96"/>
        <v>160.26466014910304</v>
      </c>
      <c r="DA83" s="15">
        <f>IF(ISNA(VLOOKUP(A83,'Données projet'!$A$139:$I$159,3,0)),0,VLOOKUP(A83,'Données projet'!$A$139:$I$159,3,0))</f>
        <v>12</v>
      </c>
      <c r="DB83" s="15">
        <f>IF(ISNA(VLOOKUP(A83,'Données projet'!$A$139:$I$159,4,0)),0,VLOOKUP(A83,'Données projet'!$A$139:$I$159,4,0))</f>
        <v>14</v>
      </c>
      <c r="DC83" s="16">
        <f>IF(ISNA(VLOOKUP(A83,'Données projet'!$A$139:$I$159,5,0)),0%,VLOOKUP(A83,'Données projet'!$A$139:$I$159,5,0)*VLOOKUP('Données projet'!$B$13,Paramètres!$A$1:$I$89,7,0))</f>
        <v>0.215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14.336984374411267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14.336984374411267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67.41073187861312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275</v>
      </c>
      <c r="DM83" s="12">
        <f>VLOOKUP(A83,'Données projet'!$A$165:$I$185,9,0)</f>
        <v>2.8</v>
      </c>
      <c r="DN83" s="12">
        <f t="array" ref="DN83">INDEX(DM:DM,MIN(IF(ISNUMBER(DM83:DM279),ROW(DM83:DM279),"")))</f>
        <v>2.8</v>
      </c>
      <c r="DO83" s="12">
        <f>IF('Données projet'!$A$166&gt;35,DO82+DN83-DW82,IF(A83&lt;'Données projet'!$A$166,$DL$205^A83,IF(A83='Données projet'!$A$166,'Données projet'!$B$166,DO82+DN83-DW82)))</f>
        <v>274.99999999999983</v>
      </c>
      <c r="DP83" s="17">
        <f>DO83*VLOOKUP('Données projet'!$B$14,Paramètres!$A$1:$I$89,3,0)*VLOOKUP('Données projet'!$B$14,Paramètres!$A$1:$I$89,5,0)</f>
        <v>218.78999999999988</v>
      </c>
      <c r="DQ83" s="13">
        <f t="shared" si="97"/>
        <v>53.851813843863468</v>
      </c>
      <c r="DR83" s="20">
        <f t="shared" si="70"/>
        <v>474.85115911139536</v>
      </c>
      <c r="DS83" s="59">
        <f t="shared" si="71"/>
        <v>758.69050933297683</v>
      </c>
      <c r="DT83" s="59">
        <f ca="1">AVERAGE(OFFSET($DS$3,0,0,'Données projet'!$E$14+1,1))-AVERAGE(OFFSET($H$3,0,0,'Données projet'!$E$14+1,1))</f>
        <v>309.14579005132464</v>
      </c>
      <c r="DU83" s="59">
        <f t="shared" si="98"/>
        <v>300.60311050289533</v>
      </c>
      <c r="DV83" s="15">
        <f>IF(ISNA(VLOOKUP(A83,'Données projet'!$A$165:$I$185,3,0)),0,VLOOKUP(A83,'Données projet'!$A$165:$I$185,3,0))</f>
        <v>14</v>
      </c>
      <c r="DW83" s="15">
        <f>IF(ISNA(VLOOKUP(A83,'Données projet'!$A$165:$I$185,4,0)),0,VLOOKUP(A83,'Données projet'!$A$165:$I$185,4,0))</f>
        <v>275</v>
      </c>
      <c r="DX83" s="16">
        <f>IF(ISNA(VLOOKUP(A83,'Données projet'!$A$165:$I$185,5,0)),0%,VLOOKUP(A83,'Données projet'!$A$165:$I$185,5,0)*VLOOKUP('Données projet'!$B$14,Paramètres!$A$1:$I$89,7,0))</f>
        <v>0.318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92.066416005129099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92.066416005129099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67.41073187861312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330</v>
      </c>
      <c r="EH83" s="12">
        <f>VLOOKUP(A83,'Données projet'!$A$191:$I$211,9,0)</f>
        <v>3.6</v>
      </c>
      <c r="EI83" s="12">
        <f t="array" ref="EI83">INDEX(EH:EH,MIN(IF(ISNUMBER(EH83:EH279),ROW(EH83:EH279),"")))</f>
        <v>3.6</v>
      </c>
      <c r="EJ83" s="12">
        <f>IF('Données projet'!$A$192&gt;35,EJ82+EI83-ER82,IF(A83&lt;'Données projet'!$A$192,$EG$205^A83,IF(A83='Données projet'!$A$192,'Données projet'!$B$192,EJ82+EI83-ER82)))</f>
        <v>330</v>
      </c>
      <c r="EK83" s="17">
        <f>EJ83*VLOOKUP('Données projet'!$B$15,Paramètres!$A$1:$I$89,3,0)*VLOOKUP('Données projet'!$B$15,Paramètres!$A$1:$I$89,5,0)</f>
        <v>241.95599999999999</v>
      </c>
      <c r="EL83" s="13">
        <f t="shared" si="99"/>
        <v>58.860174395053612</v>
      </c>
      <c r="EM83" s="20">
        <f t="shared" si="73"/>
        <v>523.92150373805168</v>
      </c>
      <c r="EN83" s="59">
        <f t="shared" si="74"/>
        <v>807.7608539596331</v>
      </c>
      <c r="EO83" s="59">
        <f ca="1">AVERAGE(OFFSET($EN$3,0,0,'Données projet'!$E$15+1,1))-AVERAGE(OFFSET($H$3,0,0,'Données projet'!$E$15+1,1))</f>
        <v>338.59243085476896</v>
      </c>
      <c r="EP83" s="59">
        <f t="shared" si="100"/>
        <v>329.8393445823275</v>
      </c>
      <c r="EQ83" s="15">
        <f>IF(ISNA(VLOOKUP(A83,'Données projet'!$A$191:$I$211,3,0)),0,VLOOKUP(A83,'Données projet'!$A$191:$I$211,3,0))</f>
        <v>15</v>
      </c>
      <c r="ER83" s="15">
        <f>IF(ISNA(VLOOKUP(A83,'Données projet'!$A$191:$I$211,4,0)),0,VLOOKUP(A83,'Données projet'!$A$191:$I$211,4,0))</f>
        <v>330</v>
      </c>
      <c r="ES83" s="16">
        <f>IF(ISNA(VLOOKUP(A83,'Données projet'!$A$191:$I$211,5,0)),0%,VLOOKUP(A83,'Données projet'!$A$191:$I$211,5,0)*VLOOKUP('Données projet'!$B$15,Paramètres!$A$1:$I$89,7,0))</f>
        <v>0.25800000000000001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85.298246634300142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85.298246634300142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67.41073187861312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330</v>
      </c>
      <c r="FC83" s="12">
        <f>VLOOKUP(A83,'Données projet'!$A$217:$I$237,9,0)</f>
        <v>3.6</v>
      </c>
      <c r="FD83" s="12">
        <f t="array" ref="FD83">INDEX(FC:FC,MIN(IF(ISNUMBER(FC83:FC279),ROW(FC83:FC279),"")))</f>
        <v>3.6</v>
      </c>
      <c r="FE83" s="12">
        <f>IF('Données projet'!$A$218&gt;35,FE82+FD83-FM82,IF(A83&lt;'Données projet'!$A$218,$FB$205^A83,IF(A83='Données projet'!$A$218,'Données projet'!$B$218,FE82+FD83-FM82)))</f>
        <v>330</v>
      </c>
      <c r="FF83" s="17">
        <f>FE83*VLOOKUP('Données projet'!$B$16,Paramètres!$A$1:$I$89,3,0)*VLOOKUP('Données projet'!$B$16,Paramètres!$A$1:$I$89,5,0)</f>
        <v>216.21600000000001</v>
      </c>
      <c r="FG83" s="13">
        <f t="shared" si="101"/>
        <v>53.291623409473033</v>
      </c>
      <c r="FH83" s="20">
        <f t="shared" si="76"/>
        <v>469.39244410483212</v>
      </c>
      <c r="FI83" s="59">
        <f t="shared" si="77"/>
        <v>753.23179432641359</v>
      </c>
      <c r="FJ83" s="59">
        <f ca="1">AVERAGE(OFFSET($FI$3,0,0,'Données projet'!$E$16+1,1))-AVERAGE(OFFSET($H$3,0,0,'Données projet'!$E$16+1,1))</f>
        <v>307.50573770128085</v>
      </c>
      <c r="FK83" s="59">
        <f t="shared" si="102"/>
        <v>300.2007312562655</v>
      </c>
      <c r="FL83" s="15">
        <f>IF(ISNA(VLOOKUP(A83,'Données projet'!$A$217:$I$237,3,0)),0,VLOOKUP(A83,'Données projet'!$A$217:$I$237,3,0))</f>
        <v>15</v>
      </c>
      <c r="FM83" s="15">
        <f>IF(ISNA(VLOOKUP(A83,'Données projet'!$A$217:$I$237,4,0)),0,VLOOKUP(A83,'Données projet'!$A$217:$I$237,4,0))</f>
        <v>330</v>
      </c>
      <c r="FN83" s="16">
        <f>IF(ISNA(VLOOKUP(A83,'Données projet'!$A$217:$I$237,5,0)),0%,VLOOKUP(A83,'Données projet'!$A$217:$I$237,5,0)*VLOOKUP('Données projet'!$B$16,Paramètres!$A$1:$I$89,7,0))</f>
        <v>0.25800000000000001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76.22396507745971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76.22396507745971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67.41073187861312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>
        <f>VLOOKUP(A83,'Données projet'!$A$243:$I$263,2,0)</f>
        <v>330</v>
      </c>
      <c r="FX83" s="12">
        <f>VLOOKUP(A83,'Données projet'!$A$243:$I$263,9,0)</f>
        <v>3.6</v>
      </c>
      <c r="FY83" s="12">
        <f t="array" ref="FY83">INDEX(FX:FX,MIN(IF(ISNUMBER(FX83:FX279),ROW(FX83:FX279),"")))</f>
        <v>3.6</v>
      </c>
      <c r="FZ83" s="12">
        <f>IF('Données projet'!$A$244&gt;35,FZ82+FY83-GH82,IF(A83&lt;'Données projet'!$A$244,$FW$205^A83,IF(A83='Données projet'!$A$244,'Données projet'!$B$244,FZ82+FY83-GH82)))</f>
        <v>330</v>
      </c>
      <c r="GA83" s="17">
        <f>FZ83*VLOOKUP('Données projet'!$B$17,Paramètres!$A$1:$I$89,3,0)*VLOOKUP('Données projet'!$B$17,Paramètres!$A$1:$I$89,5,0)</f>
        <v>267.69600000000003</v>
      </c>
      <c r="GB83" s="13">
        <f t="shared" si="103"/>
        <v>64.360058723585496</v>
      </c>
      <c r="GC83" s="20">
        <f t="shared" si="79"/>
        <v>578.33096894357811</v>
      </c>
      <c r="GD83" s="59">
        <f t="shared" si="80"/>
        <v>862.17031916515953</v>
      </c>
      <c r="GE83" s="59">
        <f ca="1">AVERAGE(OFFSET($GD$3,0,0,'Données projet'!$E$17+1,1))-AVERAGE(OFFSET($H$3,0,0,'Données projet'!$E$17+1,1))</f>
        <v>369.60865427618342</v>
      </c>
      <c r="GF83" s="59">
        <f t="shared" si="104"/>
        <v>359.40898775279197</v>
      </c>
      <c r="GG83" s="15">
        <f>IF(ISNA(VLOOKUP(A83,'Données projet'!$A$243:$I$263,3,0)),0,VLOOKUP(A83,'Données projet'!$A$243:$I$263,3,0))</f>
        <v>15</v>
      </c>
      <c r="GH83" s="15">
        <f>IF(ISNA(VLOOKUP(A83,'Données projet'!$A$243:$I$263,4,0)),0,VLOOKUP(A83,'Données projet'!$A$243:$I$263,4,0))</f>
        <v>330</v>
      </c>
      <c r="GI83" s="16">
        <f>IF(ISNA(VLOOKUP(A83,'Données projet'!$A$243:$I$263,5,0)),0%,VLOOKUP(A83,'Données projet'!$A$243:$I$263,5,0)*VLOOKUP('Données projet'!$B$17,Paramètres!$A$1:$I$89,7,0))</f>
        <v>0.25800000000000001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94.372528191140589</v>
      </c>
      <c r="GM83" s="21">
        <f>EXP(-LN(2)/25)*GM82+(1-EXP(-LN(2)/25))/(LN(2)/25)*Calculateur!GH83*Calculateur!GJ83*VLOOKUP('Données projet'!$B$17,Paramètres!$A$1:$I$89,3,0)*0.475*44/12</f>
        <v>0</v>
      </c>
      <c r="GN83" s="21">
        <f>EXP(-LN(2)/2)*GN82+(1-EXP(-LN(2)/2))/(LN(2)/2)*GH83*GK83*VLOOKUP('Données projet'!$B$17,Paramètres!$A$1:$I$89,3,0)*0.475*44/12</f>
        <v>0</v>
      </c>
      <c r="GO83" s="21">
        <f t="shared" si="81"/>
        <v>94.372528191140589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67.41073187861312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>
        <f>VLOOKUP(A83,'Données projet'!$A$269:$I$289,2,0)</f>
        <v>275</v>
      </c>
      <c r="GS83" s="12">
        <f>VLOOKUP(A83,'Données projet'!$A$269:$I$289,9,0)</f>
        <v>2.8</v>
      </c>
      <c r="GT83" s="12">
        <f t="array" ref="GT83">INDEX(GS:GS,MIN(IF(ISNUMBER(GS83:GS279),ROW(GS83:GS279),"")))</f>
        <v>2.8</v>
      </c>
      <c r="GU83" s="12">
        <f>IF('Données projet'!$A$270&gt;35,GU82+GT83-HC82,IF(A83&lt;'Données projet'!$A$270,$GR$205^A83,IF(A83='Données projet'!$A$270,'Données projet'!$B$270,GU82+GT83-HC82)))</f>
        <v>274.99999999999983</v>
      </c>
      <c r="GV83" s="17">
        <f>GU83*VLOOKUP('Données projet'!$B$18,Paramètres!$A$1:$I$89,3,0)*VLOOKUP('Données projet'!$B$18,Paramètres!$A$1:$I$89,5,0)</f>
        <v>180.17999999999989</v>
      </c>
      <c r="GW83" s="13">
        <f t="shared" si="105"/>
        <v>45.362230520410648</v>
      </c>
      <c r="GX83" s="20">
        <f t="shared" si="82"/>
        <v>392.81938482304832</v>
      </c>
      <c r="GY83" s="59">
        <f t="shared" si="83"/>
        <v>676.65873504462979</v>
      </c>
      <c r="GZ83" s="59">
        <f ca="1">AVERAGE(OFFSET($GY$3,0,0,'Données projet'!$E$18+1,1))-AVERAGE(OFFSET($H$3,0,0,'Données projet'!$E$18+1,1))</f>
        <v>262.62914256200031</v>
      </c>
      <c r="HA83" s="59">
        <f t="shared" si="106"/>
        <v>256.45129229594409</v>
      </c>
      <c r="HB83" s="15">
        <f>IF(ISNA(VLOOKUP(A83,'Données projet'!$A$269:$I$289,3,0)),0,VLOOKUP(A83,'Données projet'!$A$269:$I$289,3,0))</f>
        <v>14</v>
      </c>
      <c r="HC83" s="15">
        <f>IF(ISNA(VLOOKUP(A83,'Données projet'!$A$269:$I$289,4,0)),0,VLOOKUP(A83,'Données projet'!$A$269:$I$289,4,0))</f>
        <v>275</v>
      </c>
      <c r="HD83" s="16">
        <f>IF(ISNA(VLOOKUP(A83,'Données projet'!$A$269:$I$289,5,0)),0%,VLOOKUP(A83,'Données projet'!$A$269:$I$289,5,0)*VLOOKUP('Données projet'!$B$18,Paramètres!$A$1:$I$89,7,0))</f>
        <v>0.25800000000000001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>
        <f>EXP(-LN(2)/35)*HG82+(1-EXP(-LN(2)/35))/(LN(2)/35)*HC83*HD83*VLOOKUP('Données projet'!$B$18,Paramètres!$A$1:$I$89,3,0)*0.475*44/12</f>
        <v>61.513853979009674</v>
      </c>
      <c r="HH83" s="21">
        <f>EXP(-LN(2)/25)*HH82+(1-EXP(-LN(2)/25))/(LN(2)/25)*Calculateur!HC83*Calculateur!HE83*VLOOKUP('Données projet'!$B$18,Paramètres!$A$1:$I$89,3,0)*0.475*44/12</f>
        <v>0</v>
      </c>
      <c r="HI83" s="21">
        <f>EXP(-LN(2)/2)*HI82+(1-EXP(-LN(2)/2))/(LN(2)/2)*HC83*HF83*VLOOKUP('Données projet'!$B$18,Paramètres!$A$1:$I$89,3,0)*0.475*44/12</f>
        <v>0</v>
      </c>
      <c r="HJ83" s="22">
        <f t="shared" si="84"/>
        <v>61.513853979009674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2.1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7.7</v>
      </c>
      <c r="H84" s="67">
        <f t="shared" si="56"/>
        <v>225.86666666666665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67.455649891782883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8.4</v>
      </c>
      <c r="N84" s="13">
        <f>IF('Données projet'!$A$36&gt;35,N83+M84-V83,IF(A84&lt;'Données projet'!$A$36,$K$205^A84,IF(A84='Données projet'!$A$36,'Données projet'!$B$36,N83+M84-V83)))</f>
        <v>331.39999999999992</v>
      </c>
      <c r="O84" s="13">
        <f>N84*VLOOKUP('Données projet'!$B$9,Paramètres!$A$1:$I$89,3,0)*VLOOKUP('Données projet'!$B$9,Paramètres!$A$1:$I$89,5,0)</f>
        <v>284.34119999999996</v>
      </c>
      <c r="P84" s="13">
        <f t="shared" si="87"/>
        <v>67.883606139618351</v>
      </c>
      <c r="Q84" s="20">
        <f t="shared" si="54"/>
        <v>613.4582040265019</v>
      </c>
      <c r="R84" s="59">
        <f t="shared" si="55"/>
        <v>897.46225362970586</v>
      </c>
      <c r="S84" s="59">
        <f ca="1">AVERAGE(OFFSET($R$3,0,0,'Données projet'!$E$9+1,1))-AVERAGE(OFFSET($H$3,0,0,'Données projet'!$E$9+1,1))</f>
        <v>476.79071915271794</v>
      </c>
      <c r="T84" s="59">
        <f t="shared" si="88"/>
        <v>264.79929759351762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29.991299745436276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29.991299745436276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67.455649891782883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5.8</v>
      </c>
      <c r="AI84" s="13">
        <f>IF('Données projet'!$A$62&gt;35,AI83+AH84-AQ83,IF(A84&lt;'Données projet'!$A$62,$AF$205^A84,IF(A84='Données projet'!$A$62,'Données projet'!$B$62,AI83+AH84-AQ83)))</f>
        <v>245.79999999999995</v>
      </c>
      <c r="AJ84" s="13">
        <f>AI84*VLOOKUP('Données projet'!$B$10,Paramètres!$A$1:$I$89,3,0)*VLOOKUP('Données projet'!$B$10,Paramètres!$A$1:$I$89,5,0)</f>
        <v>207.06191999999996</v>
      </c>
      <c r="AK84" s="13">
        <f t="shared" si="89"/>
        <v>51.293015758902222</v>
      </c>
      <c r="AL84" s="20">
        <f t="shared" si="58"/>
        <v>449.96817978008789</v>
      </c>
      <c r="AM84" s="59">
        <f t="shared" si="59"/>
        <v>733.97222938329173</v>
      </c>
      <c r="AN84" s="59">
        <f ca="1">AVERAGE(OFFSET($AM$3,0,0,'Données projet'!$E$10+1,1))-AVERAGE(OFFSET($H$3,0,0,'Données projet'!$E$10+1,1))</f>
        <v>365.104658862176</v>
      </c>
      <c r="AO84" s="59">
        <f t="shared" si="90"/>
        <v>226.29232910286325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21.174971925187673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21.174971925187673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67.455649891782883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5.8</v>
      </c>
      <c r="BD84" s="12">
        <f>IF('Données projet'!$A$88&gt;35,BD83+BC84-BL83,IF(A84&lt;'Données projet'!$A$88,$BA$205^A84,IF(A84='Données projet'!$A$88,'Données projet'!$B$88,BD83+BC84-BL83)))</f>
        <v>245.79999999999995</v>
      </c>
      <c r="BE84" s="13">
        <f>BD84*VLOOKUP('Données projet'!$B$11,Paramètres!$A$1:$I$89,3,0)*VLOOKUP('Données projet'!$B$11,Paramètres!$A$1:$I$89,5,0)</f>
        <v>222.39983999999995</v>
      </c>
      <c r="BF84" s="13">
        <f t="shared" si="91"/>
        <v>54.636149281681448</v>
      </c>
      <c r="BG84" s="20">
        <f t="shared" si="61"/>
        <v>482.50434799892838</v>
      </c>
      <c r="BH84" s="59">
        <f t="shared" si="62"/>
        <v>766.50839760213228</v>
      </c>
      <c r="BI84" s="59">
        <f ca="1">AVERAGE(OFFSET($BH$3,0,0,'Données projet'!$E$11+1,1))-AVERAGE(OFFSET($H$3,0,0,'Données projet'!$E$11+1,1))</f>
        <v>388.12494342575195</v>
      </c>
      <c r="BJ84" s="59">
        <f t="shared" si="92"/>
        <v>239.39471445648454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22.743488364090464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22.743488364090464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67.455649891782883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5.8</v>
      </c>
      <c r="BY84" s="12">
        <f>IF('Données projet'!$A$114&gt;35,BY83+BX84-CG83,IF(A84&lt;'Données projet'!$A$114,$BV$205^A84,IF(A84='Données projet'!$A$114,'Données projet'!$B$114,BY83+BX84-CG83)))</f>
        <v>245.79999999999995</v>
      </c>
      <c r="BZ84" s="13">
        <f>BY84*VLOOKUP('Données projet'!$B$12,Paramètres!$A$1:$I$89,3,0)*VLOOKUP('Données projet'!$B$12,Paramètres!$A$1:$I$89,5,0)</f>
        <v>249.24119999999999</v>
      </c>
      <c r="CA84" s="13">
        <f t="shared" si="93"/>
        <v>60.42342651744692</v>
      </c>
      <c r="CB84" s="20">
        <f t="shared" si="64"/>
        <v>539.33255785122003</v>
      </c>
      <c r="CC84" s="59">
        <f t="shared" si="65"/>
        <v>823.33660745442398</v>
      </c>
      <c r="CD84" s="59">
        <f ca="1">AVERAGE(OFFSET($CC$3,0,0,'Données projet'!$E$12+1,1))-AVERAGE(OFFSET($H$3,0,0,'Données projet'!$E$12+1,1))</f>
        <v>428.33148932885132</v>
      </c>
      <c r="CE84" s="59">
        <f t="shared" si="94"/>
        <v>262.27548054534373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25.488392132170343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25.488392132170343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67.455649891782883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4.4000000000000004</v>
      </c>
      <c r="CT84" s="12">
        <f>IF('Données projet'!$A$140&gt;35,CT83+CS84-DB83,IF(A84&lt;'Données projet'!$A$140,$CQ$205^A84,IF(A84='Données projet'!$A$140,'Données projet'!$B$140,CT83+CS84-DB83)))</f>
        <v>182.39999999999998</v>
      </c>
      <c r="CU84" s="17">
        <f>CT84*VLOOKUP('Données projet'!$B$13,Paramètres!$A$1:$I$89,3,0)*VLOOKUP('Données projet'!$B$13,Paramètres!$A$1:$I$89,5,0)</f>
        <v>173.57183999999998</v>
      </c>
      <c r="CV84" s="13">
        <f t="shared" si="95"/>
        <v>43.889026259091224</v>
      </c>
      <c r="CW84" s="20">
        <f t="shared" si="67"/>
        <v>378.74434206791716</v>
      </c>
      <c r="CX84" s="59">
        <f t="shared" si="68"/>
        <v>662.748391671121</v>
      </c>
      <c r="CY84" s="59">
        <f ca="1">AVERAGE(OFFSET($CX$3,0,0,'Données projet'!$E$13+1,1))-AVERAGE(OFFSET($H$3,0,0,'Données projet'!$E$13+1,1))</f>
        <v>307.62549820830162</v>
      </c>
      <c r="CZ84" s="59">
        <f t="shared" si="96"/>
        <v>160.26466014910304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14.055844855526065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14.055844855526065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67.455649891782883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-1.7053025658242404E-13</v>
      </c>
      <c r="DP84" s="17">
        <f>DO84*VLOOKUP('Données projet'!$B$14,Paramètres!$A$1:$I$89,3,0)*VLOOKUP('Données projet'!$B$14,Paramètres!$A$1:$I$89,5,0)</f>
        <v>-1.3567387213697657E-13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309.14579005132464</v>
      </c>
      <c r="DU84" s="59">
        <f t="shared" si="98"/>
        <v>300.60311050289533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90.261049742237432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90.261049742237432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67.455649891782883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>
        <f>EJ84*VLOOKUP('Données projet'!$B$15,Paramètres!$A$1:$I$89,3,0)*VLOOKUP('Données projet'!$B$15,Paramètres!$A$1:$I$89,5,0)</f>
        <v>0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338.59243085476896</v>
      </c>
      <c r="EP84" s="59">
        <f t="shared" si="100"/>
        <v>329.8393445823275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83.625600044594748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83.625600044594748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67.455649891782883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>
        <f>FE84*VLOOKUP('Données projet'!$B$16,Paramètres!$A$1:$I$89,3,0)*VLOOKUP('Données projet'!$B$16,Paramètres!$A$1:$I$89,5,0)</f>
        <v>0</v>
      </c>
      <c r="FG84" s="13" t="e">
        <f t="shared" si="101"/>
        <v>#NUM!</v>
      </c>
      <c r="FH84" s="20" t="e">
        <f t="shared" si="76"/>
        <v>#NUM!</v>
      </c>
      <c r="FI84" s="59" t="e">
        <f t="shared" si="77"/>
        <v>#NUM!</v>
      </c>
      <c r="FJ84" s="59">
        <f ca="1">AVERAGE(OFFSET($FI$3,0,0,'Données projet'!$E$16+1,1))-AVERAGE(OFFSET($H$3,0,0,'Données projet'!$E$16+1,1))</f>
        <v>307.50573770128085</v>
      </c>
      <c r="FK84" s="59">
        <f t="shared" si="102"/>
        <v>300.2007312562655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74.729259614318721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74.729259614318721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67.455649891782883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>
        <f>FZ84*VLOOKUP('Données projet'!$B$17,Paramètres!$A$1:$I$89,3,0)*VLOOKUP('Données projet'!$B$17,Paramètres!$A$1:$I$89,5,0)</f>
        <v>0</v>
      </c>
      <c r="GB84" s="13" t="e">
        <f t="shared" si="103"/>
        <v>#NUM!</v>
      </c>
      <c r="GC84" s="20" t="e">
        <f t="shared" si="79"/>
        <v>#NUM!</v>
      </c>
      <c r="GD84" s="59" t="e">
        <f t="shared" si="80"/>
        <v>#NUM!</v>
      </c>
      <c r="GE84" s="59">
        <f ca="1">AVERAGE(OFFSET($GD$3,0,0,'Données projet'!$E$17+1,1))-AVERAGE(OFFSET($H$3,0,0,'Données projet'!$E$17+1,1))</f>
        <v>369.60865427618342</v>
      </c>
      <c r="GF84" s="59">
        <f t="shared" si="104"/>
        <v>359.40898775279197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92.521940474870789</v>
      </c>
      <c r="GM84" s="21">
        <f>EXP(-LN(2)/25)*GM83+(1-EXP(-LN(2)/25))/(LN(2)/25)*Calculateur!GH84*Calculateur!GJ84*VLOOKUP('Données projet'!$B$17,Paramètres!$A$1:$I$89,3,0)*0.475*44/12</f>
        <v>0</v>
      </c>
      <c r="GN84" s="21">
        <f>EXP(-LN(2)/2)*GN83+(1-EXP(-LN(2)/2))/(LN(2)/2)*GH84*GK84*VLOOKUP('Données projet'!$B$17,Paramètres!$A$1:$I$89,3,0)*0.475*44/12</f>
        <v>0</v>
      </c>
      <c r="GO84" s="21">
        <f t="shared" si="81"/>
        <v>92.521940474870789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67.455649891782883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-1.7053025658242404E-13</v>
      </c>
      <c r="GV84" s="17">
        <f>GU84*VLOOKUP('Données projet'!$B$18,Paramètres!$A$1:$I$89,3,0)*VLOOKUP('Données projet'!$B$18,Paramètres!$A$1:$I$89,5,0)</f>
        <v>-1.1173142411280423E-13</v>
      </c>
      <c r="GW84" s="13" t="e">
        <f t="shared" si="105"/>
        <v>#NUM!</v>
      </c>
      <c r="GX84" s="20" t="e">
        <f t="shared" si="82"/>
        <v>#NUM!</v>
      </c>
      <c r="GY84" s="59" t="e">
        <f t="shared" si="83"/>
        <v>#NUM!</v>
      </c>
      <c r="GZ84" s="59">
        <f ca="1">AVERAGE(OFFSET($GY$3,0,0,'Données projet'!$E$18+1,1))-AVERAGE(OFFSET($H$3,0,0,'Données projet'!$E$18+1,1))</f>
        <v>262.62914256200031</v>
      </c>
      <c r="HA84" s="59">
        <f t="shared" si="106"/>
        <v>256.45129229594409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projet'!$B$18,Paramètres!$A$1:$I$89,3,0)*0.475*44/12</f>
        <v>60.307604822227454</v>
      </c>
      <c r="HH84" s="21">
        <f>EXP(-LN(2)/25)*HH83+(1-EXP(-LN(2)/25))/(LN(2)/25)*Calculateur!HC84*Calculateur!HE84*VLOOKUP('Données projet'!$B$18,Paramètres!$A$1:$I$89,3,0)*0.475*44/12</f>
        <v>0</v>
      </c>
      <c r="HI84" s="21">
        <f>EXP(-LN(2)/2)*HI83+(1-EXP(-LN(2)/2))/(LN(2)/2)*HC84*HF84*VLOOKUP('Données projet'!$B$18,Paramètres!$A$1:$I$89,3,0)*0.475*44/12</f>
        <v>0</v>
      </c>
      <c r="HJ84" s="22">
        <f t="shared" si="84"/>
        <v>60.307604822227454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2.1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7.7</v>
      </c>
      <c r="H85" s="67">
        <f t="shared" si="56"/>
        <v>225.86666666666665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67.499788677845785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8.4</v>
      </c>
      <c r="N85" s="13">
        <f>IF('Données projet'!$A$36&gt;35,N84+M85-V84,IF(A85&lt;'Données projet'!$A$36,$K$205^A85,IF(A85='Données projet'!$A$36,'Données projet'!$B$36,N84+M85-V84)))</f>
        <v>339.7999999999999</v>
      </c>
      <c r="O85" s="13">
        <f>N85*VLOOKUP('Données projet'!$B$9,Paramètres!$A$1:$I$89,3,0)*VLOOKUP('Données projet'!$B$9,Paramètres!$A$1:$I$89,5,0)</f>
        <v>291.54839999999996</v>
      </c>
      <c r="P85" s="13">
        <f t="shared" si="87"/>
        <v>69.40174753959208</v>
      </c>
      <c r="Q85" s="20">
        <f t="shared" si="54"/>
        <v>628.65484029812274</v>
      </c>
      <c r="R85" s="59">
        <f t="shared" si="55"/>
        <v>912.82073211689067</v>
      </c>
      <c r="S85" s="59">
        <f ca="1">AVERAGE(OFFSET($R$3,0,0,'Données projet'!$E$9+1,1))-AVERAGE(OFFSET($H$3,0,0,'Données projet'!$E$9+1,1))</f>
        <v>476.79071915271794</v>
      </c>
      <c r="T85" s="59">
        <f t="shared" si="88"/>
        <v>264.79929759351762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29.403188650314842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29.403188650314842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67.499788677845785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5.8</v>
      </c>
      <c r="AI85" s="13">
        <f>IF('Données projet'!$A$62&gt;35,AI84+AH85-AQ84,IF(A85&lt;'Données projet'!$A$62,$AF$205^A85,IF(A85='Données projet'!$A$62,'Données projet'!$B$62,AI84+AH85-AQ84)))</f>
        <v>251.59999999999997</v>
      </c>
      <c r="AJ85" s="13">
        <f>AI85*VLOOKUP('Données projet'!$B$10,Paramètres!$A$1:$I$89,3,0)*VLOOKUP('Données projet'!$B$10,Paramètres!$A$1:$I$89,5,0)</f>
        <v>211.94784000000001</v>
      </c>
      <c r="AK85" s="13">
        <f t="shared" si="89"/>
        <v>52.361008754780862</v>
      </c>
      <c r="AL85" s="20">
        <f t="shared" si="58"/>
        <v>460.3379115812433</v>
      </c>
      <c r="AM85" s="59">
        <f t="shared" si="59"/>
        <v>744.50380340001118</v>
      </c>
      <c r="AN85" s="59">
        <f ca="1">AVERAGE(OFFSET($AM$3,0,0,'Données projet'!$E$10+1,1))-AVERAGE(OFFSET($H$3,0,0,'Données projet'!$E$10+1,1))</f>
        <v>365.104658862176</v>
      </c>
      <c r="AO85" s="59">
        <f t="shared" si="90"/>
        <v>226.29232910286325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20.759743641192323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20.759743641192323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67.499788677845785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5.8</v>
      </c>
      <c r="BD85" s="12">
        <f>IF('Données projet'!$A$88&gt;35,BD84+BC85-BL84,IF(A85&lt;'Données projet'!$A$88,$BA$205^A85,IF(A85='Données projet'!$A$88,'Données projet'!$B$88,BD84+BC85-BL84)))</f>
        <v>251.59999999999997</v>
      </c>
      <c r="BE85" s="13">
        <f>BD85*VLOOKUP('Données projet'!$B$11,Paramètres!$A$1:$I$89,3,0)*VLOOKUP('Données projet'!$B$11,Paramètres!$A$1:$I$89,5,0)</f>
        <v>227.64767999999995</v>
      </c>
      <c r="BF85" s="13">
        <f t="shared" si="91"/>
        <v>55.773751036838362</v>
      </c>
      <c r="BG85" s="20">
        <f t="shared" si="61"/>
        <v>493.6256590558267</v>
      </c>
      <c r="BH85" s="59">
        <f t="shared" si="62"/>
        <v>777.79155087459458</v>
      </c>
      <c r="BI85" s="59">
        <f ca="1">AVERAGE(OFFSET($BH$3,0,0,'Données projet'!$E$11+1,1))-AVERAGE(OFFSET($H$3,0,0,'Données projet'!$E$11+1,1))</f>
        <v>388.12494342575195</v>
      </c>
      <c r="BJ85" s="59">
        <f t="shared" si="92"/>
        <v>239.39471445648454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22.297502429428789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22.297502429428789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67.499788677845785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5.8</v>
      </c>
      <c r="BY85" s="12">
        <f>IF('Données projet'!$A$114&gt;35,BY84+BX85-CG84,IF(A85&lt;'Données projet'!$A$114,$BV$205^A85,IF(A85='Données projet'!$A$114,'Données projet'!$B$114,BY84+BX85-CG84)))</f>
        <v>251.59999999999997</v>
      </c>
      <c r="BZ85" s="13">
        <f>BY85*VLOOKUP('Données projet'!$B$12,Paramètres!$A$1:$I$89,3,0)*VLOOKUP('Données projet'!$B$12,Paramètres!$A$1:$I$89,5,0)</f>
        <v>255.1224</v>
      </c>
      <c r="CA85" s="13">
        <f t="shared" si="93"/>
        <v>61.6815275542615</v>
      </c>
      <c r="CB85" s="20">
        <f t="shared" si="64"/>
        <v>551.76684049033884</v>
      </c>
      <c r="CC85" s="59">
        <f t="shared" si="65"/>
        <v>835.93273230910677</v>
      </c>
      <c r="CD85" s="59">
        <f ca="1">AVERAGE(OFFSET($CC$3,0,0,'Données projet'!$E$12+1,1))-AVERAGE(OFFSET($H$3,0,0,'Données projet'!$E$12+1,1))</f>
        <v>428.33148932885132</v>
      </c>
      <c r="CE85" s="59">
        <f t="shared" si="94"/>
        <v>262.27548054534373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24.988580308842607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24.988580308842607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67.499788677845785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4.4000000000000004</v>
      </c>
      <c r="CT85" s="12">
        <f>IF('Données projet'!$A$140&gt;35,CT84+CS85-DB84,IF(A85&lt;'Données projet'!$A$140,$CQ$205^A85,IF(A85='Données projet'!$A$140,'Données projet'!$B$140,CT84+CS85-DB84)))</f>
        <v>186.79999999999998</v>
      </c>
      <c r="CU85" s="17">
        <f>CT85*VLOOKUP('Données projet'!$B$13,Paramètres!$A$1:$I$89,3,0)*VLOOKUP('Données projet'!$B$13,Paramètres!$A$1:$I$89,5,0)</f>
        <v>177.75888</v>
      </c>
      <c r="CV85" s="13">
        <f t="shared" si="95"/>
        <v>44.823215265943972</v>
      </c>
      <c r="CW85" s="20">
        <f t="shared" si="67"/>
        <v>387.66381592151902</v>
      </c>
      <c r="CX85" s="59">
        <f t="shared" si="68"/>
        <v>671.82970774028695</v>
      </c>
      <c r="CY85" s="59">
        <f ca="1">AVERAGE(OFFSET($CX$3,0,0,'Données projet'!$E$13+1,1))-AVERAGE(OFFSET($H$3,0,0,'Données projet'!$E$13+1,1))</f>
        <v>307.62549820830162</v>
      </c>
      <c r="CZ85" s="59">
        <f t="shared" si="96"/>
        <v>160.26466014910304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13.780218311128026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13.780218311128026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67.499788677845785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-1.7053025658242404E-13</v>
      </c>
      <c r="DP85" s="17">
        <f>DO85*VLOOKUP('Données projet'!$B$14,Paramètres!$A$1:$I$89,3,0)*VLOOKUP('Données projet'!$B$14,Paramètres!$A$1:$I$89,5,0)</f>
        <v>-1.3567387213697657E-13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309.14579005132464</v>
      </c>
      <c r="DU85" s="59">
        <f t="shared" si="98"/>
        <v>300.60311050289533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88.491085610596386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88.491085610596386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67.499788677845785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>
        <f>EJ85*VLOOKUP('Données projet'!$B$15,Paramètres!$A$1:$I$89,3,0)*VLOOKUP('Données projet'!$B$15,Paramètres!$A$1:$I$89,5,0)</f>
        <v>0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338.59243085476896</v>
      </c>
      <c r="EP85" s="59">
        <f t="shared" si="100"/>
        <v>329.8393445823275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81.98575303429979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81.98575303429979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67.499788677845785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>
        <f>FE85*VLOOKUP('Données projet'!$B$16,Paramètres!$A$1:$I$89,3,0)*VLOOKUP('Données projet'!$B$16,Paramètres!$A$1:$I$89,5,0)</f>
        <v>0</v>
      </c>
      <c r="FG85" s="13" t="e">
        <f t="shared" si="101"/>
        <v>#NUM!</v>
      </c>
      <c r="FH85" s="20" t="e">
        <f t="shared" si="76"/>
        <v>#NUM!</v>
      </c>
      <c r="FI85" s="59" t="e">
        <f t="shared" si="77"/>
        <v>#NUM!</v>
      </c>
      <c r="FJ85" s="59">
        <f ca="1">AVERAGE(OFFSET($FI$3,0,0,'Données projet'!$E$16+1,1))-AVERAGE(OFFSET($H$3,0,0,'Données projet'!$E$16+1,1))</f>
        <v>307.50573770128085</v>
      </c>
      <c r="FK85" s="59">
        <f t="shared" si="102"/>
        <v>300.2007312562655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73.263864413629605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73.263864413629605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67.499788677845785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>
        <f>FZ85*VLOOKUP('Données projet'!$B$17,Paramètres!$A$1:$I$89,3,0)*VLOOKUP('Données projet'!$B$17,Paramètres!$A$1:$I$89,5,0)</f>
        <v>0</v>
      </c>
      <c r="GB85" s="13" t="e">
        <f t="shared" si="103"/>
        <v>#NUM!</v>
      </c>
      <c r="GC85" s="20" t="e">
        <f t="shared" si="79"/>
        <v>#NUM!</v>
      </c>
      <c r="GD85" s="59" t="e">
        <f t="shared" si="80"/>
        <v>#NUM!</v>
      </c>
      <c r="GE85" s="59">
        <f ca="1">AVERAGE(OFFSET($GD$3,0,0,'Données projet'!$E$17+1,1))-AVERAGE(OFFSET($H$3,0,0,'Données projet'!$E$17+1,1))</f>
        <v>369.60865427618342</v>
      </c>
      <c r="GF85" s="59">
        <f t="shared" si="104"/>
        <v>359.40898775279197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90.70764165496999</v>
      </c>
      <c r="GM85" s="21">
        <f>EXP(-LN(2)/25)*GM84+(1-EXP(-LN(2)/25))/(LN(2)/25)*Calculateur!GH85*Calculateur!GJ85*VLOOKUP('Données projet'!$B$17,Paramètres!$A$1:$I$89,3,0)*0.475*44/12</f>
        <v>0</v>
      </c>
      <c r="GN85" s="21">
        <f>EXP(-LN(2)/2)*GN84+(1-EXP(-LN(2)/2))/(LN(2)/2)*GH85*GK85*VLOOKUP('Données projet'!$B$17,Paramètres!$A$1:$I$89,3,0)*0.475*44/12</f>
        <v>0</v>
      </c>
      <c r="GO85" s="21">
        <f t="shared" si="81"/>
        <v>90.70764165496999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67.499788677845785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-1.7053025658242404E-13</v>
      </c>
      <c r="GV85" s="17">
        <f>GU85*VLOOKUP('Données projet'!$B$18,Paramètres!$A$1:$I$89,3,0)*VLOOKUP('Données projet'!$B$18,Paramètres!$A$1:$I$89,5,0)</f>
        <v>-1.1173142411280423E-13</v>
      </c>
      <c r="GW85" s="13" t="e">
        <f t="shared" si="105"/>
        <v>#NUM!</v>
      </c>
      <c r="GX85" s="20" t="e">
        <f t="shared" si="82"/>
        <v>#NUM!</v>
      </c>
      <c r="GY85" s="59" t="e">
        <f t="shared" si="83"/>
        <v>#NUM!</v>
      </c>
      <c r="GZ85" s="59">
        <f ca="1">AVERAGE(OFFSET($GY$3,0,0,'Données projet'!$E$18+1,1))-AVERAGE(OFFSET($H$3,0,0,'Données projet'!$E$18+1,1))</f>
        <v>262.62914256200031</v>
      </c>
      <c r="HA85" s="59">
        <f t="shared" si="106"/>
        <v>256.45129229594409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projet'!$B$18,Paramètres!$A$1:$I$89,3,0)*0.475*44/12</f>
        <v>59.125009475670396</v>
      </c>
      <c r="HH85" s="21">
        <f>EXP(-LN(2)/25)*HH84+(1-EXP(-LN(2)/25))/(LN(2)/25)*Calculateur!HC85*Calculateur!HE85*VLOOKUP('Données projet'!$B$18,Paramètres!$A$1:$I$89,3,0)*0.475*44/12</f>
        <v>0</v>
      </c>
      <c r="HI85" s="21">
        <f>EXP(-LN(2)/2)*HI84+(1-EXP(-LN(2)/2))/(LN(2)/2)*HC85*HF85*VLOOKUP('Données projet'!$B$18,Paramètres!$A$1:$I$89,3,0)*0.475*44/12</f>
        <v>0</v>
      </c>
      <c r="HJ85" s="22">
        <f t="shared" si="84"/>
        <v>59.125009475670396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2.1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7.7</v>
      </c>
      <c r="H86" s="67">
        <f t="shared" si="56"/>
        <v>225.86666666666665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67.543161754650029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8.4</v>
      </c>
      <c r="N86" s="13">
        <f>IF('Données projet'!$A$36&gt;35,N85+M86-V85,IF(A86&lt;'Données projet'!$A$36,$K$205^A86,IF(A86='Données projet'!$A$36,'Données projet'!$B$36,N85+M86-V85)))</f>
        <v>348.19999999999987</v>
      </c>
      <c r="O86" s="13">
        <f>N86*VLOOKUP('Données projet'!$B$9,Paramètres!$A$1:$I$89,3,0)*VLOOKUP('Données projet'!$B$9,Paramètres!$A$1:$I$89,5,0)</f>
        <v>298.7555999999999</v>
      </c>
      <c r="P86" s="13">
        <f t="shared" si="87"/>
        <v>70.915526361788238</v>
      </c>
      <c r="Q86" s="20">
        <f t="shared" si="54"/>
        <v>643.84387841344767</v>
      </c>
      <c r="R86" s="59">
        <f t="shared" si="55"/>
        <v>928.16880484716444</v>
      </c>
      <c r="S86" s="59">
        <f ca="1">AVERAGE(OFFSET($R$3,0,0,'Données projet'!$E$9+1,1))-AVERAGE(OFFSET($H$3,0,0,'Données projet'!$E$9+1,1))</f>
        <v>476.79071915271794</v>
      </c>
      <c r="T86" s="59">
        <f t="shared" si="88"/>
        <v>264.79929759351762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28.826610055056392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28.826610055056392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67.543161754650029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5.8</v>
      </c>
      <c r="AI86" s="13">
        <f>IF('Données projet'!$A$62&gt;35,AI85+AH86-AQ85,IF(A86&lt;'Données projet'!$A$62,$AF$205^A86,IF(A86='Données projet'!$A$62,'Données projet'!$B$62,AI85+AH86-AQ85)))</f>
        <v>257.39999999999998</v>
      </c>
      <c r="AJ86" s="13">
        <f>AI86*VLOOKUP('Données projet'!$B$10,Paramètres!$A$1:$I$89,3,0)*VLOOKUP('Données projet'!$B$10,Paramètres!$A$1:$I$89,5,0)</f>
        <v>216.83376000000001</v>
      </c>
      <c r="AK86" s="13">
        <f t="shared" si="89"/>
        <v>53.426139571233279</v>
      </c>
      <c r="AL86" s="20">
        <f t="shared" si="58"/>
        <v>470.70265841989794</v>
      </c>
      <c r="AM86" s="59">
        <f t="shared" si="59"/>
        <v>755.02758485361471</v>
      </c>
      <c r="AN86" s="59">
        <f ca="1">AVERAGE(OFFSET($AM$3,0,0,'Données projet'!$E$10+1,1))-AVERAGE(OFFSET($H$3,0,0,'Données projet'!$E$10+1,1))</f>
        <v>365.104658862176</v>
      </c>
      <c r="AO86" s="59">
        <f t="shared" si="90"/>
        <v>226.29232910286325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20.352657730581875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20.352657730581875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67.543161754650029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5.8</v>
      </c>
      <c r="BD86" s="12">
        <f>IF('Données projet'!$A$88&gt;35,BD85+BC86-BL85,IF(A86&lt;'Données projet'!$A$88,$BA$205^A86,IF(A86='Données projet'!$A$88,'Données projet'!$B$88,BD85+BC86-BL85)))</f>
        <v>257.39999999999998</v>
      </c>
      <c r="BE86" s="13">
        <f>BD86*VLOOKUP('Données projet'!$B$11,Paramètres!$A$1:$I$89,3,0)*VLOOKUP('Données projet'!$B$11,Paramètres!$A$1:$I$89,5,0)</f>
        <v>232.89551999999998</v>
      </c>
      <c r="BF86" s="13">
        <f t="shared" si="91"/>
        <v>56.908304063818662</v>
      </c>
      <c r="BG86" s="20">
        <f t="shared" si="61"/>
        <v>504.74166024448414</v>
      </c>
      <c r="BH86" s="59">
        <f t="shared" si="62"/>
        <v>789.06658667820091</v>
      </c>
      <c r="BI86" s="59">
        <f ca="1">AVERAGE(OFFSET($BH$3,0,0,'Données projet'!$E$11+1,1))-AVERAGE(OFFSET($H$3,0,0,'Données projet'!$E$11+1,1))</f>
        <v>388.12494342575195</v>
      </c>
      <c r="BJ86" s="59">
        <f t="shared" si="92"/>
        <v>239.39471445648454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21.860262006921271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21.860262006921271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67.543161754650029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5.8</v>
      </c>
      <c r="BY86" s="12">
        <f>IF('Données projet'!$A$114&gt;35,BY85+BX86-CG85,IF(A86&lt;'Données projet'!$A$114,$BV$205^A86,IF(A86='Données projet'!$A$114,'Données projet'!$B$114,BY85+BX86-CG85)))</f>
        <v>257.39999999999998</v>
      </c>
      <c r="BZ86" s="13">
        <f>BY86*VLOOKUP('Données projet'!$B$12,Paramètres!$A$1:$I$89,3,0)*VLOOKUP('Données projet'!$B$12,Paramètres!$A$1:$I$89,5,0)</f>
        <v>261.00360000000001</v>
      </c>
      <c r="CA86" s="13">
        <f t="shared" si="93"/>
        <v>62.936256929541173</v>
      </c>
      <c r="CB86" s="20">
        <f t="shared" si="64"/>
        <v>564.19525081895085</v>
      </c>
      <c r="CC86" s="59">
        <f t="shared" si="65"/>
        <v>848.52017725266762</v>
      </c>
      <c r="CD86" s="59">
        <f ca="1">AVERAGE(OFFSET($CC$3,0,0,'Données projet'!$E$12+1,1))-AVERAGE(OFFSET($H$3,0,0,'Données projet'!$E$12+1,1))</f>
        <v>428.33148932885132</v>
      </c>
      <c r="CE86" s="59">
        <f t="shared" si="94"/>
        <v>262.27548054534373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24.498569490515216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24.498569490515216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67.543161754650029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4.4000000000000004</v>
      </c>
      <c r="CT86" s="12">
        <f>IF('Données projet'!$A$140&gt;35,CT85+CS86-DB85,IF(A86&lt;'Données projet'!$A$140,$CQ$205^A86,IF(A86='Données projet'!$A$140,'Données projet'!$B$140,CT85+CS86-DB85)))</f>
        <v>191.2</v>
      </c>
      <c r="CU86" s="17">
        <f>CT86*VLOOKUP('Données projet'!$B$13,Paramètres!$A$1:$I$89,3,0)*VLOOKUP('Données projet'!$B$13,Paramètres!$A$1:$I$89,5,0)</f>
        <v>181.94592</v>
      </c>
      <c r="CV86" s="13">
        <f t="shared" si="95"/>
        <v>45.754846212632849</v>
      </c>
      <c r="CW86" s="20">
        <f t="shared" si="67"/>
        <v>396.57883448700221</v>
      </c>
      <c r="CX86" s="59">
        <f t="shared" si="68"/>
        <v>680.90376092071892</v>
      </c>
      <c r="CY86" s="59">
        <f ca="1">AVERAGE(OFFSET($CX$3,0,0,'Données projet'!$E$13+1,1))-AVERAGE(OFFSET($H$3,0,0,'Données projet'!$E$13+1,1))</f>
        <v>307.62549820830162</v>
      </c>
      <c r="CZ86" s="59">
        <f t="shared" si="96"/>
        <v>160.26466014910304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13.50999663515004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13.50999663515004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67.543161754650029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-1.7053025658242404E-13</v>
      </c>
      <c r="DP86" s="17">
        <f>DO86*VLOOKUP('Données projet'!$B$14,Paramètres!$A$1:$I$89,3,0)*VLOOKUP('Données projet'!$B$14,Paramètres!$A$1:$I$89,5,0)</f>
        <v>-1.3567387213697657E-13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309.14579005132464</v>
      </c>
      <c r="DU86" s="59">
        <f t="shared" si="98"/>
        <v>300.60311050289533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86.755829396005296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86.755829396005296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67.543161754650029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>
        <f>EJ86*VLOOKUP('Données projet'!$B$15,Paramètres!$A$1:$I$89,3,0)*VLOOKUP('Données projet'!$B$15,Paramètres!$A$1:$I$89,5,0)</f>
        <v>0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338.59243085476896</v>
      </c>
      <c r="EP86" s="59">
        <f t="shared" si="100"/>
        <v>329.8393445823275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80.378062423668808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80.378062423668808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67.543161754650029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>
        <f>FE86*VLOOKUP('Données projet'!$B$16,Paramètres!$A$1:$I$89,3,0)*VLOOKUP('Données projet'!$B$16,Paramètres!$A$1:$I$89,5,0)</f>
        <v>0</v>
      </c>
      <c r="FG86" s="13" t="e">
        <f t="shared" si="101"/>
        <v>#NUM!</v>
      </c>
      <c r="FH86" s="20" t="e">
        <f t="shared" si="76"/>
        <v>#NUM!</v>
      </c>
      <c r="FI86" s="59" t="e">
        <f t="shared" si="77"/>
        <v>#NUM!</v>
      </c>
      <c r="FJ86" s="59">
        <f ca="1">AVERAGE(OFFSET($FI$3,0,0,'Données projet'!$E$16+1,1))-AVERAGE(OFFSET($H$3,0,0,'Données projet'!$E$16+1,1))</f>
        <v>307.50573770128085</v>
      </c>
      <c r="FK86" s="59">
        <f t="shared" si="102"/>
        <v>300.2007312562655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71.827204719023186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71.827204719023186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67.543161754650029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>
        <f>FZ86*VLOOKUP('Données projet'!$B$17,Paramètres!$A$1:$I$89,3,0)*VLOOKUP('Données projet'!$B$17,Paramètres!$A$1:$I$89,5,0)</f>
        <v>0</v>
      </c>
      <c r="GB86" s="13" t="e">
        <f t="shared" si="103"/>
        <v>#NUM!</v>
      </c>
      <c r="GC86" s="20" t="e">
        <f t="shared" si="79"/>
        <v>#NUM!</v>
      </c>
      <c r="GD86" s="59" t="e">
        <f t="shared" si="80"/>
        <v>#NUM!</v>
      </c>
      <c r="GE86" s="59">
        <f ca="1">AVERAGE(OFFSET($GD$3,0,0,'Données projet'!$E$17+1,1))-AVERAGE(OFFSET($H$3,0,0,'Données projet'!$E$17+1,1))</f>
        <v>369.60865427618342</v>
      </c>
      <c r="GF86" s="59">
        <f t="shared" si="104"/>
        <v>359.40898775279197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88.928920128314431</v>
      </c>
      <c r="GM86" s="21">
        <f>EXP(-LN(2)/25)*GM85+(1-EXP(-LN(2)/25))/(LN(2)/25)*Calculateur!GH86*Calculateur!GJ86*VLOOKUP('Données projet'!$B$17,Paramètres!$A$1:$I$89,3,0)*0.475*44/12</f>
        <v>0</v>
      </c>
      <c r="GN86" s="21">
        <f>EXP(-LN(2)/2)*GN85+(1-EXP(-LN(2)/2))/(LN(2)/2)*GH86*GK86*VLOOKUP('Données projet'!$B$17,Paramètres!$A$1:$I$89,3,0)*0.475*44/12</f>
        <v>0</v>
      </c>
      <c r="GO86" s="21">
        <f t="shared" si="81"/>
        <v>88.928920128314431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67.543161754650029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-1.7053025658242404E-13</v>
      </c>
      <c r="GV86" s="17">
        <f>GU86*VLOOKUP('Données projet'!$B$18,Paramètres!$A$1:$I$89,3,0)*VLOOKUP('Données projet'!$B$18,Paramètres!$A$1:$I$89,5,0)</f>
        <v>-1.1173142411280423E-13</v>
      </c>
      <c r="GW86" s="13" t="e">
        <f t="shared" si="105"/>
        <v>#NUM!</v>
      </c>
      <c r="GX86" s="20" t="e">
        <f t="shared" si="82"/>
        <v>#NUM!</v>
      </c>
      <c r="GY86" s="59" t="e">
        <f t="shared" si="83"/>
        <v>#NUM!</v>
      </c>
      <c r="GZ86" s="59">
        <f ca="1">AVERAGE(OFFSET($GY$3,0,0,'Données projet'!$E$18+1,1))-AVERAGE(OFFSET($H$3,0,0,'Données projet'!$E$18+1,1))</f>
        <v>262.62914256200031</v>
      </c>
      <c r="HA86" s="59">
        <f t="shared" si="106"/>
        <v>256.45129229594409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projet'!$B$18,Paramètres!$A$1:$I$89,3,0)*0.475*44/12</f>
        <v>57.965604102547381</v>
      </c>
      <c r="HH86" s="21">
        <f>EXP(-LN(2)/25)*HH85+(1-EXP(-LN(2)/25))/(LN(2)/25)*Calculateur!HC86*Calculateur!HE86*VLOOKUP('Données projet'!$B$18,Paramètres!$A$1:$I$89,3,0)*0.475*44/12</f>
        <v>0</v>
      </c>
      <c r="HI86" s="21">
        <f>EXP(-LN(2)/2)*HI85+(1-EXP(-LN(2)/2))/(LN(2)/2)*HC86*HF86*VLOOKUP('Données projet'!$B$18,Paramètres!$A$1:$I$89,3,0)*0.475*44/12</f>
        <v>0</v>
      </c>
      <c r="HJ86" s="22">
        <f t="shared" si="84"/>
        <v>57.965604102547381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2.1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7.7</v>
      </c>
      <c r="H87" s="67">
        <f t="shared" si="56"/>
        <v>225.86666666666665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67.585782405539391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8.4</v>
      </c>
      <c r="N87" s="13">
        <f>IF('Données projet'!$A$36&gt;35,N86+M87-V86,IF(A87&lt;'Données projet'!$A$36,$K$205^A87,IF(A87='Données projet'!$A$36,'Données projet'!$B$36,N86+M87-V86)))</f>
        <v>356.59999999999985</v>
      </c>
      <c r="O87" s="13">
        <f>N87*VLOOKUP('Données projet'!$B$9,Paramètres!$A$1:$I$89,3,0)*VLOOKUP('Données projet'!$B$9,Paramètres!$A$1:$I$89,5,0)</f>
        <v>305.9627999999999</v>
      </c>
      <c r="P87" s="13">
        <f t="shared" si="87"/>
        <v>72.425059957831166</v>
      </c>
      <c r="Q87" s="20">
        <f t="shared" si="54"/>
        <v>659.0255227598891</v>
      </c>
      <c r="R87" s="59">
        <f t="shared" si="55"/>
        <v>943.50672491353362</v>
      </c>
      <c r="S87" s="59">
        <f ca="1">AVERAGE(OFFSET($R$3,0,0,'Données projet'!$E$9+1,1))-AVERAGE(OFFSET($H$3,0,0,'Données projet'!$E$9+1,1))</f>
        <v>476.79071915271794</v>
      </c>
      <c r="T87" s="59">
        <f t="shared" si="88"/>
        <v>264.79929759351762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28.261337814372741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28.261337814372741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67.585782405539391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5.8</v>
      </c>
      <c r="AI87" s="13">
        <f>IF('Données projet'!$A$62&gt;35,AI86+AH87-AQ86,IF(A87&lt;'Données projet'!$A$62,$AF$205^A87,IF(A87='Données projet'!$A$62,'Données projet'!$B$62,AI86+AH87-AQ86)))</f>
        <v>263.2</v>
      </c>
      <c r="AJ87" s="13">
        <f>AI87*VLOOKUP('Données projet'!$B$10,Paramètres!$A$1:$I$89,3,0)*VLOOKUP('Données projet'!$B$10,Paramètres!$A$1:$I$89,5,0)</f>
        <v>221.71968000000004</v>
      </c>
      <c r="AK87" s="13">
        <f t="shared" si="89"/>
        <v>54.488480126819368</v>
      </c>
      <c r="AL87" s="20">
        <f t="shared" si="58"/>
        <v>481.06254555421037</v>
      </c>
      <c r="AM87" s="59">
        <f t="shared" si="59"/>
        <v>765.54374770785489</v>
      </c>
      <c r="AN87" s="59">
        <f ca="1">AVERAGE(OFFSET($AM$3,0,0,'Données projet'!$E$10+1,1))-AVERAGE(OFFSET($H$3,0,0,'Données projet'!$E$10+1,1))</f>
        <v>365.104658862176</v>
      </c>
      <c r="AO87" s="59">
        <f t="shared" si="90"/>
        <v>226.29232910286325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19.953554526380611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19.953554526380611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67.585782405539391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5.8</v>
      </c>
      <c r="BD87" s="12">
        <f>IF('Données projet'!$A$88&gt;35,BD86+BC87-BL86,IF(A87&lt;'Données projet'!$A$88,$BA$205^A87,IF(A87='Données projet'!$A$88,'Données projet'!$B$88,BD86+BC87-BL86)))</f>
        <v>263.2</v>
      </c>
      <c r="BE87" s="13">
        <f>BD87*VLOOKUP('Données projet'!$B$11,Paramètres!$A$1:$I$89,3,0)*VLOOKUP('Données projet'!$B$11,Paramètres!$A$1:$I$89,5,0)</f>
        <v>238.14335999999997</v>
      </c>
      <c r="BF87" s="13">
        <f t="shared" si="91"/>
        <v>58.039884968630489</v>
      </c>
      <c r="BG87" s="20">
        <f t="shared" si="61"/>
        <v>515.85248498703129</v>
      </c>
      <c r="BH87" s="59">
        <f t="shared" si="62"/>
        <v>800.33368714067569</v>
      </c>
      <c r="BI87" s="59">
        <f ca="1">AVERAGE(OFFSET($BH$3,0,0,'Données projet'!$E$11+1,1))-AVERAGE(OFFSET($H$3,0,0,'Données projet'!$E$11+1,1))</f>
        <v>388.12494342575195</v>
      </c>
      <c r="BJ87" s="59">
        <f t="shared" si="92"/>
        <v>239.39471445648454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21.431595602408802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21.431595602408802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67.585782405539391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5.8</v>
      </c>
      <c r="BY87" s="12">
        <f>IF('Données projet'!$A$114&gt;35,BY86+BX87-CG86,IF(A87&lt;'Données projet'!$A$114,$BV$205^A87,IF(A87='Données projet'!$A$114,'Données projet'!$B$114,BY86+BX87-CG86)))</f>
        <v>263.2</v>
      </c>
      <c r="BZ87" s="13">
        <f>BY87*VLOOKUP('Données projet'!$B$12,Paramètres!$A$1:$I$89,3,0)*VLOOKUP('Données projet'!$B$12,Paramètres!$A$1:$I$89,5,0)</f>
        <v>266.88480000000004</v>
      </c>
      <c r="CA87" s="13">
        <f t="shared" si="93"/>
        <v>64.18769936370569</v>
      </c>
      <c r="CB87" s="20">
        <f t="shared" si="64"/>
        <v>576.61793639178745</v>
      </c>
      <c r="CC87" s="59">
        <f t="shared" si="65"/>
        <v>861.09913854543197</v>
      </c>
      <c r="CD87" s="59">
        <f ca="1">AVERAGE(OFFSET($CC$3,0,0,'Données projet'!$E$12+1,1))-AVERAGE(OFFSET($H$3,0,0,'Données projet'!$E$12+1,1))</f>
        <v>428.33148932885132</v>
      </c>
      <c r="CE87" s="59">
        <f t="shared" si="94"/>
        <v>262.27548054534373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24.018167485458136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24.018167485458136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67.585782405539391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4.4000000000000004</v>
      </c>
      <c r="CT87" s="12">
        <f>IF('Données projet'!$A$140&gt;35,CT86+CS87-DB86,IF(A87&lt;'Données projet'!$A$140,$CQ$205^A87,IF(A87='Données projet'!$A$140,'Données projet'!$B$140,CT86+CS87-DB86)))</f>
        <v>195.6</v>
      </c>
      <c r="CU87" s="17">
        <f>CT87*VLOOKUP('Données projet'!$B$13,Paramètres!$A$1:$I$89,3,0)*VLOOKUP('Données projet'!$B$13,Paramètres!$A$1:$I$89,5,0)</f>
        <v>186.13296</v>
      </c>
      <c r="CV87" s="13">
        <f t="shared" si="95"/>
        <v>46.683984742595676</v>
      </c>
      <c r="CW87" s="20">
        <f t="shared" si="67"/>
        <v>405.48951209335405</v>
      </c>
      <c r="CX87" s="59">
        <f t="shared" si="68"/>
        <v>689.97071424699857</v>
      </c>
      <c r="CY87" s="59">
        <f ca="1">AVERAGE(OFFSET($CX$3,0,0,'Données projet'!$E$13+1,1))-AVERAGE(OFFSET($H$3,0,0,'Données projet'!$E$13+1,1))</f>
        <v>307.62549820830162</v>
      </c>
      <c r="CZ87" s="59">
        <f t="shared" si="96"/>
        <v>160.26466014910304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13.245073841419035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13.245073841419035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67.585782405539391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-1.7053025658242404E-13</v>
      </c>
      <c r="DP87" s="17">
        <f>DO87*VLOOKUP('Données projet'!$B$14,Paramètres!$A$1:$I$89,3,0)*VLOOKUP('Données projet'!$B$14,Paramètres!$A$1:$I$89,5,0)</f>
        <v>-1.3567387213697657E-13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309.14579005132464</v>
      </c>
      <c r="DU87" s="59">
        <f t="shared" si="98"/>
        <v>300.60311050289533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85.054600497380562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85.054600497380562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67.585782405539391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>
        <f>EJ87*VLOOKUP('Données projet'!$B$15,Paramètres!$A$1:$I$89,3,0)*VLOOKUP('Données projet'!$B$15,Paramètres!$A$1:$I$89,5,0)</f>
        <v>0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338.59243085476896</v>
      </c>
      <c r="EP87" s="59">
        <f t="shared" si="100"/>
        <v>329.8393445823275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78.801897645317851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78.801897645317851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67.585782405539391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>
        <f>FE87*VLOOKUP('Données projet'!$B$16,Paramètres!$A$1:$I$89,3,0)*VLOOKUP('Données projet'!$B$16,Paramètres!$A$1:$I$89,5,0)</f>
        <v>0</v>
      </c>
      <c r="FG87" s="13" t="e">
        <f t="shared" si="101"/>
        <v>#NUM!</v>
      </c>
      <c r="FH87" s="20" t="e">
        <f t="shared" si="76"/>
        <v>#NUM!</v>
      </c>
      <c r="FI87" s="59" t="e">
        <f t="shared" si="77"/>
        <v>#NUM!</v>
      </c>
      <c r="FJ87" s="59">
        <f ca="1">AVERAGE(OFFSET($FI$3,0,0,'Données projet'!$E$16+1,1))-AVERAGE(OFFSET($H$3,0,0,'Données projet'!$E$16+1,1))</f>
        <v>307.50573770128085</v>
      </c>
      <c r="FK87" s="59">
        <f t="shared" si="102"/>
        <v>300.2007312562655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70.418717044752114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70.418717044752114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67.585782405539391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>
        <f>FZ87*VLOOKUP('Données projet'!$B$17,Paramètres!$A$1:$I$89,3,0)*VLOOKUP('Données projet'!$B$17,Paramètres!$A$1:$I$89,5,0)</f>
        <v>0</v>
      </c>
      <c r="GB87" s="13" t="e">
        <f t="shared" si="103"/>
        <v>#NUM!</v>
      </c>
      <c r="GC87" s="20" t="e">
        <f t="shared" si="79"/>
        <v>#NUM!</v>
      </c>
      <c r="GD87" s="59" t="e">
        <f t="shared" si="80"/>
        <v>#NUM!</v>
      </c>
      <c r="GE87" s="59">
        <f ca="1">AVERAGE(OFFSET($GD$3,0,0,'Données projet'!$E$17+1,1))-AVERAGE(OFFSET($H$3,0,0,'Données projet'!$E$17+1,1))</f>
        <v>369.60865427618342</v>
      </c>
      <c r="GF87" s="59">
        <f t="shared" si="104"/>
        <v>359.40898775279197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87.185078245883588</v>
      </c>
      <c r="GM87" s="21">
        <f>EXP(-LN(2)/25)*GM86+(1-EXP(-LN(2)/25))/(LN(2)/25)*Calculateur!GH87*Calculateur!GJ87*VLOOKUP('Données projet'!$B$17,Paramètres!$A$1:$I$89,3,0)*0.475*44/12</f>
        <v>0</v>
      </c>
      <c r="GN87" s="21">
        <f>EXP(-LN(2)/2)*GN86+(1-EXP(-LN(2)/2))/(LN(2)/2)*GH87*GK87*VLOOKUP('Données projet'!$B$17,Paramètres!$A$1:$I$89,3,0)*0.475*44/12</f>
        <v>0</v>
      </c>
      <c r="GO87" s="21">
        <f t="shared" si="81"/>
        <v>87.185078245883588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67.585782405539391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-1.7053025658242404E-13</v>
      </c>
      <c r="GV87" s="17">
        <f>GU87*VLOOKUP('Données projet'!$B$18,Paramètres!$A$1:$I$89,3,0)*VLOOKUP('Données projet'!$B$18,Paramètres!$A$1:$I$89,5,0)</f>
        <v>-1.1173142411280423E-13</v>
      </c>
      <c r="GW87" s="13" t="e">
        <f t="shared" si="105"/>
        <v>#NUM!</v>
      </c>
      <c r="GX87" s="20" t="e">
        <f t="shared" si="82"/>
        <v>#NUM!</v>
      </c>
      <c r="GY87" s="59" t="e">
        <f t="shared" si="83"/>
        <v>#NUM!</v>
      </c>
      <c r="GZ87" s="59">
        <f ca="1">AVERAGE(OFFSET($GY$3,0,0,'Données projet'!$E$18+1,1))-AVERAGE(OFFSET($H$3,0,0,'Données projet'!$E$18+1,1))</f>
        <v>262.62914256200031</v>
      </c>
      <c r="HA87" s="59">
        <f t="shared" si="106"/>
        <v>256.45129229594409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projet'!$B$18,Paramètres!$A$1:$I$89,3,0)*0.475*44/12</f>
        <v>56.828933961623861</v>
      </c>
      <c r="HH87" s="21">
        <f>EXP(-LN(2)/25)*HH86+(1-EXP(-LN(2)/25))/(LN(2)/25)*Calculateur!HC87*Calculateur!HE87*VLOOKUP('Données projet'!$B$18,Paramètres!$A$1:$I$89,3,0)*0.475*44/12</f>
        <v>0</v>
      </c>
      <c r="HI87" s="21">
        <f>EXP(-LN(2)/2)*HI86+(1-EXP(-LN(2)/2))/(LN(2)/2)*HC87*HF87*VLOOKUP('Données projet'!$B$18,Paramètres!$A$1:$I$89,3,0)*0.475*44/12</f>
        <v>0</v>
      </c>
      <c r="HJ87" s="22">
        <f t="shared" si="84"/>
        <v>56.828933961623861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2.1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7.7</v>
      </c>
      <c r="H88" s="67">
        <f t="shared" si="56"/>
        <v>225.86666666666665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67.627663683421332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365</v>
      </c>
      <c r="L88" s="12">
        <f>VLOOKUP(A88,'Données projet'!$A$35:$I$55,9,0)</f>
        <v>8.4</v>
      </c>
      <c r="M88" s="12">
        <f t="array" ref="M88">INDEX(L:L,MIN(IF(ISNUMBER(L88:L284),ROW(L88:L284),"")))</f>
        <v>8.4</v>
      </c>
      <c r="N88" s="13">
        <f>IF('Données projet'!$A$36&gt;35,N87+M88-V87,IF(A88&lt;'Données projet'!$A$36,$K$205^A88,IF(A88='Données projet'!$A$36,'Données projet'!$B$36,N87+M88-V87)))</f>
        <v>364.99999999999983</v>
      </c>
      <c r="O88" s="13">
        <f>N88*VLOOKUP('Données projet'!$B$9,Paramètres!$A$1:$I$89,3,0)*VLOOKUP('Données projet'!$B$9,Paramètres!$A$1:$I$89,5,0)</f>
        <v>313.1699999999999</v>
      </c>
      <c r="P88" s="13">
        <f t="shared" si="87"/>
        <v>73.930459835341836</v>
      </c>
      <c r="Q88" s="20">
        <f t="shared" si="54"/>
        <v>674.19996754655347</v>
      </c>
      <c r="R88" s="59">
        <f t="shared" si="55"/>
        <v>958.83473438576493</v>
      </c>
      <c r="S88" s="59">
        <f ca="1">AVERAGE(OFFSET($R$3,0,0,'Données projet'!$E$9+1,1))-AVERAGE(OFFSET($H$3,0,0,'Données projet'!$E$9+1,1))</f>
        <v>476.79071915271794</v>
      </c>
      <c r="T88" s="59">
        <f t="shared" si="88"/>
        <v>264.79929759351762</v>
      </c>
      <c r="U88" s="15">
        <f>IF(ISNA(VLOOKUP(A88,'Données projet'!$A$35:$I$55,3,0)),0,VLOOKUP(A88,'Données projet'!$A$35:$I$55,3,0))</f>
        <v>14</v>
      </c>
      <c r="V88" s="15">
        <f>IF(ISNA(VLOOKUP(A88,'Données projet'!$A$35:$I$55,4,0)),0,VLOOKUP(A88,'Données projet'!$A$35:$I$55,4,0))</f>
        <v>27</v>
      </c>
      <c r="W88" s="16">
        <f>IF(ISNA(VLOOKUP(A88,'Données projet'!$A$35:$I$55,5,0)),0%,VLOOKUP(A88,'Données projet'!$A$35:$I$55,5,0)*VLOOKUP('Données projet'!$B$9,Paramètres!$A$1:$I$89,7,0))</f>
        <v>0.318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35.850916143845659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35.850916143845659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67.627663683421332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269</v>
      </c>
      <c r="AG88" s="12">
        <f>VLOOKUP(A88,'Données projet'!$A$61:$I$81,9,0)</f>
        <v>5.8</v>
      </c>
      <c r="AH88" s="12">
        <f t="array" ref="AH88">INDEX(AG:AG,MIN(IF(ISNUMBER(AG88:AG284),ROW(AG88:AG284),"")))</f>
        <v>5.8</v>
      </c>
      <c r="AI88" s="13">
        <f>IF('Données projet'!$A$62&gt;35,AI87+AH88-AQ87,IF(A88&lt;'Données projet'!$A$62,$AF$205^A88,IF(A88='Données projet'!$A$62,'Données projet'!$B$62,AI87+AH88-AQ87)))</f>
        <v>269</v>
      </c>
      <c r="AJ88" s="13">
        <f>AI88*VLOOKUP('Données projet'!$B$10,Paramètres!$A$1:$I$89,3,0)*VLOOKUP('Données projet'!$B$10,Paramètres!$A$1:$I$89,5,0)</f>
        <v>226.60560000000004</v>
      </c>
      <c r="AK88" s="13">
        <f t="shared" si="89"/>
        <v>55.548098989444924</v>
      </c>
      <c r="AL88" s="20">
        <f t="shared" si="58"/>
        <v>491.41769240661648</v>
      </c>
      <c r="AM88" s="59">
        <f t="shared" si="59"/>
        <v>776.052459245828</v>
      </c>
      <c r="AN88" s="59">
        <f ca="1">AVERAGE(OFFSET($AM$3,0,0,'Données projet'!$E$10+1,1))-AVERAGE(OFFSET($H$3,0,0,'Données projet'!$E$10+1,1))</f>
        <v>365.104658862176</v>
      </c>
      <c r="AO88" s="59">
        <f t="shared" si="90"/>
        <v>226.29232910286325</v>
      </c>
      <c r="AP88" s="15">
        <f>IF(ISNA(VLOOKUP(A88,'Données projet'!$A$61:$I$81,3,0)),0,VLOOKUP(A88,'Données projet'!$A$61:$I$81,3,0))</f>
        <v>14</v>
      </c>
      <c r="AQ88" s="15">
        <f>IF(ISNA(VLOOKUP(A88,'Données projet'!$A$61:$I$81,4,0)),0,VLOOKUP(A88,'Données projet'!$A$61:$I$81,4,0))</f>
        <v>21</v>
      </c>
      <c r="AR88" s="16">
        <f>IF(ISNA(VLOOKUP(A88,'Données projet'!$A$61:$I$81,5,0)),0%,VLOOKUP(A88,'Données projet'!$A$61:$I$81,5,0)*VLOOKUP('Données projet'!$B$10,Paramètres!$A$1:$I$89,7,0))</f>
        <v>0.25800000000000001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24.607780498723958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24.607780498723958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67.627663683421332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269</v>
      </c>
      <c r="BB88" s="12">
        <f>VLOOKUP(A88,'Données projet'!$A$87:$I$107,9,0)</f>
        <v>5.8</v>
      </c>
      <c r="BC88" s="12">
        <f t="array" ref="BC88">INDEX(BB:BB,MIN(IF(ISNUMBER(BB88:BB284),ROW(BB88:BB284),"")))</f>
        <v>5.8</v>
      </c>
      <c r="BD88" s="12">
        <f>IF('Données projet'!$A$88&gt;35,BD87+BC88-BL87,IF(A88&lt;'Données projet'!$A$88,$BA$205^A88,IF(A88='Données projet'!$A$88,'Données projet'!$B$88,BD87+BC88-BL87)))</f>
        <v>269</v>
      </c>
      <c r="BE88" s="13">
        <f>BD88*VLOOKUP('Données projet'!$B$11,Paramètres!$A$1:$I$89,3,0)*VLOOKUP('Données projet'!$B$11,Paramètres!$A$1:$I$89,5,0)</f>
        <v>243.39119999999997</v>
      </c>
      <c r="BF88" s="13">
        <f t="shared" si="91"/>
        <v>59.168566788241527</v>
      </c>
      <c r="BG88" s="20">
        <f t="shared" si="61"/>
        <v>526.95826048952063</v>
      </c>
      <c r="BH88" s="59">
        <f t="shared" si="62"/>
        <v>811.59302732873221</v>
      </c>
      <c r="BI88" s="59">
        <f ca="1">AVERAGE(OFFSET($BH$3,0,0,'Données projet'!$E$11+1,1))-AVERAGE(OFFSET($H$3,0,0,'Données projet'!$E$11+1,1))</f>
        <v>388.12494342575195</v>
      </c>
      <c r="BJ88" s="59">
        <f t="shared" si="92"/>
        <v>239.39471445648454</v>
      </c>
      <c r="BK88" s="15">
        <f>IF(ISNA(VLOOKUP(A88,'Données projet'!$A$87:$I$107,3,0)),0,VLOOKUP(A88,'Données projet'!$A$87:$I$107,3,0))</f>
        <v>14</v>
      </c>
      <c r="BL88" s="15">
        <f>IF(ISNA(VLOOKUP(A88,'Données projet'!$A$87:$I$107,4,0)),0,VLOOKUP(A88,'Données projet'!$A$87:$I$107,4,0))</f>
        <v>21</v>
      </c>
      <c r="BM88" s="16">
        <f>IF(ISNA(VLOOKUP(A88,'Données projet'!$A$87:$I$107,5,0)),0%,VLOOKUP(A88,'Données projet'!$A$87:$I$107,5,0)*VLOOKUP('Données projet'!$B$11,Paramètres!$A$1:$I$89,7,0))</f>
        <v>0.25800000000000001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26.430579054184989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26.430579054184989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67.627663683421332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269</v>
      </c>
      <c r="BW88" s="12">
        <f>VLOOKUP(A88,'Données projet'!$A$113:$I$133,9,0)</f>
        <v>5.8</v>
      </c>
      <c r="BX88" s="12">
        <f t="array" ref="BX88">INDEX(BW:BW,MIN(IF(ISNUMBER(BW88:BW284),ROW(BW88:BW284),"")))</f>
        <v>5.8</v>
      </c>
      <c r="BY88" s="12">
        <f>IF('Données projet'!$A$114&gt;35,BY87+BX88-CG87,IF(A88&lt;'Données projet'!$A$114,$BV$205^A88,IF(A88='Données projet'!$A$114,'Données projet'!$B$114,BY87+BX88-CG87)))</f>
        <v>269</v>
      </c>
      <c r="BZ88" s="13">
        <f>BY88*VLOOKUP('Données projet'!$B$12,Paramètres!$A$1:$I$89,3,0)*VLOOKUP('Données projet'!$B$12,Paramètres!$A$1:$I$89,5,0)</f>
        <v>272.76600000000002</v>
      </c>
      <c r="CA88" s="13">
        <f t="shared" si="93"/>
        <v>65.43593563008757</v>
      </c>
      <c r="CB88" s="20">
        <f t="shared" si="64"/>
        <v>589.03503788906914</v>
      </c>
      <c r="CC88" s="59">
        <f t="shared" si="65"/>
        <v>873.66980472828072</v>
      </c>
      <c r="CD88" s="59">
        <f ca="1">AVERAGE(OFFSET($CC$3,0,0,'Données projet'!$E$12+1,1))-AVERAGE(OFFSET($H$3,0,0,'Données projet'!$E$12+1,1))</f>
        <v>428.33148932885132</v>
      </c>
      <c r="CE88" s="59">
        <f t="shared" si="94"/>
        <v>262.27548054534373</v>
      </c>
      <c r="CF88" s="15">
        <f>IF(ISNA(VLOOKUP(A88,'Données projet'!$A$113:$I$133,3,0)),0,VLOOKUP(A88,'Données projet'!$A$113:$I$133,3,0))</f>
        <v>14</v>
      </c>
      <c r="CG88" s="15">
        <f>IF(ISNA(VLOOKUP(A88,'Données projet'!$A$113:$I$133,4,0)),0,VLOOKUP(A88,'Données projet'!$A$113:$I$133,4,0))</f>
        <v>21</v>
      </c>
      <c r="CH88" s="16">
        <f>IF(ISNA(VLOOKUP(A88,'Données projet'!$A$113:$I$133,5,0)),0%,VLOOKUP(A88,'Données projet'!$A$113:$I$133,5,0)*VLOOKUP('Données projet'!$B$12,Paramètres!$A$1:$I$89,7,0))</f>
        <v>0.25800000000000001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29.620476526241795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29.620476526241795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67.627663683421332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>
        <f>VLOOKUP(A88,'Données projet'!$A$139:$I$159,2,0)</f>
        <v>200</v>
      </c>
      <c r="CR88" s="12">
        <f>VLOOKUP(A88,'Données projet'!$A$139:$I$159,9,0)</f>
        <v>4.4000000000000004</v>
      </c>
      <c r="CS88" s="12">
        <f t="array" ref="CS88">INDEX(CR:CR,MIN(IF(ISNUMBER(CR88:CR284),ROW(CR88:CR284),"")))</f>
        <v>4.4000000000000004</v>
      </c>
      <c r="CT88" s="12">
        <f>IF('Données projet'!$A$140&gt;35,CT87+CS88-DB87,IF(A88&lt;'Données projet'!$A$140,$CQ$205^A88,IF(A88='Données projet'!$A$140,'Données projet'!$B$140,CT87+CS88-DB87)))</f>
        <v>200</v>
      </c>
      <c r="CU88" s="17">
        <f>CT88*VLOOKUP('Données projet'!$B$13,Paramètres!$A$1:$I$89,3,0)*VLOOKUP('Données projet'!$B$13,Paramètres!$A$1:$I$89,5,0)</f>
        <v>190.32</v>
      </c>
      <c r="CV88" s="13">
        <f t="shared" si="95"/>
        <v>47.61069337740188</v>
      </c>
      <c r="CW88" s="20">
        <f t="shared" si="67"/>
        <v>414.39595763230818</v>
      </c>
      <c r="CX88" s="59">
        <f t="shared" si="68"/>
        <v>699.03072447151976</v>
      </c>
      <c r="CY88" s="59">
        <f ca="1">AVERAGE(OFFSET($CX$3,0,0,'Données projet'!$E$13+1,1))-AVERAGE(OFFSET($H$3,0,0,'Données projet'!$E$13+1,1))</f>
        <v>307.62549820830162</v>
      </c>
      <c r="CZ88" s="59">
        <f t="shared" si="96"/>
        <v>160.26466014910304</v>
      </c>
      <c r="DA88" s="15">
        <f>IF(ISNA(VLOOKUP(A88,'Données projet'!$A$139:$I$159,3,0)),0,VLOOKUP(A88,'Données projet'!$A$139:$I$159,3,0))</f>
        <v>13</v>
      </c>
      <c r="DB88" s="15">
        <f>IF(ISNA(VLOOKUP(A88,'Données projet'!$A$139:$I$159,4,0)),0,VLOOKUP(A88,'Données projet'!$A$139:$I$159,4,0))</f>
        <v>14</v>
      </c>
      <c r="DC88" s="16">
        <f>IF(ISNA(VLOOKUP(A88,'Données projet'!$A$139:$I$159,5,0)),0%,VLOOKUP(A88,'Données projet'!$A$139:$I$159,5,0)*VLOOKUP('Données projet'!$B$13,Paramètres!$A$1:$I$89,7,0))</f>
        <v>0.25800000000000001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16.785045816832906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16.785045816832906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67.627663683421332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-1.7053025658242404E-13</v>
      </c>
      <c r="DP88" s="17">
        <f>DO88*VLOOKUP('Données projet'!$B$14,Paramètres!$A$1:$I$89,3,0)*VLOOKUP('Données projet'!$B$14,Paramètres!$A$1:$I$89,5,0)</f>
        <v>-1.3567387213697657E-13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309.14579005132464</v>
      </c>
      <c r="DU88" s="59">
        <f t="shared" si="98"/>
        <v>300.60311050289533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83.386731659810692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83.386731659810692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67.627663683421332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>
        <f>EJ88*VLOOKUP('Données projet'!$B$15,Paramètres!$A$1:$I$89,3,0)*VLOOKUP('Données projet'!$B$15,Paramètres!$A$1:$I$89,5,0)</f>
        <v>0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338.59243085476896</v>
      </c>
      <c r="EP88" s="59">
        <f t="shared" si="100"/>
        <v>329.8393445823275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77.256640496904765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77.256640496904765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67.627663683421332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>
        <f>FE88*VLOOKUP('Données projet'!$B$16,Paramètres!$A$1:$I$89,3,0)*VLOOKUP('Données projet'!$B$16,Paramètres!$A$1:$I$89,5,0)</f>
        <v>0</v>
      </c>
      <c r="FG88" s="13" t="e">
        <f t="shared" si="101"/>
        <v>#NUM!</v>
      </c>
      <c r="FH88" s="20" t="e">
        <f t="shared" si="76"/>
        <v>#NUM!</v>
      </c>
      <c r="FI88" s="59" t="e">
        <f t="shared" si="77"/>
        <v>#NUM!</v>
      </c>
      <c r="FJ88" s="59">
        <f ca="1">AVERAGE(OFFSET($FI$3,0,0,'Données projet'!$E$16+1,1))-AVERAGE(OFFSET($H$3,0,0,'Données projet'!$E$16+1,1))</f>
        <v>307.50573770128085</v>
      </c>
      <c r="FK88" s="59">
        <f t="shared" si="102"/>
        <v>300.2007312562655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69.03784895468084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69.03784895468084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67.627663683421332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>
        <f>FZ88*VLOOKUP('Données projet'!$B$17,Paramètres!$A$1:$I$89,3,0)*VLOOKUP('Données projet'!$B$17,Paramètres!$A$1:$I$89,5,0)</f>
        <v>0</v>
      </c>
      <c r="GB88" s="13" t="e">
        <f t="shared" si="103"/>
        <v>#NUM!</v>
      </c>
      <c r="GC88" s="20" t="e">
        <f t="shared" si="79"/>
        <v>#NUM!</v>
      </c>
      <c r="GD88" s="59" t="e">
        <f t="shared" si="80"/>
        <v>#NUM!</v>
      </c>
      <c r="GE88" s="59">
        <f ca="1">AVERAGE(OFFSET($GD$3,0,0,'Données projet'!$E$17+1,1))-AVERAGE(OFFSET($H$3,0,0,'Données projet'!$E$17+1,1))</f>
        <v>369.60865427618342</v>
      </c>
      <c r="GF88" s="59">
        <f t="shared" si="104"/>
        <v>359.40898775279197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85.475432039128691</v>
      </c>
      <c r="GM88" s="21">
        <f>EXP(-LN(2)/25)*GM87+(1-EXP(-LN(2)/25))/(LN(2)/25)*Calculateur!GH88*Calculateur!GJ88*VLOOKUP('Données projet'!$B$17,Paramètres!$A$1:$I$89,3,0)*0.475*44/12</f>
        <v>0</v>
      </c>
      <c r="GN88" s="21">
        <f>EXP(-LN(2)/2)*GN87+(1-EXP(-LN(2)/2))/(LN(2)/2)*GH88*GK88*VLOOKUP('Données projet'!$B$17,Paramètres!$A$1:$I$89,3,0)*0.475*44/12</f>
        <v>0</v>
      </c>
      <c r="GO88" s="21">
        <f t="shared" si="81"/>
        <v>85.475432039128691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67.627663683421332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-1.7053025658242404E-13</v>
      </c>
      <c r="GV88" s="17">
        <f>GU88*VLOOKUP('Données projet'!$B$18,Paramètres!$A$1:$I$89,3,0)*VLOOKUP('Données projet'!$B$18,Paramètres!$A$1:$I$89,5,0)</f>
        <v>-1.1173142411280423E-13</v>
      </c>
      <c r="GW88" s="13" t="e">
        <f t="shared" si="105"/>
        <v>#NUM!</v>
      </c>
      <c r="GX88" s="20" t="e">
        <f t="shared" si="82"/>
        <v>#NUM!</v>
      </c>
      <c r="GY88" s="59" t="e">
        <f t="shared" si="83"/>
        <v>#NUM!</v>
      </c>
      <c r="GZ88" s="59">
        <f ca="1">AVERAGE(OFFSET($GY$3,0,0,'Données projet'!$E$18+1,1))-AVERAGE(OFFSET($H$3,0,0,'Données projet'!$E$18+1,1))</f>
        <v>262.62914256200031</v>
      </c>
      <c r="HA88" s="59">
        <f t="shared" si="106"/>
        <v>256.45129229594409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>
        <f>EXP(-LN(2)/35)*HG87+(1-EXP(-LN(2)/35))/(LN(2)/35)*HC88*HD88*VLOOKUP('Données projet'!$B$18,Paramètres!$A$1:$I$89,3,0)*0.475*44/12</f>
        <v>55.714553228863522</v>
      </c>
      <c r="HH88" s="21">
        <f>EXP(-LN(2)/25)*HH87+(1-EXP(-LN(2)/25))/(LN(2)/25)*Calculateur!HC88*Calculateur!HE88*VLOOKUP('Données projet'!$B$18,Paramètres!$A$1:$I$89,3,0)*0.475*44/12</f>
        <v>0</v>
      </c>
      <c r="HI88" s="21">
        <f>EXP(-LN(2)/2)*HI87+(1-EXP(-LN(2)/2))/(LN(2)/2)*HC88*HF88*VLOOKUP('Données projet'!$B$18,Paramètres!$A$1:$I$89,3,0)*0.475*44/12</f>
        <v>0</v>
      </c>
      <c r="HJ88" s="22">
        <f t="shared" si="84"/>
        <v>55.714553228863522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2.1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7.7</v>
      </c>
      <c r="H89" s="67">
        <f t="shared" si="56"/>
        <v>225.86666666666665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67.66881841476453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7.8</v>
      </c>
      <c r="N89" s="13">
        <f>IF('Données projet'!$A$36&gt;35,N88+M89-V88,IF(A89&lt;'Données projet'!$A$36,$K$205^A89,IF(A89='Données projet'!$A$36,'Données projet'!$B$36,N88+M89-V88)))</f>
        <v>345.79999999999984</v>
      </c>
      <c r="O89" s="13">
        <f>N89*VLOOKUP('Données projet'!$B$9,Paramètres!$A$1:$I$89,3,0)*VLOOKUP('Données projet'!$B$9,Paramètres!$A$1:$I$89,5,0)</f>
        <v>296.69639999999993</v>
      </c>
      <c r="P89" s="13">
        <f t="shared" si="87"/>
        <v>70.48345633189993</v>
      </c>
      <c r="Q89" s="20">
        <f t="shared" si="54"/>
        <v>639.5049164447255</v>
      </c>
      <c r="R89" s="59">
        <f t="shared" si="55"/>
        <v>924.29058396552887</v>
      </c>
      <c r="S89" s="59">
        <f ca="1">AVERAGE(OFFSET($R$3,0,0,'Données projet'!$E$9+1,1))-AVERAGE(OFFSET($H$3,0,0,'Données projet'!$E$9+1,1))</f>
        <v>476.79071915271794</v>
      </c>
      <c r="T89" s="59">
        <f t="shared" si="88"/>
        <v>264.79929759351762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35.147901545164515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35.147901545164515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67.66881841476453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5.4</v>
      </c>
      <c r="AI89" s="13">
        <f>IF('Données projet'!$A$62&gt;35,AI88+AH89-AQ88,IF(A89&lt;'Données projet'!$A$62,$AF$205^A89,IF(A89='Données projet'!$A$62,'Données projet'!$B$62,AI88+AH89-AQ88)))</f>
        <v>253.39999999999998</v>
      </c>
      <c r="AJ89" s="13">
        <f>AI89*VLOOKUP('Données projet'!$B$10,Paramètres!$A$1:$I$89,3,0)*VLOOKUP('Données projet'!$B$10,Paramètres!$A$1:$I$89,5,0)</f>
        <v>213.46415999999999</v>
      </c>
      <c r="AK89" s="13">
        <f t="shared" si="89"/>
        <v>52.691869461482241</v>
      </c>
      <c r="AL89" s="20">
        <f t="shared" si="58"/>
        <v>463.55508464541487</v>
      </c>
      <c r="AM89" s="59">
        <f t="shared" si="59"/>
        <v>748.34075216621818</v>
      </c>
      <c r="AN89" s="59">
        <f ca="1">AVERAGE(OFFSET($AM$3,0,0,'Données projet'!$E$10+1,1))-AVERAGE(OFFSET($H$3,0,0,'Données projet'!$E$10+1,1))</f>
        <v>365.104658862176</v>
      </c>
      <c r="AO89" s="59">
        <f t="shared" si="90"/>
        <v>226.29232910286325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24.125236932408043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24.125236932408043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67.66881841476453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5.4</v>
      </c>
      <c r="BD89" s="12">
        <f>IF('Données projet'!$A$88&gt;35,BD88+BC89-BL88,IF(A89&lt;'Données projet'!$A$88,$BA$205^A89,IF(A89='Données projet'!$A$88,'Données projet'!$B$88,BD88+BC89-BL88)))</f>
        <v>253.39999999999998</v>
      </c>
      <c r="BE89" s="13">
        <f>BD89*VLOOKUP('Données projet'!$B$11,Paramètres!$A$1:$I$89,3,0)*VLOOKUP('Données projet'!$B$11,Paramètres!$A$1:$I$89,5,0)</f>
        <v>229.27631999999997</v>
      </c>
      <c r="BF89" s="13">
        <f t="shared" si="91"/>
        <v>56.126176307517476</v>
      </c>
      <c r="BG89" s="20">
        <f t="shared" si="61"/>
        <v>497.07601440225949</v>
      </c>
      <c r="BH89" s="59">
        <f t="shared" si="62"/>
        <v>781.86168192306286</v>
      </c>
      <c r="BI89" s="59">
        <f ca="1">AVERAGE(OFFSET($BH$3,0,0,'Données projet'!$E$11+1,1))-AVERAGE(OFFSET($H$3,0,0,'Données projet'!$E$11+1,1))</f>
        <v>388.12494342575195</v>
      </c>
      <c r="BJ89" s="59">
        <f t="shared" si="92"/>
        <v>239.39471445648454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25.912291519993822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25.912291519993822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67.66881841476453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5.4</v>
      </c>
      <c r="BY89" s="12">
        <f>IF('Données projet'!$A$114&gt;35,BY88+BX89-CG88,IF(A89&lt;'Données projet'!$A$114,$BV$205^A89,IF(A89='Données projet'!$A$114,'Données projet'!$B$114,BY88+BX89-CG88)))</f>
        <v>253.39999999999998</v>
      </c>
      <c r="BZ89" s="13">
        <f>BY89*VLOOKUP('Données projet'!$B$12,Paramètres!$A$1:$I$89,3,0)*VLOOKUP('Données projet'!$B$12,Paramètres!$A$1:$I$89,5,0)</f>
        <v>256.94759999999997</v>
      </c>
      <c r="CA89" s="13">
        <f t="shared" si="93"/>
        <v>62.071283104858303</v>
      </c>
      <c r="CB89" s="20">
        <f t="shared" si="64"/>
        <v>555.62455474096146</v>
      </c>
      <c r="CC89" s="59">
        <f t="shared" si="65"/>
        <v>840.41022226176483</v>
      </c>
      <c r="CD89" s="59">
        <f ca="1">AVERAGE(OFFSET($CC$3,0,0,'Données projet'!$E$12+1,1))-AVERAGE(OFFSET($H$3,0,0,'Données projet'!$E$12+1,1))</f>
        <v>428.33148932885132</v>
      </c>
      <c r="CE89" s="59">
        <f t="shared" si="94"/>
        <v>262.27548054534373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29.039637048268936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29.039637048268936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67.66881841476453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4.2</v>
      </c>
      <c r="CT89" s="12">
        <f>IF('Données projet'!$A$140&gt;35,CT88+CS89-DB88,IF(A89&lt;'Données projet'!$A$140,$CQ$205^A89,IF(A89='Données projet'!$A$140,'Données projet'!$B$140,CT88+CS89-DB88)))</f>
        <v>190.2</v>
      </c>
      <c r="CU89" s="17">
        <f>CT89*VLOOKUP('Données projet'!$B$13,Paramètres!$A$1:$I$89,3,0)*VLOOKUP('Données projet'!$B$13,Paramètres!$A$1:$I$89,5,0)</f>
        <v>180.99431999999999</v>
      </c>
      <c r="CV89" s="13">
        <f t="shared" si="95"/>
        <v>45.543333072238994</v>
      </c>
      <c r="CW89" s="20">
        <f t="shared" si="67"/>
        <v>394.55307910081621</v>
      </c>
      <c r="CX89" s="59">
        <f t="shared" si="68"/>
        <v>679.33874662161952</v>
      </c>
      <c r="CY89" s="59">
        <f ca="1">AVERAGE(OFFSET($CX$3,0,0,'Données projet'!$E$13+1,1))-AVERAGE(OFFSET($H$3,0,0,'Données projet'!$E$13+1,1))</f>
        <v>307.62549820830162</v>
      </c>
      <c r="CZ89" s="59">
        <f t="shared" si="96"/>
        <v>160.26466014910304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16.455901306231855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16.455901306231855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67.66881841476453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-1.7053025658242404E-13</v>
      </c>
      <c r="DP89" s="17">
        <f>DO89*VLOOKUP('Données projet'!$B$14,Paramètres!$A$1:$I$89,3,0)*VLOOKUP('Données projet'!$B$14,Paramètres!$A$1:$I$89,5,0)</f>
        <v>-1.3567387213697657E-13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309.14579005132464</v>
      </c>
      <c r="DU89" s="59">
        <f t="shared" si="98"/>
        <v>300.60311050289533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81.751568712846023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81.751568712846023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67.66881841476453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>
        <f>EJ89*VLOOKUP('Données projet'!$B$15,Paramètres!$A$1:$I$89,3,0)*VLOOKUP('Données projet'!$B$15,Paramètres!$A$1:$I$89,5,0)</f>
        <v>0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338.59243085476896</v>
      </c>
      <c r="EP89" s="59">
        <f t="shared" si="100"/>
        <v>329.8393445823275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75.741684898658264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75.741684898658264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67.66881841476453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>
        <f>FE89*VLOOKUP('Données projet'!$B$16,Paramètres!$A$1:$I$89,3,0)*VLOOKUP('Données projet'!$B$16,Paramètres!$A$1:$I$89,5,0)</f>
        <v>0</v>
      </c>
      <c r="FG89" s="13" t="e">
        <f t="shared" si="101"/>
        <v>#NUM!</v>
      </c>
      <c r="FH89" s="20" t="e">
        <f t="shared" si="76"/>
        <v>#NUM!</v>
      </c>
      <c r="FI89" s="59" t="e">
        <f t="shared" si="77"/>
        <v>#NUM!</v>
      </c>
      <c r="FJ89" s="59">
        <f ca="1">AVERAGE(OFFSET($FI$3,0,0,'Données projet'!$E$16+1,1))-AVERAGE(OFFSET($H$3,0,0,'Données projet'!$E$16+1,1))</f>
        <v>307.50573770128085</v>
      </c>
      <c r="FK89" s="59">
        <f t="shared" si="102"/>
        <v>300.2007312562655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67.684058845609499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67.684058845609499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67.66881841476453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>
        <f>FZ89*VLOOKUP('Données projet'!$B$17,Paramètres!$A$1:$I$89,3,0)*VLOOKUP('Données projet'!$B$17,Paramètres!$A$1:$I$89,5,0)</f>
        <v>0</v>
      </c>
      <c r="GB89" s="13" t="e">
        <f t="shared" si="103"/>
        <v>#NUM!</v>
      </c>
      <c r="GC89" s="20" t="e">
        <f t="shared" si="79"/>
        <v>#NUM!</v>
      </c>
      <c r="GD89" s="59" t="e">
        <f t="shared" si="80"/>
        <v>#NUM!</v>
      </c>
      <c r="GE89" s="59">
        <f ca="1">AVERAGE(OFFSET($GD$3,0,0,'Données projet'!$E$17+1,1))-AVERAGE(OFFSET($H$3,0,0,'Données projet'!$E$17+1,1))</f>
        <v>369.60865427618342</v>
      </c>
      <c r="GF89" s="59">
        <f t="shared" si="104"/>
        <v>359.40898775279197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83.799310951707028</v>
      </c>
      <c r="GM89" s="21">
        <f>EXP(-LN(2)/25)*GM88+(1-EXP(-LN(2)/25))/(LN(2)/25)*Calculateur!GH89*Calculateur!GJ89*VLOOKUP('Données projet'!$B$17,Paramètres!$A$1:$I$89,3,0)*0.475*44/12</f>
        <v>0</v>
      </c>
      <c r="GN89" s="21">
        <f>EXP(-LN(2)/2)*GN88+(1-EXP(-LN(2)/2))/(LN(2)/2)*GH89*GK89*VLOOKUP('Données projet'!$B$17,Paramètres!$A$1:$I$89,3,0)*0.475*44/12</f>
        <v>0</v>
      </c>
      <c r="GO89" s="21">
        <f t="shared" si="81"/>
        <v>83.799310951707028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67.66881841476453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-1.7053025658242404E-13</v>
      </c>
      <c r="GV89" s="17">
        <f>GU89*VLOOKUP('Données projet'!$B$18,Paramètres!$A$1:$I$89,3,0)*VLOOKUP('Données projet'!$B$18,Paramètres!$A$1:$I$89,5,0)</f>
        <v>-1.1173142411280423E-13</v>
      </c>
      <c r="GW89" s="13" t="e">
        <f t="shared" si="105"/>
        <v>#NUM!</v>
      </c>
      <c r="GX89" s="20" t="e">
        <f t="shared" si="82"/>
        <v>#NUM!</v>
      </c>
      <c r="GY89" s="59" t="e">
        <f t="shared" si="83"/>
        <v>#NUM!</v>
      </c>
      <c r="GZ89" s="59">
        <f ca="1">AVERAGE(OFFSET($GY$3,0,0,'Données projet'!$E$18+1,1))-AVERAGE(OFFSET($H$3,0,0,'Données projet'!$E$18+1,1))</f>
        <v>262.62914256200031</v>
      </c>
      <c r="HA89" s="59">
        <f t="shared" si="106"/>
        <v>256.45129229594409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projet'!$B$18,Paramètres!$A$1:$I$89,3,0)*0.475*44/12</f>
        <v>54.622024822567482</v>
      </c>
      <c r="HH89" s="21">
        <f>EXP(-LN(2)/25)*HH88+(1-EXP(-LN(2)/25))/(LN(2)/25)*Calculateur!HC89*Calculateur!HE89*VLOOKUP('Données projet'!$B$18,Paramètres!$A$1:$I$89,3,0)*0.475*44/12</f>
        <v>0</v>
      </c>
      <c r="HI89" s="21">
        <f>EXP(-LN(2)/2)*HI88+(1-EXP(-LN(2)/2))/(LN(2)/2)*HC89*HF89*VLOOKUP('Données projet'!$B$18,Paramètres!$A$1:$I$89,3,0)*0.475*44/12</f>
        <v>0</v>
      </c>
      <c r="HJ89" s="22">
        <f t="shared" si="84"/>
        <v>54.622024822567482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2.1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7.7</v>
      </c>
      <c r="H90" s="67">
        <f t="shared" si="56"/>
        <v>225.86666666666665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67.709259203527111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7.8</v>
      </c>
      <c r="N90" s="13">
        <f>IF('Données projet'!$A$36&gt;35,N89+M90-V89,IF(A90&lt;'Données projet'!$A$36,$K$205^A90,IF(A90='Données projet'!$A$36,'Données projet'!$B$36,N89+M90-V89)))</f>
        <v>353.59999999999985</v>
      </c>
      <c r="O90" s="13">
        <f>N90*VLOOKUP('Données projet'!$B$9,Paramètres!$A$1:$I$89,3,0)*VLOOKUP('Données projet'!$B$9,Paramètres!$A$1:$I$89,5,0)</f>
        <v>303.38879999999989</v>
      </c>
      <c r="P90" s="13">
        <f t="shared" si="87"/>
        <v>71.88642102141435</v>
      </c>
      <c r="Q90" s="20">
        <f t="shared" si="54"/>
        <v>653.60434327896314</v>
      </c>
      <c r="R90" s="59">
        <f t="shared" si="55"/>
        <v>938.53829369189589</v>
      </c>
      <c r="S90" s="59">
        <f ca="1">AVERAGE(OFFSET($R$3,0,0,'Données projet'!$E$9+1,1))-AVERAGE(OFFSET($H$3,0,0,'Données projet'!$E$9+1,1))</f>
        <v>476.79071915271794</v>
      </c>
      <c r="T90" s="59">
        <f t="shared" si="88"/>
        <v>264.79929759351762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34.458672633966948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34.458672633966948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67.709259203527111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5.4</v>
      </c>
      <c r="AI90" s="13">
        <f>IF('Données projet'!$A$62&gt;35,AI89+AH90-AQ89,IF(A90&lt;'Données projet'!$A$62,$AF$205^A90,IF(A90='Données projet'!$A$62,'Données projet'!$B$62,AI89+AH90-AQ89)))</f>
        <v>258.79999999999995</v>
      </c>
      <c r="AJ90" s="13">
        <f>AI90*VLOOKUP('Données projet'!$B$10,Paramètres!$A$1:$I$89,3,0)*VLOOKUP('Données projet'!$B$10,Paramètres!$A$1:$I$89,5,0)</f>
        <v>218.01311999999999</v>
      </c>
      <c r="AK90" s="13">
        <f t="shared" si="89"/>
        <v>53.68281941985461</v>
      </c>
      <c r="AL90" s="20">
        <f t="shared" si="58"/>
        <v>473.2037611562468</v>
      </c>
      <c r="AM90" s="59">
        <f t="shared" si="59"/>
        <v>758.1377115691796</v>
      </c>
      <c r="AN90" s="59">
        <f ca="1">AVERAGE(OFFSET($AM$3,0,0,'Données projet'!$E$10+1,1))-AVERAGE(OFFSET($H$3,0,0,'Données projet'!$E$10+1,1))</f>
        <v>365.104658862176</v>
      </c>
      <c r="AO90" s="59">
        <f t="shared" si="90"/>
        <v>226.29232910286325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23.65215575110507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23.65215575110507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67.709259203527111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5.4</v>
      </c>
      <c r="BD90" s="12">
        <f>IF('Données projet'!$A$88&gt;35,BD89+BC90-BL89,IF(A90&lt;'Données projet'!$A$88,$BA$205^A90,IF(A90='Données projet'!$A$88,'Données projet'!$B$88,BD89+BC90-BL89)))</f>
        <v>258.79999999999995</v>
      </c>
      <c r="BE90" s="13">
        <f>BD90*VLOOKUP('Données projet'!$B$11,Paramètres!$A$1:$I$89,3,0)*VLOOKUP('Données projet'!$B$11,Paramètres!$A$1:$I$89,5,0)</f>
        <v>234.16223999999994</v>
      </c>
      <c r="BF90" s="13">
        <f t="shared" si="91"/>
        <v>57.181713578143096</v>
      </c>
      <c r="BG90" s="20">
        <f t="shared" si="61"/>
        <v>507.42405248193245</v>
      </c>
      <c r="BH90" s="59">
        <f t="shared" si="62"/>
        <v>792.35800289486519</v>
      </c>
      <c r="BI90" s="59">
        <f ca="1">AVERAGE(OFFSET($BH$3,0,0,'Données projet'!$E$11+1,1))-AVERAGE(OFFSET($H$3,0,0,'Données projet'!$E$11+1,1))</f>
        <v>388.12494342575195</v>
      </c>
      <c r="BJ90" s="59">
        <f t="shared" si="92"/>
        <v>239.39471445648454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25.404167288223963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25.404167288223963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67.709259203527111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5.4</v>
      </c>
      <c r="BY90" s="12">
        <f>IF('Données projet'!$A$114&gt;35,BY89+BX90-CG89,IF(A90&lt;'Données projet'!$A$114,$BV$205^A90,IF(A90='Données projet'!$A$114,'Données projet'!$B$114,BY89+BX90-CG89)))</f>
        <v>258.79999999999995</v>
      </c>
      <c r="BZ90" s="13">
        <f>BY90*VLOOKUP('Données projet'!$B$12,Paramètres!$A$1:$I$89,3,0)*VLOOKUP('Données projet'!$B$12,Paramètres!$A$1:$I$89,5,0)</f>
        <v>262.42319999999995</v>
      </c>
      <c r="CA90" s="13">
        <f t="shared" si="93"/>
        <v>63.23862706204779</v>
      </c>
      <c r="CB90" s="20">
        <f t="shared" si="64"/>
        <v>567.19434879973312</v>
      </c>
      <c r="CC90" s="59">
        <f t="shared" si="65"/>
        <v>852.12829921266587</v>
      </c>
      <c r="CD90" s="59">
        <f ca="1">AVERAGE(OFFSET($CC$3,0,0,'Données projet'!$E$12+1,1))-AVERAGE(OFFSET($H$3,0,0,'Données projet'!$E$12+1,1))</f>
        <v>428.33148932885132</v>
      </c>
      <c r="CE90" s="59">
        <f t="shared" si="94"/>
        <v>262.27548054534373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28.470187478182023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28.470187478182023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67.709259203527111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4.2</v>
      </c>
      <c r="CT90" s="12">
        <f>IF('Données projet'!$A$140&gt;35,CT89+CS90-DB89,IF(A90&lt;'Données projet'!$A$140,$CQ$205^A90,IF(A90='Données projet'!$A$140,'Données projet'!$B$140,CT89+CS90-DB89)))</f>
        <v>194.39999999999998</v>
      </c>
      <c r="CU90" s="17">
        <f>CT90*VLOOKUP('Données projet'!$B$13,Paramètres!$A$1:$I$89,3,0)*VLOOKUP('Données projet'!$B$13,Paramètres!$A$1:$I$89,5,0)</f>
        <v>184.99104</v>
      </c>
      <c r="CV90" s="13">
        <f t="shared" si="95"/>
        <v>46.430826882655644</v>
      </c>
      <c r="CW90" s="20">
        <f t="shared" si="67"/>
        <v>403.05975148729186</v>
      </c>
      <c r="CX90" s="59">
        <f t="shared" si="68"/>
        <v>687.99370190022455</v>
      </c>
      <c r="CY90" s="59">
        <f ca="1">AVERAGE(OFFSET($CX$3,0,0,'Données projet'!$E$13+1,1))-AVERAGE(OFFSET($H$3,0,0,'Données projet'!$E$13+1,1))</f>
        <v>307.62549820830162</v>
      </c>
      <c r="CZ90" s="59">
        <f t="shared" si="96"/>
        <v>160.26466014910304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16.133211118725363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16.133211118725363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67.709259203527111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-1.7053025658242404E-13</v>
      </c>
      <c r="DP90" s="17">
        <f>DO90*VLOOKUP('Données projet'!$B$14,Paramètres!$A$1:$I$89,3,0)*VLOOKUP('Données projet'!$B$14,Paramètres!$A$1:$I$89,5,0)</f>
        <v>-1.3567387213697657E-13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309.14579005132464</v>
      </c>
      <c r="DU90" s="59">
        <f t="shared" si="98"/>
        <v>300.60311050289533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80.148470313920413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80.148470313920413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67.709259203527111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>
        <f>EJ90*VLOOKUP('Données projet'!$B$15,Paramètres!$A$1:$I$89,3,0)*VLOOKUP('Données projet'!$B$15,Paramètres!$A$1:$I$89,5,0)</f>
        <v>0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338.59243085476896</v>
      </c>
      <c r="EP90" s="59">
        <f t="shared" si="100"/>
        <v>329.8393445823275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74.256436655661702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74.256436655661702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67.709259203527111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>
        <f>FE90*VLOOKUP('Données projet'!$B$16,Paramètres!$A$1:$I$89,3,0)*VLOOKUP('Données projet'!$B$16,Paramètres!$A$1:$I$89,5,0)</f>
        <v>0</v>
      </c>
      <c r="FG90" s="13" t="e">
        <f t="shared" si="101"/>
        <v>#NUM!</v>
      </c>
      <c r="FH90" s="20" t="e">
        <f t="shared" si="76"/>
        <v>#NUM!</v>
      </c>
      <c r="FI90" s="59" t="e">
        <f t="shared" si="77"/>
        <v>#NUM!</v>
      </c>
      <c r="FJ90" s="59">
        <f ca="1">AVERAGE(OFFSET($FI$3,0,0,'Données projet'!$E$16+1,1))-AVERAGE(OFFSET($H$3,0,0,'Données projet'!$E$16+1,1))</f>
        <v>307.50573770128085</v>
      </c>
      <c r="FK90" s="59">
        <f t="shared" si="102"/>
        <v>300.2007312562655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66.35681573484662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66.35681573484662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67.709259203527111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>
        <f>FZ90*VLOOKUP('Données projet'!$B$17,Paramètres!$A$1:$I$89,3,0)*VLOOKUP('Données projet'!$B$17,Paramètres!$A$1:$I$89,5,0)</f>
        <v>0</v>
      </c>
      <c r="GB90" s="13" t="e">
        <f t="shared" si="103"/>
        <v>#NUM!</v>
      </c>
      <c r="GC90" s="20" t="e">
        <f t="shared" si="79"/>
        <v>#NUM!</v>
      </c>
      <c r="GD90" s="59" t="e">
        <f t="shared" si="80"/>
        <v>#NUM!</v>
      </c>
      <c r="GE90" s="59">
        <f ca="1">AVERAGE(OFFSET($GD$3,0,0,'Données projet'!$E$17+1,1))-AVERAGE(OFFSET($H$3,0,0,'Données projet'!$E$17+1,1))</f>
        <v>369.60865427618342</v>
      </c>
      <c r="GF90" s="59">
        <f t="shared" si="104"/>
        <v>359.40898775279197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82.156057576476783</v>
      </c>
      <c r="GM90" s="21">
        <f>EXP(-LN(2)/25)*GM89+(1-EXP(-LN(2)/25))/(LN(2)/25)*Calculateur!GH90*Calculateur!GJ90*VLOOKUP('Données projet'!$B$17,Paramètres!$A$1:$I$89,3,0)*0.475*44/12</f>
        <v>0</v>
      </c>
      <c r="GN90" s="21">
        <f>EXP(-LN(2)/2)*GN89+(1-EXP(-LN(2)/2))/(LN(2)/2)*GH90*GK90*VLOOKUP('Données projet'!$B$17,Paramètres!$A$1:$I$89,3,0)*0.475*44/12</f>
        <v>0</v>
      </c>
      <c r="GO90" s="21">
        <f t="shared" si="81"/>
        <v>82.156057576476783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67.709259203527111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-1.7053025658242404E-13</v>
      </c>
      <c r="GV90" s="17">
        <f>GU90*VLOOKUP('Données projet'!$B$18,Paramètres!$A$1:$I$89,3,0)*VLOOKUP('Données projet'!$B$18,Paramètres!$A$1:$I$89,5,0)</f>
        <v>-1.1173142411280423E-13</v>
      </c>
      <c r="GW90" s="13" t="e">
        <f t="shared" si="105"/>
        <v>#NUM!</v>
      </c>
      <c r="GX90" s="20" t="e">
        <f t="shared" si="82"/>
        <v>#NUM!</v>
      </c>
      <c r="GY90" s="59" t="e">
        <f t="shared" si="83"/>
        <v>#NUM!</v>
      </c>
      <c r="GZ90" s="59">
        <f ca="1">AVERAGE(OFFSET($GY$3,0,0,'Données projet'!$E$18+1,1))-AVERAGE(OFFSET($H$3,0,0,'Données projet'!$E$18+1,1))</f>
        <v>262.62914256200031</v>
      </c>
      <c r="HA90" s="59">
        <f t="shared" si="106"/>
        <v>256.45129229594409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projet'!$B$18,Paramètres!$A$1:$I$89,3,0)*0.475*44/12</f>
        <v>53.550920231942378</v>
      </c>
      <c r="HH90" s="21">
        <f>EXP(-LN(2)/25)*HH89+(1-EXP(-LN(2)/25))/(LN(2)/25)*Calculateur!HC90*Calculateur!HE90*VLOOKUP('Données projet'!$B$18,Paramètres!$A$1:$I$89,3,0)*0.475*44/12</f>
        <v>0</v>
      </c>
      <c r="HI90" s="21">
        <f>EXP(-LN(2)/2)*HI89+(1-EXP(-LN(2)/2))/(LN(2)/2)*HC90*HF90*VLOOKUP('Données projet'!$B$18,Paramètres!$A$1:$I$89,3,0)*0.475*44/12</f>
        <v>0</v>
      </c>
      <c r="HJ90" s="22">
        <f t="shared" si="84"/>
        <v>53.550920231942378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2.1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7.7</v>
      </c>
      <c r="H91" s="67">
        <f t="shared" si="56"/>
        <v>225.86666666666665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67.74899843501673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7.8</v>
      </c>
      <c r="N91" s="13">
        <f>IF('Données projet'!$A$36&gt;35,N90+M91-V90,IF(A91&lt;'Données projet'!$A$36,$K$205^A91,IF(A91='Données projet'!$A$36,'Données projet'!$B$36,N90+M91-V90)))</f>
        <v>361.39999999999986</v>
      </c>
      <c r="O91" s="13">
        <f>N91*VLOOKUP('Données projet'!$B$9,Paramètres!$A$1:$I$89,3,0)*VLOOKUP('Données projet'!$B$9,Paramètres!$A$1:$I$89,5,0)</f>
        <v>310.08119999999991</v>
      </c>
      <c r="P91" s="13">
        <f t="shared" si="87"/>
        <v>73.285787705139427</v>
      </c>
      <c r="Q91" s="20">
        <f t="shared" si="54"/>
        <v>667.69750358645092</v>
      </c>
      <c r="R91" s="59">
        <f t="shared" si="55"/>
        <v>952.77716451484559</v>
      </c>
      <c r="S91" s="59">
        <f ca="1">AVERAGE(OFFSET($R$3,0,0,'Données projet'!$E$9+1,1))-AVERAGE(OFFSET($H$3,0,0,'Données projet'!$E$9+1,1))</f>
        <v>476.79071915271794</v>
      </c>
      <c r="T91" s="59">
        <f t="shared" si="88"/>
        <v>264.79929759351762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33.782959081329835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33.782959081329835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67.74899843501673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5.4</v>
      </c>
      <c r="AI91" s="13">
        <f>IF('Données projet'!$A$62&gt;35,AI90+AH91-AQ90,IF(A91&lt;'Données projet'!$A$62,$AF$205^A91,IF(A91='Données projet'!$A$62,'Données projet'!$B$62,AI90+AH91-AQ90)))</f>
        <v>264.19999999999993</v>
      </c>
      <c r="AJ91" s="13">
        <f>AI91*VLOOKUP('Données projet'!$B$10,Paramètres!$A$1:$I$89,3,0)*VLOOKUP('Données projet'!$B$10,Paramètres!$A$1:$I$89,5,0)</f>
        <v>222.56207999999998</v>
      </c>
      <c r="AK91" s="13">
        <f t="shared" si="89"/>
        <v>54.671365346393124</v>
      </c>
      <c r="AL91" s="20">
        <f t="shared" si="58"/>
        <v>482.848250644968</v>
      </c>
      <c r="AM91" s="59">
        <f t="shared" si="59"/>
        <v>767.92791157336273</v>
      </c>
      <c r="AN91" s="59">
        <f ca="1">AVERAGE(OFFSET($AM$3,0,0,'Données projet'!$E$10+1,1))-AVERAGE(OFFSET($H$3,0,0,'Données projet'!$E$10+1,1))</f>
        <v>365.104658862176</v>
      </c>
      <c r="AO91" s="59">
        <f t="shared" si="90"/>
        <v>226.29232910286325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23.188351403216419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23.188351403216419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67.74899843501673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5.4</v>
      </c>
      <c r="BD91" s="12">
        <f>IF('Données projet'!$A$88&gt;35,BD90+BC91-BL90,IF(A91&lt;'Données projet'!$A$88,$BA$205^A91,IF(A91='Données projet'!$A$88,'Données projet'!$B$88,BD90+BC91-BL90)))</f>
        <v>264.19999999999993</v>
      </c>
      <c r="BE91" s="13">
        <f>BD91*VLOOKUP('Données projet'!$B$11,Paramètres!$A$1:$I$89,3,0)*VLOOKUP('Données projet'!$B$11,Paramètres!$A$1:$I$89,5,0)</f>
        <v>239.04815999999994</v>
      </c>
      <c r="BF91" s="13">
        <f t="shared" si="91"/>
        <v>58.234690128947292</v>
      </c>
      <c r="BG91" s="20">
        <f t="shared" si="61"/>
        <v>517.76763064124975</v>
      </c>
      <c r="BH91" s="59">
        <f t="shared" si="62"/>
        <v>802.84729156964443</v>
      </c>
      <c r="BI91" s="59">
        <f ca="1">AVERAGE(OFFSET($BH$3,0,0,'Données projet'!$E$11+1,1))-AVERAGE(OFFSET($H$3,0,0,'Données projet'!$E$11+1,1))</f>
        <v>388.12494342575195</v>
      </c>
      <c r="BJ91" s="59">
        <f t="shared" si="92"/>
        <v>239.39471445648454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24.906007062713932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24.906007062713932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67.74899843501673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5.4</v>
      </c>
      <c r="BY91" s="12">
        <f>IF('Données projet'!$A$114&gt;35,BY90+BX91-CG90,IF(A91&lt;'Données projet'!$A$114,$BV$205^A91,IF(A91='Données projet'!$A$114,'Données projet'!$B$114,BY90+BX91-CG90)))</f>
        <v>264.19999999999993</v>
      </c>
      <c r="BZ91" s="13">
        <f>BY91*VLOOKUP('Données projet'!$B$12,Paramètres!$A$1:$I$89,3,0)*VLOOKUP('Données projet'!$B$12,Paramètres!$A$1:$I$89,5,0)</f>
        <v>267.89879999999994</v>
      </c>
      <c r="CA91" s="13">
        <f t="shared" si="93"/>
        <v>64.403139057834508</v>
      </c>
      <c r="CB91" s="20">
        <f t="shared" si="64"/>
        <v>578.75921052572824</v>
      </c>
      <c r="CC91" s="59">
        <f t="shared" si="65"/>
        <v>863.83887145412291</v>
      </c>
      <c r="CD91" s="59">
        <f ca="1">AVERAGE(OFFSET($CC$3,0,0,'Données projet'!$E$12+1,1))-AVERAGE(OFFSET($H$3,0,0,'Données projet'!$E$12+1,1))</f>
        <v>428.33148932885132</v>
      </c>
      <c r="CE91" s="59">
        <f t="shared" si="94"/>
        <v>262.27548054534373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27.911904466834574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27.911904466834574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67.74899843501673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4.2</v>
      </c>
      <c r="CT91" s="12">
        <f>IF('Données projet'!$A$140&gt;35,CT90+CS91-DB90,IF(A91&lt;'Données projet'!$A$140,$CQ$205^A91,IF(A91='Données projet'!$A$140,'Données projet'!$B$140,CT90+CS91-DB90)))</f>
        <v>198.59999999999997</v>
      </c>
      <c r="CU91" s="17">
        <f>CT91*VLOOKUP('Données projet'!$B$13,Paramètres!$A$1:$I$89,3,0)*VLOOKUP('Données projet'!$B$13,Paramètres!$A$1:$I$89,5,0)</f>
        <v>188.98775999999995</v>
      </c>
      <c r="CV91" s="13">
        <f t="shared" si="95"/>
        <v>47.316091431214247</v>
      </c>
      <c r="CW91" s="20">
        <f t="shared" si="67"/>
        <v>411.56254124269799</v>
      </c>
      <c r="CX91" s="59">
        <f t="shared" si="68"/>
        <v>696.64220217109266</v>
      </c>
      <c r="CY91" s="59">
        <f ca="1">AVERAGE(OFFSET($CX$3,0,0,'Données projet'!$E$13+1,1))-AVERAGE(OFFSET($H$3,0,0,'Données projet'!$E$13+1,1))</f>
        <v>307.62549820830162</v>
      </c>
      <c r="CZ91" s="59">
        <f t="shared" si="96"/>
        <v>160.26466014910304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15.816848688974293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15.816848688974293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67.74899843501673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-1.7053025658242404E-13</v>
      </c>
      <c r="DP91" s="17">
        <f>DO91*VLOOKUP('Données projet'!$B$14,Paramètres!$A$1:$I$89,3,0)*VLOOKUP('Données projet'!$B$14,Paramètres!$A$1:$I$89,5,0)</f>
        <v>-1.3567387213697657E-13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309.14579005132464</v>
      </c>
      <c r="DU91" s="59">
        <f t="shared" si="98"/>
        <v>300.60311050289533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78.576807696804252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78.576807696804252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67.74899843501673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>
        <f>EJ91*VLOOKUP('Données projet'!$B$15,Paramètres!$A$1:$I$89,3,0)*VLOOKUP('Données projet'!$B$15,Paramètres!$A$1:$I$89,5,0)</f>
        <v>0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338.59243085476896</v>
      </c>
      <c r="EP91" s="59">
        <f t="shared" si="100"/>
        <v>329.8393445823275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72.80031322479833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72.80031322479833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67.74899843501673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>
        <f>FE91*VLOOKUP('Données projet'!$B$16,Paramètres!$A$1:$I$89,3,0)*VLOOKUP('Données projet'!$B$16,Paramètres!$A$1:$I$89,5,0)</f>
        <v>0</v>
      </c>
      <c r="FG91" s="13" t="e">
        <f t="shared" si="101"/>
        <v>#NUM!</v>
      </c>
      <c r="FH91" s="20" t="e">
        <f t="shared" si="76"/>
        <v>#NUM!</v>
      </c>
      <c r="FI91" s="59" t="e">
        <f t="shared" si="77"/>
        <v>#NUM!</v>
      </c>
      <c r="FJ91" s="59">
        <f ca="1">AVERAGE(OFFSET($FI$3,0,0,'Données projet'!$E$16+1,1))-AVERAGE(OFFSET($H$3,0,0,'Données projet'!$E$16+1,1))</f>
        <v>307.50573770128085</v>
      </c>
      <c r="FK91" s="59">
        <f t="shared" si="102"/>
        <v>300.2007312562655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65.055599051947439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65.055599051947439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67.74899843501673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>
        <f>FZ91*VLOOKUP('Données projet'!$B$17,Paramètres!$A$1:$I$89,3,0)*VLOOKUP('Données projet'!$B$17,Paramètres!$A$1:$I$89,5,0)</f>
        <v>0</v>
      </c>
      <c r="GB91" s="13" t="e">
        <f t="shared" si="103"/>
        <v>#NUM!</v>
      </c>
      <c r="GC91" s="20" t="e">
        <f t="shared" si="79"/>
        <v>#NUM!</v>
      </c>
      <c r="GD91" s="59" t="e">
        <f t="shared" si="80"/>
        <v>#NUM!</v>
      </c>
      <c r="GE91" s="59">
        <f ca="1">AVERAGE(OFFSET($GD$3,0,0,'Données projet'!$E$17+1,1))-AVERAGE(OFFSET($H$3,0,0,'Données projet'!$E$17+1,1))</f>
        <v>369.60865427618342</v>
      </c>
      <c r="GF91" s="59">
        <f t="shared" si="104"/>
        <v>359.40898775279197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80.545027397649221</v>
      </c>
      <c r="GM91" s="21">
        <f>EXP(-LN(2)/25)*GM90+(1-EXP(-LN(2)/25))/(LN(2)/25)*Calculateur!GH91*Calculateur!GJ91*VLOOKUP('Données projet'!$B$17,Paramètres!$A$1:$I$89,3,0)*0.475*44/12</f>
        <v>0</v>
      </c>
      <c r="GN91" s="21">
        <f>EXP(-LN(2)/2)*GN90+(1-EXP(-LN(2)/2))/(LN(2)/2)*GH91*GK91*VLOOKUP('Données projet'!$B$17,Paramètres!$A$1:$I$89,3,0)*0.475*44/12</f>
        <v>0</v>
      </c>
      <c r="GO91" s="21">
        <f t="shared" si="81"/>
        <v>80.545027397649221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67.74899843501673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-1.7053025658242404E-13</v>
      </c>
      <c r="GV91" s="17">
        <f>GU91*VLOOKUP('Données projet'!$B$18,Paramètres!$A$1:$I$89,3,0)*VLOOKUP('Données projet'!$B$18,Paramètres!$A$1:$I$89,5,0)</f>
        <v>-1.1173142411280423E-13</v>
      </c>
      <c r="GW91" s="13" t="e">
        <f t="shared" si="105"/>
        <v>#NUM!</v>
      </c>
      <c r="GX91" s="20" t="e">
        <f t="shared" si="82"/>
        <v>#NUM!</v>
      </c>
      <c r="GY91" s="59" t="e">
        <f t="shared" si="83"/>
        <v>#NUM!</v>
      </c>
      <c r="GZ91" s="59">
        <f ca="1">AVERAGE(OFFSET($GY$3,0,0,'Données projet'!$E$18+1,1))-AVERAGE(OFFSET($H$3,0,0,'Données projet'!$E$18+1,1))</f>
        <v>262.62914256200031</v>
      </c>
      <c r="HA91" s="59">
        <f t="shared" si="106"/>
        <v>256.45129229594409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>
        <f>EXP(-LN(2)/35)*HG90+(1-EXP(-LN(2)/35))/(LN(2)/35)*HC91*HD91*VLOOKUP('Données projet'!$B$18,Paramètres!$A$1:$I$89,3,0)*0.475*44/12</f>
        <v>52.500819349030145</v>
      </c>
      <c r="HH91" s="21">
        <f>EXP(-LN(2)/25)*HH90+(1-EXP(-LN(2)/25))/(LN(2)/25)*Calculateur!HC91*Calculateur!HE91*VLOOKUP('Données projet'!$B$18,Paramètres!$A$1:$I$89,3,0)*0.475*44/12</f>
        <v>0</v>
      </c>
      <c r="HI91" s="21">
        <f>EXP(-LN(2)/2)*HI90+(1-EXP(-LN(2)/2))/(LN(2)/2)*HC91*HF91*VLOOKUP('Données projet'!$B$18,Paramètres!$A$1:$I$89,3,0)*0.475*44/12</f>
        <v>0</v>
      </c>
      <c r="HJ91" s="22">
        <f t="shared" si="84"/>
        <v>52.500819349030145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2.1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7.7</v>
      </c>
      <c r="H92" s="67">
        <f t="shared" si="56"/>
        <v>225.86666666666665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67.788048279683608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7.8</v>
      </c>
      <c r="N92" s="13">
        <f>IF('Données projet'!$A$36&gt;35,N91+M92-V91,IF(A92&lt;'Données projet'!$A$36,$K$205^A92,IF(A92='Données projet'!$A$36,'Données projet'!$B$36,N91+M92-V91)))</f>
        <v>369.19999999999987</v>
      </c>
      <c r="O92" s="13">
        <f>N92*VLOOKUP('Données projet'!$B$9,Paramètres!$A$1:$I$89,3,0)*VLOOKUP('Données projet'!$B$9,Paramètres!$A$1:$I$89,5,0)</f>
        <v>316.77359999999993</v>
      </c>
      <c r="P92" s="13">
        <f t="shared" si="87"/>
        <v>74.681642981668006</v>
      </c>
      <c r="Q92" s="20">
        <f t="shared" si="54"/>
        <v>681.7845481930716</v>
      </c>
      <c r="R92" s="59">
        <f t="shared" si="55"/>
        <v>967.00739188524483</v>
      </c>
      <c r="S92" s="59">
        <f ca="1">AVERAGE(OFFSET($R$3,0,0,'Données projet'!$E$9+1,1))-AVERAGE(OFFSET($H$3,0,0,'Données projet'!$E$9+1,1))</f>
        <v>476.79071915271794</v>
      </c>
      <c r="T92" s="59">
        <f t="shared" si="88"/>
        <v>264.79929759351762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33.120495859315369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33.120495859315369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67.788048279683608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5.4</v>
      </c>
      <c r="AI92" s="13">
        <f>IF('Données projet'!$A$62&gt;35,AI91+AH92-AQ91,IF(A92&lt;'Données projet'!$A$62,$AF$205^A92,IF(A92='Données projet'!$A$62,'Données projet'!$B$62,AI91+AH92-AQ91)))</f>
        <v>269.59999999999991</v>
      </c>
      <c r="AJ92" s="13">
        <f>AI92*VLOOKUP('Données projet'!$B$10,Paramètres!$A$1:$I$89,3,0)*VLOOKUP('Données projet'!$B$10,Paramètres!$A$1:$I$89,5,0)</f>
        <v>227.11103999999992</v>
      </c>
      <c r="AK92" s="13">
        <f t="shared" si="89"/>
        <v>55.657562039200045</v>
      </c>
      <c r="AL92" s="20">
        <f t="shared" si="58"/>
        <v>492.48864855160656</v>
      </c>
      <c r="AM92" s="59">
        <f t="shared" si="59"/>
        <v>777.71149224377973</v>
      </c>
      <c r="AN92" s="59">
        <f ca="1">AVERAGE(OFFSET($AM$3,0,0,'Données projet'!$E$10+1,1))-AVERAGE(OFFSET($H$3,0,0,'Données projet'!$E$10+1,1))</f>
        <v>365.104658862176</v>
      </c>
      <c r="AO92" s="59">
        <f t="shared" si="90"/>
        <v>226.29232910286325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22.733641975697147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22.733641975697147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67.788048279683608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5.4</v>
      </c>
      <c r="BD92" s="12">
        <f>IF('Données projet'!$A$88&gt;35,BD91+BC92-BL91,IF(A92&lt;'Données projet'!$A$88,$BA$205^A92,IF(A92='Données projet'!$A$88,'Données projet'!$B$88,BD91+BC92-BL91)))</f>
        <v>269.59999999999991</v>
      </c>
      <c r="BE92" s="13">
        <f>BD92*VLOOKUP('Données projet'!$B$11,Paramètres!$A$1:$I$89,3,0)*VLOOKUP('Données projet'!$B$11,Paramètres!$A$1:$I$89,5,0)</f>
        <v>243.93407999999991</v>
      </c>
      <c r="BF92" s="13">
        <f t="shared" si="91"/>
        <v>59.285164329617594</v>
      </c>
      <c r="BG92" s="20">
        <f t="shared" si="61"/>
        <v>528.10685054075043</v>
      </c>
      <c r="BH92" s="59">
        <f t="shared" si="62"/>
        <v>813.32969423292366</v>
      </c>
      <c r="BI92" s="59">
        <f ca="1">AVERAGE(OFFSET($BH$3,0,0,'Données projet'!$E$11+1,1))-AVERAGE(OFFSET($H$3,0,0,'Données projet'!$E$11+1,1))</f>
        <v>388.12494342575195</v>
      </c>
      <c r="BJ92" s="59">
        <f t="shared" si="92"/>
        <v>239.39471445648454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24.417615455378417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24.417615455378417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67.788048279683608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5.4</v>
      </c>
      <c r="BY92" s="12">
        <f>IF('Données projet'!$A$114&gt;35,BY91+BX92-CG91,IF(A92&lt;'Données projet'!$A$114,$BV$205^A92,IF(A92='Données projet'!$A$114,'Données projet'!$B$114,BY91+BX92-CG91)))</f>
        <v>269.59999999999991</v>
      </c>
      <c r="BZ92" s="13">
        <f>BY92*VLOOKUP('Données projet'!$B$12,Paramètres!$A$1:$I$89,3,0)*VLOOKUP('Données projet'!$B$12,Paramètres!$A$1:$I$89,5,0)</f>
        <v>273.37439999999992</v>
      </c>
      <c r="CA92" s="13">
        <f t="shared" si="93"/>
        <v>65.564883644654373</v>
      </c>
      <c r="CB92" s="20">
        <f t="shared" si="64"/>
        <v>590.31925234777293</v>
      </c>
      <c r="CC92" s="59">
        <f t="shared" si="65"/>
        <v>875.54209603994616</v>
      </c>
      <c r="CD92" s="59">
        <f ca="1">AVERAGE(OFFSET($CC$3,0,0,'Données projet'!$E$12+1,1))-AVERAGE(OFFSET($H$3,0,0,'Données projet'!$E$12+1,1))</f>
        <v>428.33148932885132</v>
      </c>
      <c r="CE92" s="59">
        <f t="shared" si="94"/>
        <v>262.27548054534373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27.364569044820634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27.364569044820634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67.788048279683608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4.2</v>
      </c>
      <c r="CT92" s="12">
        <f>IF('Données projet'!$A$140&gt;35,CT91+CS92-DB91,IF(A92&lt;'Données projet'!$A$140,$CQ$205^A92,IF(A92='Données projet'!$A$140,'Données projet'!$B$140,CT91+CS92-DB91)))</f>
        <v>202.79999999999995</v>
      </c>
      <c r="CU92" s="17">
        <f>CT92*VLOOKUP('Données projet'!$B$13,Paramètres!$A$1:$I$89,3,0)*VLOOKUP('Données projet'!$B$13,Paramètres!$A$1:$I$89,5,0)</f>
        <v>192.98447999999996</v>
      </c>
      <c r="CV92" s="13">
        <f t="shared" si="95"/>
        <v>48.199179293232802</v>
      </c>
      <c r="CW92" s="20">
        <f t="shared" si="67"/>
        <v>420.06153993571371</v>
      </c>
      <c r="CX92" s="59">
        <f t="shared" si="68"/>
        <v>705.28438362788688</v>
      </c>
      <c r="CY92" s="59">
        <f ca="1">AVERAGE(OFFSET($CX$3,0,0,'Données projet'!$E$13+1,1))-AVERAGE(OFFSET($H$3,0,0,'Données projet'!$E$13+1,1))</f>
        <v>307.62549820830162</v>
      </c>
      <c r="CZ92" s="59">
        <f t="shared" si="96"/>
        <v>160.26466014910304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15.506689933508612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15.506689933508612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67.788048279683608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-1.7053025658242404E-13</v>
      </c>
      <c r="DP92" s="17">
        <f>DO92*VLOOKUP('Données projet'!$B$14,Paramètres!$A$1:$I$89,3,0)*VLOOKUP('Données projet'!$B$14,Paramètres!$A$1:$I$89,5,0)</f>
        <v>-1.3567387213697657E-13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309.14579005132464</v>
      </c>
      <c r="DU92" s="59">
        <f t="shared" si="98"/>
        <v>300.60311050289533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77.035964424990212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77.035964424990212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67.788048279683608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>
        <f>EJ92*VLOOKUP('Données projet'!$B$15,Paramètres!$A$1:$I$89,3,0)*VLOOKUP('Données projet'!$B$15,Paramètres!$A$1:$I$89,5,0)</f>
        <v>0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338.59243085476896</v>
      </c>
      <c r="EP92" s="59">
        <f t="shared" si="100"/>
        <v>329.8393445823275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71.372743486266586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71.372743486266586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67.788048279683608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>
        <f>FE92*VLOOKUP('Données projet'!$B$16,Paramètres!$A$1:$I$89,3,0)*VLOOKUP('Données projet'!$B$16,Paramètres!$A$1:$I$89,5,0)</f>
        <v>0</v>
      </c>
      <c r="FG92" s="13" t="e">
        <f t="shared" si="101"/>
        <v>#NUM!</v>
      </c>
      <c r="FH92" s="20" t="e">
        <f t="shared" si="76"/>
        <v>#NUM!</v>
      </c>
      <c r="FI92" s="59" t="e">
        <f t="shared" si="77"/>
        <v>#NUM!</v>
      </c>
      <c r="FJ92" s="59">
        <f ca="1">AVERAGE(OFFSET($FI$3,0,0,'Données projet'!$E$16+1,1))-AVERAGE(OFFSET($H$3,0,0,'Données projet'!$E$16+1,1))</f>
        <v>307.50573770128085</v>
      </c>
      <c r="FK92" s="59">
        <f t="shared" si="102"/>
        <v>300.2007312562655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63.779898434536101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63.779898434536101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67.788048279683608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>
        <f>FZ92*VLOOKUP('Données projet'!$B$17,Paramètres!$A$1:$I$89,3,0)*VLOOKUP('Données projet'!$B$17,Paramètres!$A$1:$I$89,5,0)</f>
        <v>0</v>
      </c>
      <c r="GB92" s="13" t="e">
        <f t="shared" si="103"/>
        <v>#NUM!</v>
      </c>
      <c r="GC92" s="20" t="e">
        <f t="shared" si="79"/>
        <v>#NUM!</v>
      </c>
      <c r="GD92" s="59" t="e">
        <f t="shared" si="80"/>
        <v>#NUM!</v>
      </c>
      <c r="GE92" s="59">
        <f ca="1">AVERAGE(OFFSET($GD$3,0,0,'Données projet'!$E$17+1,1))-AVERAGE(OFFSET($H$3,0,0,'Données projet'!$E$17+1,1))</f>
        <v>369.60865427618342</v>
      </c>
      <c r="GF92" s="59">
        <f t="shared" si="104"/>
        <v>359.40898775279197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78.965588537997078</v>
      </c>
      <c r="GM92" s="21">
        <f>EXP(-LN(2)/25)*GM91+(1-EXP(-LN(2)/25))/(LN(2)/25)*Calculateur!GH92*Calculateur!GJ92*VLOOKUP('Données projet'!$B$17,Paramètres!$A$1:$I$89,3,0)*0.475*44/12</f>
        <v>0</v>
      </c>
      <c r="GN92" s="21">
        <f>EXP(-LN(2)/2)*GN91+(1-EXP(-LN(2)/2))/(LN(2)/2)*GH92*GK92*VLOOKUP('Données projet'!$B$17,Paramètres!$A$1:$I$89,3,0)*0.475*44/12</f>
        <v>0</v>
      </c>
      <c r="GO92" s="21">
        <f t="shared" si="81"/>
        <v>78.965588537997078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67.788048279683608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-1.7053025658242404E-13</v>
      </c>
      <c r="GV92" s="17">
        <f>GU92*VLOOKUP('Données projet'!$B$18,Paramètres!$A$1:$I$89,3,0)*VLOOKUP('Données projet'!$B$18,Paramètres!$A$1:$I$89,5,0)</f>
        <v>-1.1173142411280423E-13</v>
      </c>
      <c r="GW92" s="13" t="e">
        <f t="shared" si="105"/>
        <v>#NUM!</v>
      </c>
      <c r="GX92" s="20" t="e">
        <f t="shared" si="82"/>
        <v>#NUM!</v>
      </c>
      <c r="GY92" s="59" t="e">
        <f t="shared" si="83"/>
        <v>#NUM!</v>
      </c>
      <c r="GZ92" s="59">
        <f ca="1">AVERAGE(OFFSET($GY$3,0,0,'Données projet'!$E$18+1,1))-AVERAGE(OFFSET($H$3,0,0,'Données projet'!$E$18+1,1))</f>
        <v>262.62914256200031</v>
      </c>
      <c r="HA92" s="59">
        <f t="shared" si="106"/>
        <v>256.45129229594409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projet'!$B$18,Paramètres!$A$1:$I$89,3,0)*0.475*44/12</f>
        <v>51.471310303933521</v>
      </c>
      <c r="HH92" s="21">
        <f>EXP(-LN(2)/25)*HH91+(1-EXP(-LN(2)/25))/(LN(2)/25)*Calculateur!HC92*Calculateur!HE92*VLOOKUP('Données projet'!$B$18,Paramètres!$A$1:$I$89,3,0)*0.475*44/12</f>
        <v>0</v>
      </c>
      <c r="HI92" s="21">
        <f>EXP(-LN(2)/2)*HI91+(1-EXP(-LN(2)/2))/(LN(2)/2)*HC92*HF92*VLOOKUP('Données projet'!$B$18,Paramètres!$A$1:$I$89,3,0)*0.475*44/12</f>
        <v>0</v>
      </c>
      <c r="HJ92" s="22">
        <f t="shared" si="84"/>
        <v>51.471310303933521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2.1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7.7</v>
      </c>
      <c r="H93" s="67">
        <f t="shared" si="56"/>
        <v>225.86666666666665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67.82642069684789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377</v>
      </c>
      <c r="L93" s="12">
        <f>VLOOKUP(A93,'Données projet'!$A$35:$I$55,9,0)</f>
        <v>7.8</v>
      </c>
      <c r="M93" s="12">
        <f t="array" ref="M93">INDEX(L:L,MIN(IF(ISNUMBER(L93:L289),ROW(L93:L289),"")))</f>
        <v>7.8</v>
      </c>
      <c r="N93" s="13">
        <f>IF('Données projet'!$A$36&gt;35,N92+M93-V92,IF(A93&lt;'Données projet'!$A$36,$K$205^A93,IF(A93='Données projet'!$A$36,'Données projet'!$B$36,N92+M93-V92)))</f>
        <v>376.99999999999989</v>
      </c>
      <c r="O93" s="13">
        <f>N93*VLOOKUP('Données projet'!$B$9,Paramètres!$A$1:$I$89,3,0)*VLOOKUP('Données projet'!$B$9,Paramètres!$A$1:$I$89,5,0)</f>
        <v>323.46599999999995</v>
      </c>
      <c r="P93" s="13">
        <f t="shared" si="87"/>
        <v>76.074069581431147</v>
      </c>
      <c r="Q93" s="20">
        <f t="shared" si="54"/>
        <v>695.86562118765914</v>
      </c>
      <c r="R93" s="59">
        <f t="shared" si="55"/>
        <v>981.22916374276815</v>
      </c>
      <c r="S93" s="59">
        <f ca="1">AVERAGE(OFFSET($R$3,0,0,'Données projet'!$E$9+1,1))-AVERAGE(OFFSET($H$3,0,0,'Données projet'!$E$9+1,1))</f>
        <v>476.79071915271794</v>
      </c>
      <c r="T93" s="59">
        <f t="shared" si="88"/>
        <v>264.79929759351762</v>
      </c>
      <c r="U93" s="15">
        <f>IF(ISNA(VLOOKUP(A93,'Données projet'!$A$35:$I$55,3,0)),0,VLOOKUP(A93,'Données projet'!$A$35:$I$55,3,0))</f>
        <v>15</v>
      </c>
      <c r="V93" s="15">
        <f>IF(ISNA(VLOOKUP(A93,'Données projet'!$A$35:$I$55,4,0)),0,VLOOKUP(A93,'Données projet'!$A$35:$I$55,4,0))</f>
        <v>26</v>
      </c>
      <c r="W93" s="16">
        <f>IF(ISNA(VLOOKUP(A93,'Données projet'!$A$35:$I$55,5,0)),0%,VLOOKUP(A93,'Données projet'!$A$35:$I$55,5,0)*VLOOKUP('Données projet'!$B$9,Paramètres!$A$1:$I$89,7,0))</f>
        <v>0.318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40.313168103087435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40.313168103087435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67.82642069684789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275</v>
      </c>
      <c r="AG93" s="12">
        <f>VLOOKUP(A93,'Données projet'!$A$61:$I$81,9,0)</f>
        <v>5.4</v>
      </c>
      <c r="AH93" s="12">
        <f t="array" ref="AH93">INDEX(AG:AG,MIN(IF(ISNUMBER(AG93:AG289),ROW(AG93:AG289),"")))</f>
        <v>5.4</v>
      </c>
      <c r="AI93" s="13">
        <f>IF('Données projet'!$A$62&gt;35,AI92+AH93-AQ92,IF(A93&lt;'Données projet'!$A$62,$AF$205^A93,IF(A93='Données projet'!$A$62,'Données projet'!$B$62,AI92+AH93-AQ92)))</f>
        <v>274.99999999999989</v>
      </c>
      <c r="AJ93" s="13">
        <f>AI93*VLOOKUP('Données projet'!$B$10,Paramètres!$A$1:$I$89,3,0)*VLOOKUP('Données projet'!$B$10,Paramètres!$A$1:$I$89,5,0)</f>
        <v>231.65999999999991</v>
      </c>
      <c r="AK93" s="13">
        <f t="shared" si="89"/>
        <v>56.641461975682766</v>
      </c>
      <c r="AL93" s="20">
        <f t="shared" si="58"/>
        <v>502.125046274314</v>
      </c>
      <c r="AM93" s="59">
        <f t="shared" si="59"/>
        <v>787.48858882942295</v>
      </c>
      <c r="AN93" s="59">
        <f ca="1">AVERAGE(OFFSET($AM$3,0,0,'Données projet'!$E$10+1,1))-AVERAGE(OFFSET($H$3,0,0,'Données projet'!$E$10+1,1))</f>
        <v>365.104658862176</v>
      </c>
      <c r="AO93" s="59">
        <f t="shared" si="90"/>
        <v>226.29232910286325</v>
      </c>
      <c r="AP93" s="15">
        <f>IF(ISNA(VLOOKUP(A93,'Données projet'!$A$61:$I$81,3,0)),0,VLOOKUP(A93,'Données projet'!$A$61:$I$81,3,0))</f>
        <v>15</v>
      </c>
      <c r="AQ93" s="15">
        <f>IF(ISNA(VLOOKUP(A93,'Données projet'!$A$61:$I$81,4,0)),0,VLOOKUP(A93,'Données projet'!$A$61:$I$81,4,0))</f>
        <v>21</v>
      </c>
      <c r="AR93" s="16">
        <f>IF(ISNA(VLOOKUP(A93,'Données projet'!$A$61:$I$81,5,0)),0%,VLOOKUP(A93,'Données projet'!$A$61:$I$81,5,0)*VLOOKUP('Données projet'!$B$10,Paramètres!$A$1:$I$89,7,0))</f>
        <v>0.30099999999999999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28.174269296535162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28.174269296535162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67.82642069684789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275</v>
      </c>
      <c r="BB93" s="12">
        <f>VLOOKUP(A93,'Données projet'!$A$87:$I$107,9,0)</f>
        <v>5.4</v>
      </c>
      <c r="BC93" s="12">
        <f t="array" ref="BC93">INDEX(BB:BB,MIN(IF(ISNUMBER(BB93:BB289),ROW(BB93:BB289),"")))</f>
        <v>5.4</v>
      </c>
      <c r="BD93" s="12">
        <f>IF('Données projet'!$A$88&gt;35,BD92+BC93-BL92,IF(A93&lt;'Données projet'!$A$88,$BA$205^A93,IF(A93='Données projet'!$A$88,'Données projet'!$B$88,BD92+BC93-BL92)))</f>
        <v>274.99999999999989</v>
      </c>
      <c r="BE93" s="13">
        <f>BD93*VLOOKUP('Données projet'!$B$11,Paramètres!$A$1:$I$89,3,0)*VLOOKUP('Données projet'!$B$11,Paramètres!$A$1:$I$89,5,0)</f>
        <v>248.81999999999988</v>
      </c>
      <c r="BF93" s="13">
        <f t="shared" si="91"/>
        <v>60.333192077890018</v>
      </c>
      <c r="BG93" s="20">
        <f t="shared" si="61"/>
        <v>538.44180953565819</v>
      </c>
      <c r="BH93" s="59">
        <f t="shared" si="62"/>
        <v>823.8053520907672</v>
      </c>
      <c r="BI93" s="59">
        <f ca="1">AVERAGE(OFFSET($BH$3,0,0,'Données projet'!$E$11+1,1))-AVERAGE(OFFSET($H$3,0,0,'Données projet'!$E$11+1,1))</f>
        <v>388.12494342575195</v>
      </c>
      <c r="BJ93" s="59">
        <f t="shared" si="92"/>
        <v>239.39471445648454</v>
      </c>
      <c r="BK93" s="15">
        <f>IF(ISNA(VLOOKUP(A93,'Données projet'!$A$87:$I$107,3,0)),0,VLOOKUP(A93,'Données projet'!$A$87:$I$107,3,0))</f>
        <v>15</v>
      </c>
      <c r="BL93" s="15">
        <f>IF(ISNA(VLOOKUP(A93,'Données projet'!$A$87:$I$107,4,0)),0,VLOOKUP(A93,'Données projet'!$A$87:$I$107,4,0))</f>
        <v>21</v>
      </c>
      <c r="BM93" s="16">
        <f>IF(ISNA(VLOOKUP(A93,'Données projet'!$A$87:$I$107,5,0)),0%,VLOOKUP(A93,'Données projet'!$A$87:$I$107,5,0)*VLOOKUP('Données projet'!$B$11,Paramètres!$A$1:$I$89,7,0))</f>
        <v>0.30099999999999999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30.261252207389617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30.261252207389617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67.82642069684789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275</v>
      </c>
      <c r="BW93" s="12">
        <f>VLOOKUP(A93,'Données projet'!$A$113:$I$133,9,0)</f>
        <v>5.4</v>
      </c>
      <c r="BX93" s="12">
        <f t="array" ref="BX93">INDEX(BW:BW,MIN(IF(ISNUMBER(BW93:BW289),ROW(BW93:BW289),"")))</f>
        <v>5.4</v>
      </c>
      <c r="BY93" s="12">
        <f>IF('Données projet'!$A$114&gt;35,BY92+BX93-CG92,IF(A93&lt;'Données projet'!$A$114,$BV$205^A93,IF(A93='Données projet'!$A$114,'Données projet'!$B$114,BY92+BX93-CG92)))</f>
        <v>274.99999999999989</v>
      </c>
      <c r="BZ93" s="13">
        <f>BY93*VLOOKUP('Données projet'!$B$12,Paramètres!$A$1:$I$89,3,0)*VLOOKUP('Données projet'!$B$12,Paramètres!$A$1:$I$89,5,0)</f>
        <v>278.84999999999991</v>
      </c>
      <c r="CA93" s="13">
        <f t="shared" si="93"/>
        <v>66.723922641152967</v>
      </c>
      <c r="CB93" s="20">
        <f t="shared" si="64"/>
        <v>601.87458193334135</v>
      </c>
      <c r="CC93" s="59">
        <f t="shared" si="65"/>
        <v>887.23812448845024</v>
      </c>
      <c r="CD93" s="59">
        <f ca="1">AVERAGE(OFFSET($CC$3,0,0,'Données projet'!$E$12+1,1))-AVERAGE(OFFSET($H$3,0,0,'Données projet'!$E$12+1,1))</f>
        <v>428.33148932885132</v>
      </c>
      <c r="CE93" s="59">
        <f t="shared" si="94"/>
        <v>262.27548054534373</v>
      </c>
      <c r="CF93" s="15">
        <f>IF(ISNA(VLOOKUP(A93,'Données projet'!$A$113:$I$133,3,0)),0,VLOOKUP(A93,'Données projet'!$A$113:$I$133,3,0))</f>
        <v>15</v>
      </c>
      <c r="CG93" s="15">
        <f>IF(ISNA(VLOOKUP(A93,'Données projet'!$A$113:$I$133,4,0)),0,VLOOKUP(A93,'Données projet'!$A$113:$I$133,4,0))</f>
        <v>21</v>
      </c>
      <c r="CH93" s="16">
        <f>IF(ISNA(VLOOKUP(A93,'Données projet'!$A$113:$I$133,5,0)),0%,VLOOKUP(A93,'Données projet'!$A$113:$I$133,5,0)*VLOOKUP('Données projet'!$B$12,Paramètres!$A$1:$I$89,7,0))</f>
        <v>0.30099999999999999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33.913472301384914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33.913472301384914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67.82642069684789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207</v>
      </c>
      <c r="CR93" s="12">
        <f>VLOOKUP(A93,'Données projet'!$A$139:$I$159,9,0)</f>
        <v>4.2</v>
      </c>
      <c r="CS93" s="12">
        <f t="array" ref="CS93">INDEX(CR:CR,MIN(IF(ISNUMBER(CR93:CR289),ROW(CR93:CR289),"")))</f>
        <v>4.2</v>
      </c>
      <c r="CT93" s="12">
        <f>IF('Données projet'!$A$140&gt;35,CT92+CS93-DB92,IF(A93&lt;'Données projet'!$A$140,$CQ$205^A93,IF(A93='Données projet'!$A$140,'Données projet'!$B$140,CT92+CS93-DB92)))</f>
        <v>206.99999999999994</v>
      </c>
      <c r="CU93" s="17">
        <f>CT93*VLOOKUP('Données projet'!$B$13,Paramètres!$A$1:$I$89,3,0)*VLOOKUP('Données projet'!$B$13,Paramètres!$A$1:$I$89,5,0)</f>
        <v>196.98119999999994</v>
      </c>
      <c r="CV93" s="13">
        <f t="shared" si="95"/>
        <v>49.080140741894134</v>
      </c>
      <c r="CW93" s="20">
        <f t="shared" si="67"/>
        <v>428.55683512546551</v>
      </c>
      <c r="CX93" s="59">
        <f t="shared" si="68"/>
        <v>713.92037768057446</v>
      </c>
      <c r="CY93" s="59">
        <f ca="1">AVERAGE(OFFSET($CX$3,0,0,'Données projet'!$E$13+1,1))-AVERAGE(OFFSET($H$3,0,0,'Données projet'!$E$13+1,1))</f>
        <v>307.62549820830162</v>
      </c>
      <c r="CZ93" s="59">
        <f t="shared" si="96"/>
        <v>160.26466014910304</v>
      </c>
      <c r="DA93" s="15">
        <f>IF(ISNA(VLOOKUP(A93,'Données projet'!$A$139:$I$159,3,0)),0,VLOOKUP(A93,'Données projet'!$A$139:$I$159,3,0))</f>
        <v>14</v>
      </c>
      <c r="DB93" s="15">
        <f>IF(ISNA(VLOOKUP(A93,'Données projet'!$A$139:$I$159,4,0)),0,VLOOKUP(A93,'Données projet'!$A$139:$I$159,4,0))</f>
        <v>14</v>
      </c>
      <c r="DC93" s="16">
        <f>IF(ISNA(VLOOKUP(A93,'Données projet'!$A$139:$I$159,5,0)),0%,VLOOKUP(A93,'Données projet'!$A$139:$I$159,5,0)*VLOOKUP('Données projet'!$B$13,Paramètres!$A$1:$I$89,7,0))</f>
        <v>0.25800000000000001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19.002312996806214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19.002312996806214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67.82642069684789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-1.7053025658242404E-13</v>
      </c>
      <c r="DP93" s="17">
        <f>DO93*VLOOKUP('Données projet'!$B$14,Paramètres!$A$1:$I$89,3,0)*VLOOKUP('Données projet'!$B$14,Paramètres!$A$1:$I$89,5,0)</f>
        <v>-1.3567387213697657E-13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309.14579005132464</v>
      </c>
      <c r="DU93" s="59">
        <f t="shared" si="98"/>
        <v>300.60311050289533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75.52533614991485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75.52533614991485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67.82642069684789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>
        <f>EJ93*VLOOKUP('Données projet'!$B$15,Paramètres!$A$1:$I$89,3,0)*VLOOKUP('Données projet'!$B$15,Paramètres!$A$1:$I$89,5,0)</f>
        <v>0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338.59243085476896</v>
      </c>
      <c r="EP93" s="59">
        <f t="shared" si="100"/>
        <v>329.8393445823275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69.973167519575895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69.973167519575895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67.82642069684789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>
        <f>FE93*VLOOKUP('Données projet'!$B$16,Paramètres!$A$1:$I$89,3,0)*VLOOKUP('Données projet'!$B$16,Paramètres!$A$1:$I$89,5,0)</f>
        <v>0</v>
      </c>
      <c r="FG93" s="13" t="e">
        <f t="shared" si="101"/>
        <v>#NUM!</v>
      </c>
      <c r="FH93" s="20" t="e">
        <f t="shared" si="76"/>
        <v>#NUM!</v>
      </c>
      <c r="FI93" s="59" t="e">
        <f t="shared" si="77"/>
        <v>#NUM!</v>
      </c>
      <c r="FJ93" s="59">
        <f ca="1">AVERAGE(OFFSET($FI$3,0,0,'Données projet'!$E$16+1,1))-AVERAGE(OFFSET($H$3,0,0,'Données projet'!$E$16+1,1))</f>
        <v>307.50573770128085</v>
      </c>
      <c r="FK93" s="59">
        <f t="shared" si="102"/>
        <v>300.2007312562655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62.529213528131649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62.529213528131649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67.82642069684789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>
        <f>FZ93*VLOOKUP('Données projet'!$B$17,Paramètres!$A$1:$I$89,3,0)*VLOOKUP('Données projet'!$B$17,Paramètres!$A$1:$I$89,5,0)</f>
        <v>0</v>
      </c>
      <c r="GB93" s="13" t="e">
        <f t="shared" si="103"/>
        <v>#NUM!</v>
      </c>
      <c r="GC93" s="20" t="e">
        <f t="shared" si="79"/>
        <v>#NUM!</v>
      </c>
      <c r="GD93" s="59" t="e">
        <f t="shared" si="80"/>
        <v>#NUM!</v>
      </c>
      <c r="GE93" s="59">
        <f ca="1">AVERAGE(OFFSET($GD$3,0,0,'Données projet'!$E$17+1,1))-AVERAGE(OFFSET($H$3,0,0,'Données projet'!$E$17+1,1))</f>
        <v>369.60865427618342</v>
      </c>
      <c r="GF93" s="59">
        <f t="shared" si="104"/>
        <v>359.40898775279197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77.417121511020142</v>
      </c>
      <c r="GM93" s="21">
        <f>EXP(-LN(2)/25)*GM92+(1-EXP(-LN(2)/25))/(LN(2)/25)*Calculateur!GH93*Calculateur!GJ93*VLOOKUP('Données projet'!$B$17,Paramètres!$A$1:$I$89,3,0)*0.475*44/12</f>
        <v>0</v>
      </c>
      <c r="GN93" s="21">
        <f>EXP(-LN(2)/2)*GN92+(1-EXP(-LN(2)/2))/(LN(2)/2)*GH93*GK93*VLOOKUP('Données projet'!$B$17,Paramètres!$A$1:$I$89,3,0)*0.475*44/12</f>
        <v>0</v>
      </c>
      <c r="GO93" s="21">
        <f t="shared" si="81"/>
        <v>77.417121511020142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67.82642069684789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-1.7053025658242404E-13</v>
      </c>
      <c r="GV93" s="17">
        <f>GU93*VLOOKUP('Données projet'!$B$18,Paramètres!$A$1:$I$89,3,0)*VLOOKUP('Données projet'!$B$18,Paramètres!$A$1:$I$89,5,0)</f>
        <v>-1.1173142411280423E-13</v>
      </c>
      <c r="GW93" s="13" t="e">
        <f t="shared" si="105"/>
        <v>#NUM!</v>
      </c>
      <c r="GX93" s="20" t="e">
        <f t="shared" si="82"/>
        <v>#NUM!</v>
      </c>
      <c r="GY93" s="59" t="e">
        <f t="shared" si="83"/>
        <v>#NUM!</v>
      </c>
      <c r="GZ93" s="59">
        <f ca="1">AVERAGE(OFFSET($GY$3,0,0,'Données projet'!$E$18+1,1))-AVERAGE(OFFSET($H$3,0,0,'Données projet'!$E$18+1,1))</f>
        <v>262.62914256200031</v>
      </c>
      <c r="HA93" s="59">
        <f t="shared" si="106"/>
        <v>256.45129229594409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>
        <f>EXP(-LN(2)/35)*HG92+(1-EXP(-LN(2)/35))/(LN(2)/35)*HC93*HD93*VLOOKUP('Données projet'!$B$18,Paramètres!$A$1:$I$89,3,0)*0.475*44/12</f>
        <v>50.46198930327273</v>
      </c>
      <c r="HH93" s="21">
        <f>EXP(-LN(2)/25)*HH92+(1-EXP(-LN(2)/25))/(LN(2)/25)*Calculateur!HC93*Calculateur!HE93*VLOOKUP('Données projet'!$B$18,Paramètres!$A$1:$I$89,3,0)*0.475*44/12</f>
        <v>0</v>
      </c>
      <c r="HI93" s="21">
        <f>EXP(-LN(2)/2)*HI92+(1-EXP(-LN(2)/2))/(LN(2)/2)*HC93*HF93*VLOOKUP('Données projet'!$B$18,Paramètres!$A$1:$I$89,3,0)*0.475*44/12</f>
        <v>0</v>
      </c>
      <c r="HJ93" s="22">
        <f t="shared" si="84"/>
        <v>50.46198930327273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2.1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7.7</v>
      </c>
      <c r="H94" s="67">
        <f t="shared" si="56"/>
        <v>225.86666666666665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67.864127438362246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7.6</v>
      </c>
      <c r="N94" s="13">
        <f>IF('Données projet'!$A$36&gt;35,N93+M94-V93,IF(A94&lt;'Données projet'!$A$36,$K$205^A94,IF(A94='Données projet'!$A$36,'Données projet'!$B$36,N93+M94-V93)))</f>
        <v>358.59999999999991</v>
      </c>
      <c r="O94" s="13">
        <f>N94*VLOOKUP('Données projet'!$B$9,Paramètres!$A$1:$I$89,3,0)*VLOOKUP('Données projet'!$B$9,Paramètres!$A$1:$I$89,5,0)</f>
        <v>307.67879999999997</v>
      </c>
      <c r="P94" s="13">
        <f t="shared" si="87"/>
        <v>72.783859383050824</v>
      </c>
      <c r="Q94" s="20">
        <f t="shared" si="54"/>
        <v>662.63913175881351</v>
      </c>
      <c r="R94" s="59">
        <f t="shared" si="55"/>
        <v>948.14093236614167</v>
      </c>
      <c r="S94" s="59">
        <f ca="1">AVERAGE(OFFSET($R$3,0,0,'Données projet'!$E$9+1,1))-AVERAGE(OFFSET($H$3,0,0,'Données projet'!$E$9+1,1))</f>
        <v>476.79071915271794</v>
      </c>
      <c r="T94" s="59">
        <f t="shared" si="88"/>
        <v>264.79929759351762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39.522651465190513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39.522651465190513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67.864127438362246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7</v>
      </c>
      <c r="AI94" s="13">
        <f>IF('Données projet'!$A$62&gt;35,AI93+AH94-AQ93,IF(A94&lt;'Données projet'!$A$62,$AF$205^A94,IF(A94='Données projet'!$A$62,'Données projet'!$B$62,AI93+AH94-AQ93)))</f>
        <v>260.99999999999989</v>
      </c>
      <c r="AJ94" s="13">
        <f>AI94*VLOOKUP('Données projet'!$B$10,Paramètres!$A$1:$I$89,3,0)*VLOOKUP('Données projet'!$B$10,Paramètres!$A$1:$I$89,5,0)</f>
        <v>219.86639999999991</v>
      </c>
      <c r="AK94" s="13">
        <f t="shared" si="89"/>
        <v>54.085847394182416</v>
      </c>
      <c r="AL94" s="20">
        <f t="shared" si="58"/>
        <v>477.13349754486757</v>
      </c>
      <c r="AM94" s="59">
        <f t="shared" si="59"/>
        <v>762.63529815219579</v>
      </c>
      <c r="AN94" s="59">
        <f ca="1">AVERAGE(OFFSET($AM$3,0,0,'Données projet'!$E$10+1,1))-AVERAGE(OFFSET($H$3,0,0,'Données projet'!$E$10+1,1))</f>
        <v>365.104658862176</v>
      </c>
      <c r="AO94" s="59">
        <f t="shared" si="90"/>
        <v>226.29232910286325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27.621789060237539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27.621789060237539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67.864127438362246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7</v>
      </c>
      <c r="BD94" s="12">
        <f>IF('Données projet'!$A$88&gt;35,BD93+BC94-BL93,IF(A94&lt;'Données projet'!$A$88,$BA$205^A94,IF(A94='Données projet'!$A$88,'Données projet'!$B$88,BD93+BC94-BL93)))</f>
        <v>260.99999999999989</v>
      </c>
      <c r="BE94" s="13">
        <f>BD94*VLOOKUP('Données projet'!$B$11,Paramètres!$A$1:$I$89,3,0)*VLOOKUP('Données projet'!$B$11,Paramètres!$A$1:$I$89,5,0)</f>
        <v>236.15279999999987</v>
      </c>
      <c r="BF94" s="13">
        <f t="shared" si="91"/>
        <v>57.61100977459931</v>
      </c>
      <c r="BG94" s="20">
        <f t="shared" si="61"/>
        <v>511.63863535742689</v>
      </c>
      <c r="BH94" s="59">
        <f t="shared" si="62"/>
        <v>797.14043596475517</v>
      </c>
      <c r="BI94" s="59">
        <f ca="1">AVERAGE(OFFSET($BH$3,0,0,'Données projet'!$E$11+1,1))-AVERAGE(OFFSET($H$3,0,0,'Données projet'!$E$11+1,1))</f>
        <v>388.12494342575195</v>
      </c>
      <c r="BJ94" s="59">
        <f t="shared" si="92"/>
        <v>239.39471445648454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29.667847509144021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29.667847509144021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67.864127438362246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7</v>
      </c>
      <c r="BY94" s="12">
        <f>IF('Données projet'!$A$114&gt;35,BY93+BX94-CG93,IF(A94&lt;'Données projet'!$A$114,$BV$205^A94,IF(A94='Données projet'!$A$114,'Données projet'!$B$114,BY93+BX94-CG93)))</f>
        <v>260.99999999999989</v>
      </c>
      <c r="BZ94" s="13">
        <f>BY94*VLOOKUP('Données projet'!$B$12,Paramètres!$A$1:$I$89,3,0)*VLOOKUP('Données projet'!$B$12,Paramètres!$A$1:$I$89,5,0)</f>
        <v>264.65399999999988</v>
      </c>
      <c r="CA94" s="13">
        <f t="shared" si="93"/>
        <v>63.71339601121106</v>
      </c>
      <c r="CB94" s="20">
        <f t="shared" si="64"/>
        <v>571.90654805285897</v>
      </c>
      <c r="CC94" s="59">
        <f t="shared" si="65"/>
        <v>857.40834866018713</v>
      </c>
      <c r="CD94" s="59">
        <f ca="1">AVERAGE(OFFSET($CC$3,0,0,'Données projet'!$E$12+1,1))-AVERAGE(OFFSET($H$3,0,0,'Données projet'!$E$12+1,1))</f>
        <v>428.33148932885132</v>
      </c>
      <c r="CE94" s="59">
        <f t="shared" si="94"/>
        <v>262.27548054534373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33.248449794730369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33.248449794730369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67.864127438362246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3.8</v>
      </c>
      <c r="CT94" s="12">
        <f>IF('Données projet'!$A$140&gt;35,CT93+CS94-DB93,IF(A94&lt;'Données projet'!$A$140,$CQ$205^A94,IF(A94='Données projet'!$A$140,'Données projet'!$B$140,CT93+CS94-DB93)))</f>
        <v>196.79999999999995</v>
      </c>
      <c r="CU94" s="17">
        <f>CT94*VLOOKUP('Données projet'!$B$13,Paramètres!$A$1:$I$89,3,0)*VLOOKUP('Données projet'!$B$13,Paramètres!$A$1:$I$89,5,0)</f>
        <v>187.27487999999997</v>
      </c>
      <c r="CV94" s="13">
        <f t="shared" si="95"/>
        <v>46.936961883202507</v>
      </c>
      <c r="CW94" s="20">
        <f t="shared" si="67"/>
        <v>407.91895794657762</v>
      </c>
      <c r="CX94" s="59">
        <f t="shared" si="68"/>
        <v>693.4207585539059</v>
      </c>
      <c r="CY94" s="59">
        <f ca="1">AVERAGE(OFFSET($CX$3,0,0,'Données projet'!$E$13+1,1))-AVERAGE(OFFSET($H$3,0,0,'Données projet'!$E$13+1,1))</f>
        <v>307.62549820830162</v>
      </c>
      <c r="CZ94" s="59">
        <f t="shared" si="96"/>
        <v>160.26466014910304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18.629689229205329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18.629689229205329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67.864127438362246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-1.7053025658242404E-13</v>
      </c>
      <c r="DP94" s="17">
        <f>DO94*VLOOKUP('Données projet'!$B$14,Paramètres!$A$1:$I$89,3,0)*VLOOKUP('Données projet'!$B$14,Paramètres!$A$1:$I$89,5,0)</f>
        <v>-1.3567387213697657E-13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309.14579005132464</v>
      </c>
      <c r="DU94" s="59">
        <f t="shared" si="98"/>
        <v>300.60311050289533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74.04433037392144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74.04433037392144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67.864127438362246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>
        <f>EJ94*VLOOKUP('Données projet'!$B$15,Paramètres!$A$1:$I$89,3,0)*VLOOKUP('Données projet'!$B$15,Paramètres!$A$1:$I$89,5,0)</f>
        <v>0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338.59243085476896</v>
      </c>
      <c r="EP94" s="59">
        <f t="shared" si="100"/>
        <v>329.8393445823275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68.601036383934954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68.601036383934954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67.864127438362246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>
        <f>FE94*VLOOKUP('Données projet'!$B$16,Paramètres!$A$1:$I$89,3,0)*VLOOKUP('Données projet'!$B$16,Paramètres!$A$1:$I$89,5,0)</f>
        <v>0</v>
      </c>
      <c r="FG94" s="13" t="e">
        <f t="shared" si="101"/>
        <v>#NUM!</v>
      </c>
      <c r="FH94" s="20" t="e">
        <f t="shared" si="76"/>
        <v>#NUM!</v>
      </c>
      <c r="FI94" s="59" t="e">
        <f t="shared" si="77"/>
        <v>#NUM!</v>
      </c>
      <c r="FJ94" s="59">
        <f ca="1">AVERAGE(OFFSET($FI$3,0,0,'Données projet'!$E$16+1,1))-AVERAGE(OFFSET($H$3,0,0,'Données projet'!$E$16+1,1))</f>
        <v>307.50573770128085</v>
      </c>
      <c r="FK94" s="59">
        <f t="shared" si="102"/>
        <v>300.2007312562655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61.303053789899323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61.303053789899323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67.864127438362246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>
        <f>FZ94*VLOOKUP('Données projet'!$B$17,Paramètres!$A$1:$I$89,3,0)*VLOOKUP('Données projet'!$B$17,Paramètres!$A$1:$I$89,5,0)</f>
        <v>0</v>
      </c>
      <c r="GB94" s="13" t="e">
        <f t="shared" si="103"/>
        <v>#NUM!</v>
      </c>
      <c r="GC94" s="20" t="e">
        <f t="shared" si="79"/>
        <v>#NUM!</v>
      </c>
      <c r="GD94" s="59" t="e">
        <f t="shared" si="80"/>
        <v>#NUM!</v>
      </c>
      <c r="GE94" s="59">
        <f ca="1">AVERAGE(OFFSET($GD$3,0,0,'Données projet'!$E$17+1,1))-AVERAGE(OFFSET($H$3,0,0,'Données projet'!$E$17+1,1))</f>
        <v>369.60865427618342</v>
      </c>
      <c r="GF94" s="59">
        <f t="shared" si="104"/>
        <v>359.40898775279197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75.899018977970599</v>
      </c>
      <c r="GM94" s="21">
        <f>EXP(-LN(2)/25)*GM93+(1-EXP(-LN(2)/25))/(LN(2)/25)*Calculateur!GH94*Calculateur!GJ94*VLOOKUP('Données projet'!$B$17,Paramètres!$A$1:$I$89,3,0)*0.475*44/12</f>
        <v>0</v>
      </c>
      <c r="GN94" s="21">
        <f>EXP(-LN(2)/2)*GN93+(1-EXP(-LN(2)/2))/(LN(2)/2)*GH94*GK94*VLOOKUP('Données projet'!$B$17,Paramètres!$A$1:$I$89,3,0)*0.475*44/12</f>
        <v>0</v>
      </c>
      <c r="GO94" s="21">
        <f t="shared" si="81"/>
        <v>75.899018977970599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67.864127438362246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-1.7053025658242404E-13</v>
      </c>
      <c r="GV94" s="17">
        <f>GU94*VLOOKUP('Données projet'!$B$18,Paramètres!$A$1:$I$89,3,0)*VLOOKUP('Données projet'!$B$18,Paramètres!$A$1:$I$89,5,0)</f>
        <v>-1.1173142411280423E-13</v>
      </c>
      <c r="GW94" s="13" t="e">
        <f t="shared" si="105"/>
        <v>#NUM!</v>
      </c>
      <c r="GX94" s="20" t="e">
        <f t="shared" si="82"/>
        <v>#NUM!</v>
      </c>
      <c r="GY94" s="59" t="e">
        <f t="shared" si="83"/>
        <v>#NUM!</v>
      </c>
      <c r="GZ94" s="59">
        <f ca="1">AVERAGE(OFFSET($GY$3,0,0,'Données projet'!$E$18+1,1))-AVERAGE(OFFSET($H$3,0,0,'Données projet'!$E$18+1,1))</f>
        <v>262.62914256200031</v>
      </c>
      <c r="HA94" s="59">
        <f t="shared" si="106"/>
        <v>256.45129229594409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>
        <f>EXP(-LN(2)/35)*HG93+(1-EXP(-LN(2)/35))/(LN(2)/35)*HC94*HD94*VLOOKUP('Données projet'!$B$18,Paramètres!$A$1:$I$89,3,0)*0.475*44/12</f>
        <v>49.472460471809875</v>
      </c>
      <c r="HH94" s="21">
        <f>EXP(-LN(2)/25)*HH93+(1-EXP(-LN(2)/25))/(LN(2)/25)*Calculateur!HC94*Calculateur!HE94*VLOOKUP('Données projet'!$B$18,Paramètres!$A$1:$I$89,3,0)*0.475*44/12</f>
        <v>0</v>
      </c>
      <c r="HI94" s="21">
        <f>EXP(-LN(2)/2)*HI93+(1-EXP(-LN(2)/2))/(LN(2)/2)*HC94*HF94*VLOOKUP('Données projet'!$B$18,Paramètres!$A$1:$I$89,3,0)*0.475*44/12</f>
        <v>0</v>
      </c>
      <c r="HJ94" s="22">
        <f t="shared" si="84"/>
        <v>49.472460471809875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2.1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7.7</v>
      </c>
      <c r="H95" s="67">
        <f t="shared" si="56"/>
        <v>225.86666666666665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67.901180052210975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7.6</v>
      </c>
      <c r="N95" s="13">
        <f>IF('Données projet'!$A$36&gt;35,N94+M95-V94,IF(A95&lt;'Données projet'!$A$36,$K$205^A95,IF(A95='Données projet'!$A$36,'Données projet'!$B$36,N94+M95-V94)))</f>
        <v>366.19999999999993</v>
      </c>
      <c r="O95" s="13">
        <f>N95*VLOOKUP('Données projet'!$B$9,Paramètres!$A$1:$I$89,3,0)*VLOOKUP('Données projet'!$B$9,Paramètres!$A$1:$I$89,5,0)</f>
        <v>314.19959999999998</v>
      </c>
      <c r="P95" s="13">
        <f t="shared" si="87"/>
        <v>74.145185764564587</v>
      </c>
      <c r="Q95" s="20">
        <f t="shared" si="54"/>
        <v>676.36716853994994</v>
      </c>
      <c r="R95" s="59">
        <f t="shared" si="55"/>
        <v>962.00482873139026</v>
      </c>
      <c r="S95" s="59">
        <f ca="1">AVERAGE(OFFSET($R$3,0,0,'Données projet'!$E$9+1,1))-AVERAGE(OFFSET($H$3,0,0,'Données projet'!$E$9+1,1))</f>
        <v>476.79071915271794</v>
      </c>
      <c r="T95" s="59">
        <f t="shared" si="88"/>
        <v>264.79929759351762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38.747636376395207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38.747636376395207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67.901180052210975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7</v>
      </c>
      <c r="AI95" s="13">
        <f>IF('Données projet'!$A$62&gt;35,AI94+AH95-AQ94,IF(A95&lt;'Données projet'!$A$62,$AF$205^A95,IF(A95='Données projet'!$A$62,'Données projet'!$B$62,AI94+AH95-AQ94)))</f>
        <v>267.99999999999989</v>
      </c>
      <c r="AJ95" s="13">
        <f>AI95*VLOOKUP('Données projet'!$B$10,Paramètres!$A$1:$I$89,3,0)*VLOOKUP('Données projet'!$B$10,Paramètres!$A$1:$I$89,5,0)</f>
        <v>225.76319999999993</v>
      </c>
      <c r="AK95" s="13">
        <f t="shared" si="89"/>
        <v>55.365597375021402</v>
      </c>
      <c r="AL95" s="20">
        <f t="shared" si="58"/>
        <v>489.6326554281622</v>
      </c>
      <c r="AM95" s="59">
        <f t="shared" si="59"/>
        <v>775.27031561960246</v>
      </c>
      <c r="AN95" s="59">
        <f ca="1">AVERAGE(OFFSET($AM$3,0,0,'Données projet'!$E$10+1,1))-AVERAGE(OFFSET($H$3,0,0,'Données projet'!$E$10+1,1))</f>
        <v>365.104658862176</v>
      </c>
      <c r="AO95" s="59">
        <f t="shared" si="90"/>
        <v>226.29232910286325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27.080142624394043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27.080142624394043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67.901180052210975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7</v>
      </c>
      <c r="BD95" s="12">
        <f>IF('Données projet'!$A$88&gt;35,BD94+BC95-BL94,IF(A95&lt;'Données projet'!$A$88,$BA$205^A95,IF(A95='Données projet'!$A$88,'Données projet'!$B$88,BD94+BC95-BL94)))</f>
        <v>267.99999999999989</v>
      </c>
      <c r="BE95" s="13">
        <f>BD95*VLOOKUP('Données projet'!$B$11,Paramètres!$A$1:$I$89,3,0)*VLOOKUP('Données projet'!$B$11,Paramètres!$A$1:$I$89,5,0)</f>
        <v>242.48639999999986</v>
      </c>
      <c r="BF95" s="13">
        <f t="shared" si="91"/>
        <v>58.974170235372419</v>
      </c>
      <c r="BG95" s="20">
        <f t="shared" si="61"/>
        <v>525.04382649327329</v>
      </c>
      <c r="BH95" s="59">
        <f t="shared" si="62"/>
        <v>810.68148668471349</v>
      </c>
      <c r="BI95" s="59">
        <f ca="1">AVERAGE(OFFSET($BH$3,0,0,'Données projet'!$E$11+1,1))-AVERAGE(OFFSET($H$3,0,0,'Données projet'!$E$11+1,1))</f>
        <v>388.12494342575195</v>
      </c>
      <c r="BJ95" s="59">
        <f t="shared" si="92"/>
        <v>239.39471445648454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29.086079115089895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29.086079115089895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67.901180052210975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7</v>
      </c>
      <c r="BY95" s="12">
        <f>IF('Données projet'!$A$114&gt;35,BY94+BX95-CG94,IF(A95&lt;'Données projet'!$A$114,$BV$205^A95,IF(A95='Données projet'!$A$114,'Données projet'!$B$114,BY94+BX95-CG94)))</f>
        <v>267.99999999999989</v>
      </c>
      <c r="BZ95" s="13">
        <f>BY95*VLOOKUP('Données projet'!$B$12,Paramètres!$A$1:$I$89,3,0)*VLOOKUP('Données projet'!$B$12,Paramètres!$A$1:$I$89,5,0)</f>
        <v>271.7519999999999</v>
      </c>
      <c r="CA95" s="13">
        <f t="shared" si="93"/>
        <v>65.220947824724931</v>
      </c>
      <c r="CB95" s="20">
        <f t="shared" si="64"/>
        <v>586.89455079472907</v>
      </c>
      <c r="CC95" s="59">
        <f t="shared" si="65"/>
        <v>872.53221098616928</v>
      </c>
      <c r="CD95" s="59">
        <f ca="1">AVERAGE(OFFSET($CC$3,0,0,'Données projet'!$E$12+1,1))-AVERAGE(OFFSET($H$3,0,0,'Données projet'!$E$12+1,1))</f>
        <v>428.33148932885132</v>
      </c>
      <c r="CE95" s="59">
        <f t="shared" si="94"/>
        <v>262.27548054534373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32.596467973807641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32.596467973807641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67.901180052210975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3.8</v>
      </c>
      <c r="CT95" s="12">
        <f>IF('Données projet'!$A$140&gt;35,CT94+CS95-DB94,IF(A95&lt;'Données projet'!$A$140,$CQ$205^A95,IF(A95='Données projet'!$A$140,'Données projet'!$B$140,CT94+CS95-DB94)))</f>
        <v>200.59999999999997</v>
      </c>
      <c r="CU95" s="17">
        <f>CT95*VLOOKUP('Données projet'!$B$13,Paramètres!$A$1:$I$89,3,0)*VLOOKUP('Données projet'!$B$13,Paramètres!$A$1:$I$89,5,0)</f>
        <v>190.89095999999995</v>
      </c>
      <c r="CV95" s="13">
        <f t="shared" si="95"/>
        <v>47.736877792326297</v>
      </c>
      <c r="CW95" s="20">
        <f t="shared" si="67"/>
        <v>415.61015082163493</v>
      </c>
      <c r="CX95" s="59">
        <f t="shared" si="68"/>
        <v>701.24781101307519</v>
      </c>
      <c r="CY95" s="59">
        <f ca="1">AVERAGE(OFFSET($CX$3,0,0,'Données projet'!$E$13+1,1))-AVERAGE(OFFSET($H$3,0,0,'Données projet'!$E$13+1,1))</f>
        <v>307.62549820830162</v>
      </c>
      <c r="CZ95" s="59">
        <f t="shared" si="96"/>
        <v>160.26466014910304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18.26437238640904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18.26437238640904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67.901180052210975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-1.7053025658242404E-13</v>
      </c>
      <c r="DP95" s="17">
        <f>DO95*VLOOKUP('Données projet'!$B$14,Paramètres!$A$1:$I$89,3,0)*VLOOKUP('Données projet'!$B$14,Paramètres!$A$1:$I$89,5,0)</f>
        <v>-1.3567387213697657E-13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309.14579005132464</v>
      </c>
      <c r="DU95" s="59">
        <f t="shared" si="98"/>
        <v>300.60311050289533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72.592366217870932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72.592366217870932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67.901180052210975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>
        <f>EJ95*VLOOKUP('Données projet'!$B$15,Paramètres!$A$1:$I$89,3,0)*VLOOKUP('Données projet'!$B$15,Paramètres!$A$1:$I$89,5,0)</f>
        <v>0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338.59243085476896</v>
      </c>
      <c r="EP95" s="59">
        <f t="shared" si="100"/>
        <v>329.8393445823275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67.255811902946576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67.255811902946576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67.901180052210975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>
        <f>FE95*VLOOKUP('Données projet'!$B$16,Paramètres!$A$1:$I$89,3,0)*VLOOKUP('Données projet'!$B$16,Paramètres!$A$1:$I$89,5,0)</f>
        <v>0</v>
      </c>
      <c r="FG95" s="13" t="e">
        <f t="shared" si="101"/>
        <v>#NUM!</v>
      </c>
      <c r="FH95" s="20" t="e">
        <f t="shared" si="76"/>
        <v>#NUM!</v>
      </c>
      <c r="FI95" s="59" t="e">
        <f t="shared" si="77"/>
        <v>#NUM!</v>
      </c>
      <c r="FJ95" s="59">
        <f ca="1">AVERAGE(OFFSET($FI$3,0,0,'Données projet'!$E$16+1,1))-AVERAGE(OFFSET($H$3,0,0,'Données projet'!$E$16+1,1))</f>
        <v>307.50573770128085</v>
      </c>
      <c r="FK95" s="59">
        <f t="shared" si="102"/>
        <v>300.2007312562655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60.100938296250135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60.100938296250135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67.901180052210975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>
        <f>FZ95*VLOOKUP('Données projet'!$B$17,Paramètres!$A$1:$I$89,3,0)*VLOOKUP('Données projet'!$B$17,Paramètres!$A$1:$I$89,5,0)</f>
        <v>0</v>
      </c>
      <c r="GB95" s="13" t="e">
        <f t="shared" si="103"/>
        <v>#NUM!</v>
      </c>
      <c r="GC95" s="20" t="e">
        <f t="shared" si="79"/>
        <v>#NUM!</v>
      </c>
      <c r="GD95" s="59" t="e">
        <f t="shared" si="80"/>
        <v>#NUM!</v>
      </c>
      <c r="GE95" s="59">
        <f ca="1">AVERAGE(OFFSET($GD$3,0,0,'Données projet'!$E$17+1,1))-AVERAGE(OFFSET($H$3,0,0,'Données projet'!$E$17+1,1))</f>
        <v>369.60865427618342</v>
      </c>
      <c r="GF95" s="59">
        <f t="shared" si="104"/>
        <v>359.40898775279197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74.410685509643031</v>
      </c>
      <c r="GM95" s="21">
        <f>EXP(-LN(2)/25)*GM94+(1-EXP(-LN(2)/25))/(LN(2)/25)*Calculateur!GH95*Calculateur!GJ95*VLOOKUP('Données projet'!$B$17,Paramètres!$A$1:$I$89,3,0)*0.475*44/12</f>
        <v>0</v>
      </c>
      <c r="GN95" s="21">
        <f>EXP(-LN(2)/2)*GN94+(1-EXP(-LN(2)/2))/(LN(2)/2)*GH95*GK95*VLOOKUP('Données projet'!$B$17,Paramètres!$A$1:$I$89,3,0)*0.475*44/12</f>
        <v>0</v>
      </c>
      <c r="GO95" s="21">
        <f t="shared" si="81"/>
        <v>74.410685509643031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67.901180052210975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-1.7053025658242404E-13</v>
      </c>
      <c r="GV95" s="17">
        <f>GU95*VLOOKUP('Données projet'!$B$18,Paramètres!$A$1:$I$89,3,0)*VLOOKUP('Données projet'!$B$18,Paramètres!$A$1:$I$89,5,0)</f>
        <v>-1.1173142411280423E-13</v>
      </c>
      <c r="GW95" s="13" t="e">
        <f t="shared" si="105"/>
        <v>#NUM!</v>
      </c>
      <c r="GX95" s="20" t="e">
        <f t="shared" si="82"/>
        <v>#NUM!</v>
      </c>
      <c r="GY95" s="59" t="e">
        <f t="shared" si="83"/>
        <v>#NUM!</v>
      </c>
      <c r="GZ95" s="59">
        <f ca="1">AVERAGE(OFFSET($GY$3,0,0,'Données projet'!$E$18+1,1))-AVERAGE(OFFSET($H$3,0,0,'Données projet'!$E$18+1,1))</f>
        <v>262.62914256200031</v>
      </c>
      <c r="HA95" s="59">
        <f t="shared" si="106"/>
        <v>256.45129229594409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projet'!$B$18,Paramètres!$A$1:$I$89,3,0)*0.475*44/12</f>
        <v>48.502335697179014</v>
      </c>
      <c r="HH95" s="21">
        <f>EXP(-LN(2)/25)*HH94+(1-EXP(-LN(2)/25))/(LN(2)/25)*Calculateur!HC95*Calculateur!HE95*VLOOKUP('Données projet'!$B$18,Paramètres!$A$1:$I$89,3,0)*0.475*44/12</f>
        <v>0</v>
      </c>
      <c r="HI95" s="21">
        <f>EXP(-LN(2)/2)*HI94+(1-EXP(-LN(2)/2))/(LN(2)/2)*HC95*HF95*VLOOKUP('Données projet'!$B$18,Paramètres!$A$1:$I$89,3,0)*0.475*44/12</f>
        <v>0</v>
      </c>
      <c r="HJ95" s="22">
        <f t="shared" si="84"/>
        <v>48.502335697179014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2.1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7.7</v>
      </c>
      <c r="H96" s="67">
        <f t="shared" si="56"/>
        <v>225.86666666666665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67.937589886046652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7.6</v>
      </c>
      <c r="N96" s="13">
        <f>IF('Données projet'!$A$36&gt;35,N95+M96-V95,IF(A96&lt;'Données projet'!$A$36,$K$205^A96,IF(A96='Données projet'!$A$36,'Données projet'!$B$36,N95+M96-V95)))</f>
        <v>373.79999999999995</v>
      </c>
      <c r="O96" s="13">
        <f>N96*VLOOKUP('Données projet'!$B$9,Paramètres!$A$1:$I$89,3,0)*VLOOKUP('Données projet'!$B$9,Paramètres!$A$1:$I$89,5,0)</f>
        <v>320.72040000000004</v>
      </c>
      <c r="P96" s="13">
        <f t="shared" si="87"/>
        <v>75.503227270035765</v>
      </c>
      <c r="Q96" s="20">
        <f t="shared" si="54"/>
        <v>690.08948416197893</v>
      </c>
      <c r="R96" s="59">
        <f t="shared" si="55"/>
        <v>975.86064707748324</v>
      </c>
      <c r="S96" s="59">
        <f ca="1">AVERAGE(OFFSET($R$3,0,0,'Données projet'!$E$9+1,1))-AVERAGE(OFFSET($H$3,0,0,'Données projet'!$E$9+1,1))</f>
        <v>476.79071915271794</v>
      </c>
      <c r="T96" s="59">
        <f t="shared" si="88"/>
        <v>264.79929759351762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37.987818860778653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37.987818860778653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67.937589886046652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7</v>
      </c>
      <c r="AI96" s="13">
        <f>IF('Données projet'!$A$62&gt;35,AI95+AH96-AQ95,IF(A96&lt;'Données projet'!$A$62,$AF$205^A96,IF(A96='Données projet'!$A$62,'Données projet'!$B$62,AI95+AH96-AQ95)))</f>
        <v>274.99999999999989</v>
      </c>
      <c r="AJ96" s="13">
        <f>AI96*VLOOKUP('Données projet'!$B$10,Paramètres!$A$1:$I$89,3,0)*VLOOKUP('Données projet'!$B$10,Paramètres!$A$1:$I$89,5,0)</f>
        <v>231.65999999999991</v>
      </c>
      <c r="AK96" s="13">
        <f t="shared" si="89"/>
        <v>56.641461975682766</v>
      </c>
      <c r="AL96" s="20">
        <f t="shared" si="58"/>
        <v>502.125046274314</v>
      </c>
      <c r="AM96" s="59">
        <f t="shared" si="59"/>
        <v>787.89620918981836</v>
      </c>
      <c r="AN96" s="59">
        <f ca="1">AVERAGE(OFFSET($AM$3,0,0,'Données projet'!$E$10+1,1))-AVERAGE(OFFSET($H$3,0,0,'Données projet'!$E$10+1,1))</f>
        <v>365.104658862176</v>
      </c>
      <c r="AO96" s="59">
        <f t="shared" si="90"/>
        <v>226.29232910286325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26.549117544785734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26.549117544785734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67.937589886046652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7</v>
      </c>
      <c r="BD96" s="12">
        <f>IF('Données projet'!$A$88&gt;35,BD95+BC96-BL95,IF(A96&lt;'Données projet'!$A$88,$BA$205^A96,IF(A96='Données projet'!$A$88,'Données projet'!$B$88,BD95+BC96-BL95)))</f>
        <v>274.99999999999989</v>
      </c>
      <c r="BE96" s="13">
        <f>BD96*VLOOKUP('Données projet'!$B$11,Paramètres!$A$1:$I$89,3,0)*VLOOKUP('Données projet'!$B$11,Paramètres!$A$1:$I$89,5,0)</f>
        <v>248.81999999999988</v>
      </c>
      <c r="BF96" s="13">
        <f t="shared" si="91"/>
        <v>60.333192077890018</v>
      </c>
      <c r="BG96" s="20">
        <f t="shared" si="61"/>
        <v>538.44180953565819</v>
      </c>
      <c r="BH96" s="59">
        <f t="shared" si="62"/>
        <v>824.21297245116261</v>
      </c>
      <c r="BI96" s="59">
        <f ca="1">AVERAGE(OFFSET($BH$3,0,0,'Données projet'!$E$11+1,1))-AVERAGE(OFFSET($H$3,0,0,'Données projet'!$E$11+1,1))</f>
        <v>388.12494342575195</v>
      </c>
      <c r="BJ96" s="59">
        <f t="shared" si="92"/>
        <v>239.39471445648454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28.515718844399487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28.515718844399487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67.937589886046652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7</v>
      </c>
      <c r="BY96" s="12">
        <f>IF('Données projet'!$A$114&gt;35,BY95+BX96-CG95,IF(A96&lt;'Données projet'!$A$114,$BV$205^A96,IF(A96='Données projet'!$A$114,'Données projet'!$B$114,BY95+BX96-CG95)))</f>
        <v>274.99999999999989</v>
      </c>
      <c r="BZ96" s="13">
        <f>BY96*VLOOKUP('Données projet'!$B$12,Paramètres!$A$1:$I$89,3,0)*VLOOKUP('Données projet'!$B$12,Paramètres!$A$1:$I$89,5,0)</f>
        <v>278.84999999999991</v>
      </c>
      <c r="CA96" s="13">
        <f t="shared" si="93"/>
        <v>66.723922641152967</v>
      </c>
      <c r="CB96" s="20">
        <f t="shared" si="64"/>
        <v>601.87458193334135</v>
      </c>
      <c r="CC96" s="59">
        <f t="shared" si="65"/>
        <v>887.64574484884565</v>
      </c>
      <c r="CD96" s="59">
        <f ca="1">AVERAGE(OFFSET($CC$3,0,0,'Données projet'!$E$12+1,1))-AVERAGE(OFFSET($H$3,0,0,'Données projet'!$E$12+1,1))</f>
        <v>428.33148932885132</v>
      </c>
      <c r="CE96" s="59">
        <f t="shared" si="94"/>
        <v>262.27548054534373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31.957271118723565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31.957271118723565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67.937589886046652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3.8</v>
      </c>
      <c r="CT96" s="12">
        <f>IF('Données projet'!$A$140&gt;35,CT95+CS96-DB95,IF(A96&lt;'Données projet'!$A$140,$CQ$205^A96,IF(A96='Données projet'!$A$140,'Données projet'!$B$140,CT95+CS96-DB95)))</f>
        <v>204.39999999999998</v>
      </c>
      <c r="CU96" s="17">
        <f>CT96*VLOOKUP('Données projet'!$B$13,Paramètres!$A$1:$I$89,3,0)*VLOOKUP('Données projet'!$B$13,Paramètres!$A$1:$I$89,5,0)</f>
        <v>194.50703999999999</v>
      </c>
      <c r="CV96" s="13">
        <f t="shared" si="95"/>
        <v>48.535031730585615</v>
      </c>
      <c r="CW96" s="20">
        <f t="shared" si="67"/>
        <v>423.29827493076988</v>
      </c>
      <c r="CX96" s="59">
        <f t="shared" si="68"/>
        <v>709.06943784627424</v>
      </c>
      <c r="CY96" s="59">
        <f ca="1">AVERAGE(OFFSET($CX$3,0,0,'Données projet'!$E$13+1,1))-AVERAGE(OFFSET($H$3,0,0,'Données projet'!$E$13+1,1))</f>
        <v>307.62549820830162</v>
      </c>
      <c r="CZ96" s="59">
        <f t="shared" si="96"/>
        <v>160.26466014910304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17.906219184078715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17.906219184078715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67.937589886046652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-1.7053025658242404E-13</v>
      </c>
      <c r="DP96" s="17">
        <f>DO96*VLOOKUP('Données projet'!$B$14,Paramètres!$A$1:$I$89,3,0)*VLOOKUP('Données projet'!$B$14,Paramètres!$A$1:$I$89,5,0)</f>
        <v>-1.3567387213697657E-13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309.14579005132464</v>
      </c>
      <c r="DU96" s="59">
        <f t="shared" si="98"/>
        <v>300.60311050289533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71.16887419330989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71.16887419330989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67.937589886046652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>
        <f>EJ96*VLOOKUP('Données projet'!$B$15,Paramètres!$A$1:$I$89,3,0)*VLOOKUP('Données projet'!$B$15,Paramètres!$A$1:$I$89,5,0)</f>
        <v>0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338.59243085476896</v>
      </c>
      <c r="EP96" s="59">
        <f t="shared" si="100"/>
        <v>329.8393445823275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65.936966453524462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65.936966453524462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67.937589886046652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>
        <f>FE96*VLOOKUP('Données projet'!$B$16,Paramètres!$A$1:$I$89,3,0)*VLOOKUP('Données projet'!$B$16,Paramètres!$A$1:$I$89,5,0)</f>
        <v>0</v>
      </c>
      <c r="FG96" s="13" t="e">
        <f t="shared" si="101"/>
        <v>#NUM!</v>
      </c>
      <c r="FH96" s="20" t="e">
        <f t="shared" si="76"/>
        <v>#NUM!</v>
      </c>
      <c r="FI96" s="59" t="e">
        <f t="shared" si="77"/>
        <v>#NUM!</v>
      </c>
      <c r="FJ96" s="59">
        <f ca="1">AVERAGE(OFFSET($FI$3,0,0,'Données projet'!$E$16+1,1))-AVERAGE(OFFSET($H$3,0,0,'Données projet'!$E$16+1,1))</f>
        <v>307.50573770128085</v>
      </c>
      <c r="FK96" s="59">
        <f t="shared" si="102"/>
        <v>300.2007312562655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58.92239555421336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58.92239555421336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67.937589886046652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>
        <f>FZ96*VLOOKUP('Données projet'!$B$17,Paramètres!$A$1:$I$89,3,0)*VLOOKUP('Données projet'!$B$17,Paramètres!$A$1:$I$89,5,0)</f>
        <v>0</v>
      </c>
      <c r="GB96" s="13" t="e">
        <f t="shared" si="103"/>
        <v>#NUM!</v>
      </c>
      <c r="GC96" s="20" t="e">
        <f t="shared" si="79"/>
        <v>#NUM!</v>
      </c>
      <c r="GD96" s="59" t="e">
        <f t="shared" si="80"/>
        <v>#NUM!</v>
      </c>
      <c r="GE96" s="59">
        <f ca="1">AVERAGE(OFFSET($GD$3,0,0,'Données projet'!$E$17+1,1))-AVERAGE(OFFSET($H$3,0,0,'Données projet'!$E$17+1,1))</f>
        <v>369.60865427618342</v>
      </c>
      <c r="GF96" s="59">
        <f t="shared" si="104"/>
        <v>359.40898775279197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72.951537352835587</v>
      </c>
      <c r="GM96" s="21">
        <f>EXP(-LN(2)/25)*GM95+(1-EXP(-LN(2)/25))/(LN(2)/25)*Calculateur!GH96*Calculateur!GJ96*VLOOKUP('Données projet'!$B$17,Paramètres!$A$1:$I$89,3,0)*0.475*44/12</f>
        <v>0</v>
      </c>
      <c r="GN96" s="21">
        <f>EXP(-LN(2)/2)*GN95+(1-EXP(-LN(2)/2))/(LN(2)/2)*GH96*GK96*VLOOKUP('Données projet'!$B$17,Paramètres!$A$1:$I$89,3,0)*0.475*44/12</f>
        <v>0</v>
      </c>
      <c r="GO96" s="21">
        <f t="shared" si="81"/>
        <v>72.951537352835587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67.937589886046652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-1.7053025658242404E-13</v>
      </c>
      <c r="GV96" s="17">
        <f>GU96*VLOOKUP('Données projet'!$B$18,Paramètres!$A$1:$I$89,3,0)*VLOOKUP('Données projet'!$B$18,Paramètres!$A$1:$I$89,5,0)</f>
        <v>-1.1173142411280423E-13</v>
      </c>
      <c r="GW96" s="13" t="e">
        <f t="shared" si="105"/>
        <v>#NUM!</v>
      </c>
      <c r="GX96" s="20" t="e">
        <f t="shared" si="82"/>
        <v>#NUM!</v>
      </c>
      <c r="GY96" s="59" t="e">
        <f t="shared" si="83"/>
        <v>#NUM!</v>
      </c>
      <c r="GZ96" s="59">
        <f ca="1">AVERAGE(OFFSET($GY$3,0,0,'Données projet'!$E$18+1,1))-AVERAGE(OFFSET($H$3,0,0,'Données projet'!$E$18+1,1))</f>
        <v>262.62914256200031</v>
      </c>
      <c r="HA96" s="59">
        <f t="shared" si="106"/>
        <v>256.45129229594409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projet'!$B$18,Paramètres!$A$1:$I$89,3,0)*0.475*44/12</f>
        <v>47.551234477660977</v>
      </c>
      <c r="HH96" s="21">
        <f>EXP(-LN(2)/25)*HH95+(1-EXP(-LN(2)/25))/(LN(2)/25)*Calculateur!HC96*Calculateur!HE96*VLOOKUP('Données projet'!$B$18,Paramètres!$A$1:$I$89,3,0)*0.475*44/12</f>
        <v>0</v>
      </c>
      <c r="HI96" s="21">
        <f>EXP(-LN(2)/2)*HI95+(1-EXP(-LN(2)/2))/(LN(2)/2)*HC96*HF96*VLOOKUP('Données projet'!$B$18,Paramètres!$A$1:$I$89,3,0)*0.475*44/12</f>
        <v>0</v>
      </c>
      <c r="HJ96" s="22">
        <f t="shared" si="84"/>
        <v>47.551234477660977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2.1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7.7</v>
      </c>
      <c r="H97" s="67">
        <f t="shared" si="56"/>
        <v>225.86666666666665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67.973368090665502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7.6</v>
      </c>
      <c r="N97" s="13">
        <f>IF('Données projet'!$A$36&gt;35,N96+M97-V96,IF(A97&lt;'Données projet'!$A$36,$K$205^A97,IF(A97='Données projet'!$A$36,'Données projet'!$B$36,N96+M97-V96)))</f>
        <v>381.4</v>
      </c>
      <c r="O97" s="13">
        <f>N97*VLOOKUP('Données projet'!$B$9,Paramètres!$A$1:$I$89,3,0)*VLOOKUP('Données projet'!$B$9,Paramètres!$A$1:$I$89,5,0)</f>
        <v>327.24120000000005</v>
      </c>
      <c r="P97" s="13">
        <f t="shared" si="87"/>
        <v>76.85805838290122</v>
      </c>
      <c r="Q97" s="20">
        <f t="shared" si="54"/>
        <v>703.80620835021966</v>
      </c>
      <c r="R97" s="59">
        <f t="shared" si="55"/>
        <v>989.70855801599316</v>
      </c>
      <c r="S97" s="59">
        <f ca="1">AVERAGE(OFFSET($R$3,0,0,'Données projet'!$E$9+1,1))-AVERAGE(OFFSET($H$3,0,0,'Données projet'!$E$9+1,1))</f>
        <v>476.79071915271794</v>
      </c>
      <c r="T97" s="59">
        <f t="shared" si="88"/>
        <v>264.79929759351762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37.242900903200415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37.242900903200415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67.973368090665502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7</v>
      </c>
      <c r="AI97" s="13">
        <f>IF('Données projet'!$A$62&gt;35,AI96+AH97-AQ96,IF(A97&lt;'Données projet'!$A$62,$AF$205^A97,IF(A97='Données projet'!$A$62,'Données projet'!$B$62,AI96+AH97-AQ96)))</f>
        <v>281.99999999999989</v>
      </c>
      <c r="AJ97" s="13">
        <f>AI97*VLOOKUP('Données projet'!$B$10,Paramètres!$A$1:$I$89,3,0)*VLOOKUP('Données projet'!$B$10,Paramètres!$A$1:$I$89,5,0)</f>
        <v>237.55679999999992</v>
      </c>
      <c r="AK97" s="13">
        <f t="shared" si="89"/>
        <v>57.913551469467308</v>
      </c>
      <c r="AL97" s="20">
        <f t="shared" si="58"/>
        <v>514.61086214265538</v>
      </c>
      <c r="AM97" s="59">
        <f t="shared" si="59"/>
        <v>800.51321180842888</v>
      </c>
      <c r="AN97" s="59">
        <f ca="1">AVERAGE(OFFSET($AM$3,0,0,'Données projet'!$E$10+1,1))-AVERAGE(OFFSET($H$3,0,0,'Données projet'!$E$10+1,1))</f>
        <v>365.104658862176</v>
      </c>
      <c r="AO97" s="59">
        <f t="shared" si="90"/>
        <v>226.29232910286325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26.028505543095225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26.028505543095225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67.973368090665502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7</v>
      </c>
      <c r="BD97" s="12">
        <f>IF('Données projet'!$A$88&gt;35,BD96+BC97-BL96,IF(A97&lt;'Données projet'!$A$88,$BA$205^A97,IF(A97='Données projet'!$A$88,'Données projet'!$B$88,BD96+BC97-BL96)))</f>
        <v>281.99999999999989</v>
      </c>
      <c r="BE97" s="13">
        <f>BD97*VLOOKUP('Données projet'!$B$11,Paramètres!$A$1:$I$89,3,0)*VLOOKUP('Données projet'!$B$11,Paramètres!$A$1:$I$89,5,0)</f>
        <v>255.15359999999987</v>
      </c>
      <c r="BF97" s="13">
        <f t="shared" si="91"/>
        <v>61.688192762754376</v>
      </c>
      <c r="BG97" s="20">
        <f t="shared" si="61"/>
        <v>551.83278906179692</v>
      </c>
      <c r="BH97" s="59">
        <f t="shared" si="62"/>
        <v>837.73513872757042</v>
      </c>
      <c r="BI97" s="59">
        <f ca="1">AVERAGE(OFFSET($BH$3,0,0,'Données projet'!$E$11+1,1))-AVERAGE(OFFSET($H$3,0,0,'Données projet'!$E$11+1,1))</f>
        <v>388.12494342575195</v>
      </c>
      <c r="BJ97" s="59">
        <f t="shared" si="92"/>
        <v>239.39471445648454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27.956542990731904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27.956542990731904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67.973368090665502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7</v>
      </c>
      <c r="BY97" s="12">
        <f>IF('Données projet'!$A$114&gt;35,BY96+BX97-CG96,IF(A97&lt;'Données projet'!$A$114,$BV$205^A97,IF(A97='Données projet'!$A$114,'Données projet'!$B$114,BY96+BX97-CG96)))</f>
        <v>281.99999999999989</v>
      </c>
      <c r="BZ97" s="13">
        <f>BY97*VLOOKUP('Données projet'!$B$12,Paramètres!$A$1:$I$89,3,0)*VLOOKUP('Données projet'!$B$12,Paramètres!$A$1:$I$89,5,0)</f>
        <v>285.94799999999992</v>
      </c>
      <c r="CA97" s="13">
        <f t="shared" si="93"/>
        <v>68.222450362989363</v>
      </c>
      <c r="CB97" s="20">
        <f t="shared" si="64"/>
        <v>616.84686771553959</v>
      </c>
      <c r="CC97" s="59">
        <f t="shared" si="65"/>
        <v>902.74921738131309</v>
      </c>
      <c r="CD97" s="59">
        <f ca="1">AVERAGE(OFFSET($CC$3,0,0,'Données projet'!$E$12+1,1))-AVERAGE(OFFSET($H$3,0,0,'Données projet'!$E$12+1,1))</f>
        <v>428.33148932885132</v>
      </c>
      <c r="CE97" s="59">
        <f t="shared" si="94"/>
        <v>262.27548054534373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31.330608524096103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31.330608524096103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67.973368090665502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3.8</v>
      </c>
      <c r="CT97" s="12">
        <f>IF('Données projet'!$A$140&gt;35,CT96+CS97-DB96,IF(A97&lt;'Données projet'!$A$140,$CQ$205^A97,IF(A97='Données projet'!$A$140,'Données projet'!$B$140,CT96+CS97-DB96)))</f>
        <v>208.2</v>
      </c>
      <c r="CU97" s="17">
        <f>CT97*VLOOKUP('Données projet'!$B$13,Paramètres!$A$1:$I$89,3,0)*VLOOKUP('Données projet'!$B$13,Paramètres!$A$1:$I$89,5,0)</f>
        <v>198.12312</v>
      </c>
      <c r="CV97" s="13">
        <f t="shared" si="95"/>
        <v>49.331460232373296</v>
      </c>
      <c r="CW97" s="20">
        <f t="shared" si="67"/>
        <v>430.98339390471682</v>
      </c>
      <c r="CX97" s="59">
        <f t="shared" si="68"/>
        <v>716.88574357049038</v>
      </c>
      <c r="CY97" s="59">
        <f ca="1">AVERAGE(OFFSET($CX$3,0,0,'Données projet'!$E$13+1,1))-AVERAGE(OFFSET($H$3,0,0,'Données projet'!$E$13+1,1))</f>
        <v>307.62549820830162</v>
      </c>
      <c r="CZ97" s="59">
        <f t="shared" si="96"/>
        <v>160.26466014910304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17.555089147594202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17.555089147594202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67.973368090665502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-1.7053025658242404E-13</v>
      </c>
      <c r="DP97" s="17">
        <f>DO97*VLOOKUP('Données projet'!$B$14,Paramètres!$A$1:$I$89,3,0)*VLOOKUP('Données projet'!$B$14,Paramètres!$A$1:$I$89,5,0)</f>
        <v>-1.3567387213697657E-13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309.14579005132464</v>
      </c>
      <c r="DU97" s="59">
        <f t="shared" si="98"/>
        <v>300.60311050289533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69.773295979106081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69.773295979106081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67.973368090665502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>
        <f>EJ97*VLOOKUP('Données projet'!$B$15,Paramètres!$A$1:$I$89,3,0)*VLOOKUP('Données projet'!$B$15,Paramètres!$A$1:$I$89,5,0)</f>
        <v>0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338.59243085476896</v>
      </c>
      <c r="EP97" s="59">
        <f t="shared" si="100"/>
        <v>329.8393445823275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64.643982758949235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64.643982758949235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67.973368090665502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>
        <f>FE97*VLOOKUP('Données projet'!$B$16,Paramètres!$A$1:$I$89,3,0)*VLOOKUP('Données projet'!$B$16,Paramètres!$A$1:$I$89,5,0)</f>
        <v>0</v>
      </c>
      <c r="FG97" s="13" t="e">
        <f t="shared" si="101"/>
        <v>#NUM!</v>
      </c>
      <c r="FH97" s="20" t="e">
        <f t="shared" si="76"/>
        <v>#NUM!</v>
      </c>
      <c r="FI97" s="59" t="e">
        <f t="shared" si="77"/>
        <v>#NUM!</v>
      </c>
      <c r="FJ97" s="59">
        <f ca="1">AVERAGE(OFFSET($FI$3,0,0,'Données projet'!$E$16+1,1))-AVERAGE(OFFSET($H$3,0,0,'Données projet'!$E$16+1,1))</f>
        <v>307.50573770128085</v>
      </c>
      <c r="FK97" s="59">
        <f t="shared" si="102"/>
        <v>300.2007312562655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57.766963316507834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57.766963316507834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67.973368090665502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>
        <f>FZ97*VLOOKUP('Données projet'!$B$17,Paramètres!$A$1:$I$89,3,0)*VLOOKUP('Données projet'!$B$17,Paramètres!$A$1:$I$89,5,0)</f>
        <v>0</v>
      </c>
      <c r="GB97" s="13" t="e">
        <f t="shared" si="103"/>
        <v>#NUM!</v>
      </c>
      <c r="GC97" s="20" t="e">
        <f t="shared" si="79"/>
        <v>#NUM!</v>
      </c>
      <c r="GD97" s="59" t="e">
        <f t="shared" si="80"/>
        <v>#NUM!</v>
      </c>
      <c r="GE97" s="59">
        <f ca="1">AVERAGE(OFFSET($GD$3,0,0,'Données projet'!$E$17+1,1))-AVERAGE(OFFSET($H$3,0,0,'Données projet'!$E$17+1,1))</f>
        <v>369.60865427618342</v>
      </c>
      <c r="GF97" s="59">
        <f t="shared" si="104"/>
        <v>359.40898775279197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71.521002201390644</v>
      </c>
      <c r="GM97" s="21">
        <f>EXP(-LN(2)/25)*GM96+(1-EXP(-LN(2)/25))/(LN(2)/25)*Calculateur!GH97*Calculateur!GJ97*VLOOKUP('Données projet'!$B$17,Paramètres!$A$1:$I$89,3,0)*0.475*44/12</f>
        <v>0</v>
      </c>
      <c r="GN97" s="21">
        <f>EXP(-LN(2)/2)*GN96+(1-EXP(-LN(2)/2))/(LN(2)/2)*GH97*GK97*VLOOKUP('Données projet'!$B$17,Paramètres!$A$1:$I$89,3,0)*0.475*44/12</f>
        <v>0</v>
      </c>
      <c r="GO97" s="21">
        <f t="shared" si="81"/>
        <v>71.521002201390644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67.973368090665502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-1.7053025658242404E-13</v>
      </c>
      <c r="GV97" s="17">
        <f>GU97*VLOOKUP('Données projet'!$B$18,Paramètres!$A$1:$I$89,3,0)*VLOOKUP('Données projet'!$B$18,Paramètres!$A$1:$I$89,5,0)</f>
        <v>-1.1173142411280423E-13</v>
      </c>
      <c r="GW97" s="13" t="e">
        <f t="shared" si="105"/>
        <v>#NUM!</v>
      </c>
      <c r="GX97" s="20" t="e">
        <f t="shared" si="82"/>
        <v>#NUM!</v>
      </c>
      <c r="GY97" s="59" t="e">
        <f t="shared" si="83"/>
        <v>#NUM!</v>
      </c>
      <c r="GZ97" s="59">
        <f ca="1">AVERAGE(OFFSET($GY$3,0,0,'Données projet'!$E$18+1,1))-AVERAGE(OFFSET($H$3,0,0,'Données projet'!$E$18+1,1))</f>
        <v>262.62914256200031</v>
      </c>
      <c r="HA97" s="59">
        <f t="shared" si="106"/>
        <v>256.45129229594409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projet'!$B$18,Paramètres!$A$1:$I$89,3,0)*0.475*44/12</f>
        <v>46.618783772943232</v>
      </c>
      <c r="HH97" s="21">
        <f>EXP(-LN(2)/25)*HH96+(1-EXP(-LN(2)/25))/(LN(2)/25)*Calculateur!HC97*Calculateur!HE97*VLOOKUP('Données projet'!$B$18,Paramètres!$A$1:$I$89,3,0)*0.475*44/12</f>
        <v>0</v>
      </c>
      <c r="HI97" s="21">
        <f>EXP(-LN(2)/2)*HI96+(1-EXP(-LN(2)/2))/(LN(2)/2)*HC97*HF97*VLOOKUP('Données projet'!$B$18,Paramètres!$A$1:$I$89,3,0)*0.475*44/12</f>
        <v>0</v>
      </c>
      <c r="HJ97" s="22">
        <f t="shared" si="84"/>
        <v>46.618783772943232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2.1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7.7</v>
      </c>
      <c r="H98" s="67">
        <f t="shared" si="56"/>
        <v>225.86666666666665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68.008525623422273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389</v>
      </c>
      <c r="L98" s="12">
        <f>VLOOKUP(A98,'Données projet'!$A$35:$I$55,9,0)</f>
        <v>7.6</v>
      </c>
      <c r="M98" s="12">
        <f t="array" ref="M98">INDEX(L:L,MIN(IF(ISNUMBER(L98:L294),ROW(L98:L294),"")))</f>
        <v>7.6</v>
      </c>
      <c r="N98" s="13">
        <f>IF('Données projet'!$A$36&gt;35,N97+M98-V97,IF(A98&lt;'Données projet'!$A$36,$K$205^A98,IF(A98='Données projet'!$A$36,'Données projet'!$B$36,N97+M98-V97)))</f>
        <v>389</v>
      </c>
      <c r="O98" s="13">
        <f>N98*VLOOKUP('Données projet'!$B$9,Paramètres!$A$1:$I$89,3,0)*VLOOKUP('Données projet'!$B$9,Paramètres!$A$1:$I$89,5,0)</f>
        <v>333.76200000000006</v>
      </c>
      <c r="P98" s="13">
        <f t="shared" si="87"/>
        <v>78.209750448453065</v>
      </c>
      <c r="Q98" s="20">
        <f t="shared" si="54"/>
        <v>717.51746536438907</v>
      </c>
      <c r="R98" s="59">
        <f t="shared" si="55"/>
        <v>1003.5487259836041</v>
      </c>
      <c r="S98" s="59">
        <f ca="1">AVERAGE(OFFSET($R$3,0,0,'Données projet'!$E$9+1,1))-AVERAGE(OFFSET($H$3,0,0,'Données projet'!$E$9+1,1))</f>
        <v>476.79071915271794</v>
      </c>
      <c r="T98" s="59">
        <f t="shared" si="88"/>
        <v>264.79929759351762</v>
      </c>
      <c r="U98" s="15">
        <f>IF(ISNA(VLOOKUP(A98,'Données projet'!$A$35:$I$55,3,0)),0,VLOOKUP(A98,'Données projet'!$A$35:$I$55,3,0))</f>
        <v>16</v>
      </c>
      <c r="V98" s="15">
        <f>IF(ISNA(VLOOKUP(A98,'Données projet'!$A$35:$I$55,4,0)),0,VLOOKUP(A98,'Données projet'!$A$35:$I$55,4,0))</f>
        <v>25</v>
      </c>
      <c r="W98" s="16">
        <f>IF(ISNA(VLOOKUP(A98,'Données projet'!$A$35:$I$55,5,0)),0%,VLOOKUP(A98,'Données projet'!$A$35:$I$55,5,0)*VLOOKUP('Données projet'!$B$9,Paramètres!$A$1:$I$89,7,0))</f>
        <v>0.371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45.309868339219435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45.309868339219435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68.008525623422273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289</v>
      </c>
      <c r="AG98" s="12">
        <f>VLOOKUP(A98,'Données projet'!$A$61:$I$81,9,0)</f>
        <v>7</v>
      </c>
      <c r="AH98" s="12">
        <f t="array" ref="AH98">INDEX(AG:AG,MIN(IF(ISNUMBER(AG98:AG294),ROW(AG98:AG294),"")))</f>
        <v>7</v>
      </c>
      <c r="AI98" s="13">
        <f>IF('Données projet'!$A$62&gt;35,AI97+AH98-AQ97,IF(A98&lt;'Données projet'!$A$62,$AF$205^A98,IF(A98='Données projet'!$A$62,'Données projet'!$B$62,AI97+AH98-AQ97)))</f>
        <v>288.99999999999989</v>
      </c>
      <c r="AJ98" s="13">
        <f>AI98*VLOOKUP('Données projet'!$B$10,Paramètres!$A$1:$I$89,3,0)*VLOOKUP('Données projet'!$B$10,Paramètres!$A$1:$I$89,5,0)</f>
        <v>243.45359999999991</v>
      </c>
      <c r="AK98" s="13">
        <f t="shared" si="89"/>
        <v>59.181970343065267</v>
      </c>
      <c r="AL98" s="20">
        <f t="shared" si="58"/>
        <v>527.09028501417185</v>
      </c>
      <c r="AM98" s="59">
        <f t="shared" si="59"/>
        <v>813.12154563338686</v>
      </c>
      <c r="AN98" s="59">
        <f ca="1">AVERAGE(OFFSET($AM$3,0,0,'Données projet'!$E$10+1,1))-AVERAGE(OFFSET($H$3,0,0,'Données projet'!$E$10+1,1))</f>
        <v>365.104658862176</v>
      </c>
      <c r="AO98" s="59">
        <f t="shared" si="90"/>
        <v>226.29232910286325</v>
      </c>
      <c r="AP98" s="15">
        <f>IF(ISNA(VLOOKUP(A98,'Données projet'!$A$61:$I$81,3,0)),0,VLOOKUP(A98,'Données projet'!$A$61:$I$81,3,0))</f>
        <v>16</v>
      </c>
      <c r="AQ98" s="15">
        <f>IF(ISNA(VLOOKUP(A98,'Données projet'!$A$61:$I$81,4,0)),0,VLOOKUP(A98,'Données projet'!$A$61:$I$81,4,0))</f>
        <v>21</v>
      </c>
      <c r="AR98" s="16">
        <f>IF(ISNA(VLOOKUP(A98,'Données projet'!$A$61:$I$81,5,0)),0%,VLOOKUP(A98,'Données projet'!$A$61:$I$81,5,0)*VLOOKUP('Données projet'!$B$10,Paramètres!$A$1:$I$89,7,0))</f>
        <v>0.30099999999999999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31.404522599044899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31.404522599044899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68.008525623422273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289</v>
      </c>
      <c r="BB98" s="12">
        <f>VLOOKUP(A98,'Données projet'!$A$87:$I$107,9,0)</f>
        <v>7</v>
      </c>
      <c r="BC98" s="12">
        <f t="array" ref="BC98">INDEX(BB:BB,MIN(IF(ISNUMBER(BB98:BB294),ROW(BB98:BB294),"")))</f>
        <v>7</v>
      </c>
      <c r="BD98" s="12">
        <f>IF('Données projet'!$A$88&gt;35,BD97+BC98-BL97,IF(A98&lt;'Données projet'!$A$88,$BA$205^A98,IF(A98='Données projet'!$A$88,'Données projet'!$B$88,BD97+BC98-BL97)))</f>
        <v>288.99999999999989</v>
      </c>
      <c r="BE98" s="13">
        <f>BD98*VLOOKUP('Données projet'!$B$11,Paramètres!$A$1:$I$89,3,0)*VLOOKUP('Données projet'!$B$11,Paramètres!$A$1:$I$89,5,0)</f>
        <v>261.48719999999986</v>
      </c>
      <c r="BF98" s="13">
        <f t="shared" si="91"/>
        <v>63.039283586802334</v>
      </c>
      <c r="BG98" s="20">
        <f t="shared" si="61"/>
        <v>565.21695891368051</v>
      </c>
      <c r="BH98" s="59">
        <f t="shared" si="62"/>
        <v>851.24821953289552</v>
      </c>
      <c r="BI98" s="59">
        <f ca="1">AVERAGE(OFFSET($BH$3,0,0,'Données projet'!$E$11+1,1))-AVERAGE(OFFSET($H$3,0,0,'Données projet'!$E$11+1,1))</f>
        <v>388.12494342575195</v>
      </c>
      <c r="BJ98" s="59">
        <f t="shared" si="92"/>
        <v>239.39471445648454</v>
      </c>
      <c r="BK98" s="15">
        <f>IF(ISNA(VLOOKUP(A98,'Données projet'!$A$87:$I$107,3,0)),0,VLOOKUP(A98,'Données projet'!$A$87:$I$107,3,0))</f>
        <v>16</v>
      </c>
      <c r="BL98" s="15">
        <f>IF(ISNA(VLOOKUP(A98,'Données projet'!$A$87:$I$107,4,0)),0,VLOOKUP(A98,'Données projet'!$A$87:$I$107,4,0))</f>
        <v>21</v>
      </c>
      <c r="BM98" s="16">
        <f>IF(ISNA(VLOOKUP(A98,'Données projet'!$A$87:$I$107,5,0)),0%,VLOOKUP(A98,'Données projet'!$A$87:$I$107,5,0)*VLOOKUP('Données projet'!$B$11,Paramètres!$A$1:$I$89,7,0))</f>
        <v>0.30099999999999999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33.730783532307484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33.730783532307484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68.008525623422273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289</v>
      </c>
      <c r="BW98" s="12">
        <f>VLOOKUP(A98,'Données projet'!$A$113:$I$133,9,0)</f>
        <v>7</v>
      </c>
      <c r="BX98" s="12">
        <f t="array" ref="BX98">INDEX(BW:BW,MIN(IF(ISNUMBER(BW98:BW294),ROW(BW98:BW294),"")))</f>
        <v>7</v>
      </c>
      <c r="BY98" s="12">
        <f>IF('Données projet'!$A$114&gt;35,BY97+BX98-CG97,IF(A98&lt;'Données projet'!$A$114,$BV$205^A98,IF(A98='Données projet'!$A$114,'Données projet'!$B$114,BY97+BX98-CG97)))</f>
        <v>288.99999999999989</v>
      </c>
      <c r="BZ98" s="13">
        <f>BY98*VLOOKUP('Données projet'!$B$12,Paramètres!$A$1:$I$89,3,0)*VLOOKUP('Données projet'!$B$12,Paramètres!$A$1:$I$89,5,0)</f>
        <v>293.04599999999994</v>
      </c>
      <c r="CA98" s="13">
        <f t="shared" si="93"/>
        <v>69.716654076072615</v>
      </c>
      <c r="CB98" s="20">
        <f t="shared" si="64"/>
        <v>631.81162251582634</v>
      </c>
      <c r="CC98" s="59">
        <f t="shared" si="65"/>
        <v>917.84288313504135</v>
      </c>
      <c r="CD98" s="59">
        <f ca="1">AVERAGE(OFFSET($CC$3,0,0,'Données projet'!$E$12+1,1))-AVERAGE(OFFSET($H$3,0,0,'Données projet'!$E$12+1,1))</f>
        <v>428.33148932885132</v>
      </c>
      <c r="CE98" s="59">
        <f t="shared" si="94"/>
        <v>262.27548054534373</v>
      </c>
      <c r="CF98" s="15">
        <f>IF(ISNA(VLOOKUP(A98,'Données projet'!$A$113:$I$133,3,0)),0,VLOOKUP(A98,'Données projet'!$A$113:$I$133,3,0))</f>
        <v>16</v>
      </c>
      <c r="CG98" s="15">
        <f>IF(ISNA(VLOOKUP(A98,'Données projet'!$A$113:$I$133,4,0)),0,VLOOKUP(A98,'Données projet'!$A$113:$I$133,4,0))</f>
        <v>21</v>
      </c>
      <c r="CH98" s="16">
        <f>IF(ISNA(VLOOKUP(A98,'Données projet'!$A$113:$I$133,5,0)),0%,VLOOKUP(A98,'Données projet'!$A$113:$I$133,5,0)*VLOOKUP('Données projet'!$B$12,Paramètres!$A$1:$I$89,7,0))</f>
        <v>0.30099999999999999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37.80174016551701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37.80174016551701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68.008525623422273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>
        <f>VLOOKUP(A98,'Données projet'!$A$139:$I$159,2,0)</f>
        <v>212</v>
      </c>
      <c r="CR98" s="12">
        <f>VLOOKUP(A98,'Données projet'!$A$139:$I$159,9,0)</f>
        <v>3.8</v>
      </c>
      <c r="CS98" s="12">
        <f t="array" ref="CS98">INDEX(CR:CR,MIN(IF(ISNUMBER(CR98:CR294),ROW(CR98:CR294),"")))</f>
        <v>3.8</v>
      </c>
      <c r="CT98" s="12">
        <f>IF('Données projet'!$A$140&gt;35,CT97+CS98-DB97,IF(A98&lt;'Données projet'!$A$140,$CQ$205^A98,IF(A98='Données projet'!$A$140,'Données projet'!$B$140,CT97+CS98-DB97)))</f>
        <v>212</v>
      </c>
      <c r="CU98" s="17">
        <f>CT98*VLOOKUP('Données projet'!$B$13,Paramètres!$A$1:$I$89,3,0)*VLOOKUP('Données projet'!$B$13,Paramètres!$A$1:$I$89,5,0)</f>
        <v>201.73919999999998</v>
      </c>
      <c r="CV98" s="13">
        <f t="shared" si="95"/>
        <v>50.126198422100714</v>
      </c>
      <c r="CW98" s="20">
        <f t="shared" si="67"/>
        <v>438.665568918492</v>
      </c>
      <c r="CX98" s="59">
        <f t="shared" si="68"/>
        <v>724.696829537707</v>
      </c>
      <c r="CY98" s="59">
        <f ca="1">AVERAGE(OFFSET($CX$3,0,0,'Données projet'!$E$13+1,1))-AVERAGE(OFFSET($H$3,0,0,'Données projet'!$E$13+1,1))</f>
        <v>307.62549820830162</v>
      </c>
      <c r="CZ98" s="59">
        <f t="shared" si="96"/>
        <v>160.26466014910304</v>
      </c>
      <c r="DA98" s="15">
        <f>IF(ISNA(VLOOKUP(A98,'Données projet'!$A$139:$I$159,3,0)),0,VLOOKUP(A98,'Données projet'!$A$139:$I$159,3,0))</f>
        <v>15</v>
      </c>
      <c r="DB98" s="15">
        <f>IF(ISNA(VLOOKUP(A98,'Données projet'!$A$139:$I$159,4,0)),0,VLOOKUP(A98,'Données projet'!$A$139:$I$159,4,0))</f>
        <v>14</v>
      </c>
      <c r="DC98" s="16">
        <f>IF(ISNA(VLOOKUP(A98,'Données projet'!$A$139:$I$159,5,0)),0%,VLOOKUP(A98,'Données projet'!$A$139:$I$159,5,0)*VLOOKUP('Données projet'!$B$13,Paramètres!$A$1:$I$89,7,0))</f>
        <v>0.30099999999999999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21.6438276508282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21.6438276508282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68.008525623422273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-1.7053025658242404E-13</v>
      </c>
      <c r="DP98" s="17">
        <f>DO98*VLOOKUP('Données projet'!$B$14,Paramètres!$A$1:$I$89,3,0)*VLOOKUP('Données projet'!$B$14,Paramètres!$A$1:$I$89,5,0)</f>
        <v>-1.3567387213697657E-13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309.14579005132464</v>
      </c>
      <c r="DU98" s="59">
        <f t="shared" si="98"/>
        <v>300.60311050289533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68.405084202464153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68.405084202464153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68.008525623422273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>
        <f>EJ98*VLOOKUP('Données projet'!$B$15,Paramètres!$A$1:$I$89,3,0)*VLOOKUP('Données projet'!$B$15,Paramètres!$A$1:$I$89,5,0)</f>
        <v>0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338.59243085476896</v>
      </c>
      <c r="EP98" s="59">
        <f t="shared" si="100"/>
        <v>329.8393445823275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63.376353685982437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63.376353685982437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68.008525623422273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>
        <f>FE98*VLOOKUP('Données projet'!$B$16,Paramètres!$A$1:$I$89,3,0)*VLOOKUP('Données projet'!$B$16,Paramètres!$A$1:$I$89,5,0)</f>
        <v>0</v>
      </c>
      <c r="FG98" s="13" t="e">
        <f t="shared" si="101"/>
        <v>#NUM!</v>
      </c>
      <c r="FH98" s="20" t="e">
        <f t="shared" si="76"/>
        <v>#NUM!</v>
      </c>
      <c r="FI98" s="59" t="e">
        <f t="shared" si="77"/>
        <v>#NUM!</v>
      </c>
      <c r="FJ98" s="59">
        <f ca="1">AVERAGE(OFFSET($FI$3,0,0,'Données projet'!$E$16+1,1))-AVERAGE(OFFSET($H$3,0,0,'Données projet'!$E$16+1,1))</f>
        <v>307.50573770128085</v>
      </c>
      <c r="FK98" s="59">
        <f t="shared" si="102"/>
        <v>300.2007312562655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56.63418840023963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56.63418840023963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68.008525623422273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>
        <f>FZ98*VLOOKUP('Données projet'!$B$17,Paramètres!$A$1:$I$89,3,0)*VLOOKUP('Données projet'!$B$17,Paramètres!$A$1:$I$89,5,0)</f>
        <v>0</v>
      </c>
      <c r="GB98" s="13" t="e">
        <f t="shared" si="103"/>
        <v>#NUM!</v>
      </c>
      <c r="GC98" s="20" t="e">
        <f t="shared" si="79"/>
        <v>#NUM!</v>
      </c>
      <c r="GD98" s="59" t="e">
        <f t="shared" si="80"/>
        <v>#NUM!</v>
      </c>
      <c r="GE98" s="59">
        <f ca="1">AVERAGE(OFFSET($GD$3,0,0,'Données projet'!$E$17+1,1))-AVERAGE(OFFSET($H$3,0,0,'Données projet'!$E$17+1,1))</f>
        <v>369.60865427618342</v>
      </c>
      <c r="GF98" s="59">
        <f t="shared" si="104"/>
        <v>359.40898775279197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70.118518971725251</v>
      </c>
      <c r="GM98" s="21">
        <f>EXP(-LN(2)/25)*GM97+(1-EXP(-LN(2)/25))/(LN(2)/25)*Calculateur!GH98*Calculateur!GJ98*VLOOKUP('Données projet'!$B$17,Paramètres!$A$1:$I$89,3,0)*0.475*44/12</f>
        <v>0</v>
      </c>
      <c r="GN98" s="21">
        <f>EXP(-LN(2)/2)*GN97+(1-EXP(-LN(2)/2))/(LN(2)/2)*GH98*GK98*VLOOKUP('Données projet'!$B$17,Paramètres!$A$1:$I$89,3,0)*0.475*44/12</f>
        <v>0</v>
      </c>
      <c r="GO98" s="21">
        <f t="shared" si="81"/>
        <v>70.118518971725251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68.008525623422273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-1.7053025658242404E-13</v>
      </c>
      <c r="GV98" s="17">
        <f>GU98*VLOOKUP('Données projet'!$B$18,Paramètres!$A$1:$I$89,3,0)*VLOOKUP('Données projet'!$B$18,Paramètres!$A$1:$I$89,5,0)</f>
        <v>-1.1173142411280423E-13</v>
      </c>
      <c r="GW98" s="13" t="e">
        <f t="shared" si="105"/>
        <v>#NUM!</v>
      </c>
      <c r="GX98" s="20" t="e">
        <f t="shared" si="82"/>
        <v>#NUM!</v>
      </c>
      <c r="GY98" s="59" t="e">
        <f t="shared" si="83"/>
        <v>#NUM!</v>
      </c>
      <c r="GZ98" s="59">
        <f ca="1">AVERAGE(OFFSET($GY$3,0,0,'Données projet'!$E$18+1,1))-AVERAGE(OFFSET($H$3,0,0,'Données projet'!$E$18+1,1))</f>
        <v>262.62914256200031</v>
      </c>
      <c r="HA98" s="59">
        <f t="shared" si="106"/>
        <v>256.45129229594409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>
        <f>EXP(-LN(2)/35)*HG97+(1-EXP(-LN(2)/35))/(LN(2)/35)*HC98*HD98*VLOOKUP('Données projet'!$B$18,Paramètres!$A$1:$I$89,3,0)*0.475*44/12</f>
        <v>45.704617857806227</v>
      </c>
      <c r="HH98" s="21">
        <f>EXP(-LN(2)/25)*HH97+(1-EXP(-LN(2)/25))/(LN(2)/25)*Calculateur!HC98*Calculateur!HE98*VLOOKUP('Données projet'!$B$18,Paramètres!$A$1:$I$89,3,0)*0.475*44/12</f>
        <v>0</v>
      </c>
      <c r="HI98" s="21">
        <f>EXP(-LN(2)/2)*HI97+(1-EXP(-LN(2)/2))/(LN(2)/2)*HC98*HF98*VLOOKUP('Données projet'!$B$18,Paramètres!$A$1:$I$89,3,0)*0.475*44/12</f>
        <v>0</v>
      </c>
      <c r="HJ98" s="22">
        <f t="shared" si="84"/>
        <v>45.704617857806227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2.1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7.7</v>
      </c>
      <c r="H99" s="67">
        <f t="shared" si="56"/>
        <v>225.86666666666665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68.043073251586193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7.2</v>
      </c>
      <c r="N99" s="13">
        <f>IF('Données projet'!$A$36&gt;35,N98+M99-V98,IF(A99&lt;'Données projet'!$A$36,$K$205^A99,IF(A99='Données projet'!$A$36,'Données projet'!$B$36,N98+M99-V98)))</f>
        <v>371.2</v>
      </c>
      <c r="O99" s="13">
        <f>N99*VLOOKUP('Données projet'!$B$9,Paramètres!$A$1:$I$89,3,0)*VLOOKUP('Données projet'!$B$9,Paramètres!$A$1:$I$89,5,0)</f>
        <v>318.4896</v>
      </c>
      <c r="P99" s="13">
        <f t="shared" si="87"/>
        <v>75.038999086150298</v>
      </c>
      <c r="Q99" s="20">
        <f t="shared" ref="Q99:Q130" si="107">(O99+P99)*0.475*44/12</f>
        <v>685.39564340837842</v>
      </c>
      <c r="R99" s="59">
        <f t="shared" si="55"/>
        <v>971.55357866419445</v>
      </c>
      <c r="S99" s="59">
        <f ca="1">AVERAGE(OFFSET($R$3,0,0,'Données projet'!$E$9+1,1))-AVERAGE(OFFSET($H$3,0,0,'Données projet'!$E$9+1,1))</f>
        <v>476.79071915271794</v>
      </c>
      <c r="T99" s="59">
        <f t="shared" si="88"/>
        <v>264.79929759351762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44.421369457378169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44.421369457378169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68.043073251586193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2.8</v>
      </c>
      <c r="AI99" s="13">
        <f>IF('Données projet'!$A$62&gt;35,AI98+AH99-AQ98,IF(A99&lt;'Données projet'!$A$62,$AF$205^A99,IF(A99='Données projet'!$A$62,'Données projet'!$B$62,AI98+AH99-AQ98)))</f>
        <v>270.7999999999999</v>
      </c>
      <c r="AJ99" s="13">
        <f>AI99*VLOOKUP('Données projet'!$B$10,Paramètres!$A$1:$I$89,3,0)*VLOOKUP('Données projet'!$B$10,Paramètres!$A$1:$I$89,5,0)</f>
        <v>228.12191999999993</v>
      </c>
      <c r="AK99" s="13">
        <f t="shared" si="89"/>
        <v>55.876403150577559</v>
      </c>
      <c r="AL99" s="20">
        <f t="shared" si="58"/>
        <v>494.63041282058913</v>
      </c>
      <c r="AM99" s="59">
        <f t="shared" si="59"/>
        <v>780.7883480764051</v>
      </c>
      <c r="AN99" s="59">
        <f ca="1">AVERAGE(OFFSET($AM$3,0,0,'Données projet'!$E$10+1,1))-AVERAGE(OFFSET($H$3,0,0,'Données projet'!$E$10+1,1))</f>
        <v>365.104658862176</v>
      </c>
      <c r="AO99" s="59">
        <f t="shared" si="90"/>
        <v>226.29232910286325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30.788699065745028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30.788699065745028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68.043073251586193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2.8</v>
      </c>
      <c r="BD99" s="12">
        <f>IF('Données projet'!$A$88&gt;35,BD98+BC99-BL98,IF(A99&lt;'Données projet'!$A$88,$BA$205^A99,IF(A99='Données projet'!$A$88,'Données projet'!$B$88,BD98+BC99-BL98)))</f>
        <v>270.7999999999999</v>
      </c>
      <c r="BE99" s="13">
        <f>BD99*VLOOKUP('Données projet'!$B$11,Paramètres!$A$1:$I$89,3,0)*VLOOKUP('Données projet'!$B$11,Paramètres!$A$1:$I$89,5,0)</f>
        <v>245.0198399999999</v>
      </c>
      <c r="BF99" s="13">
        <f t="shared" si="91"/>
        <v>59.518268884951055</v>
      </c>
      <c r="BG99" s="20">
        <f t="shared" si="61"/>
        <v>530.40387297462291</v>
      </c>
      <c r="BH99" s="59">
        <f t="shared" si="62"/>
        <v>816.56180823043894</v>
      </c>
      <c r="BI99" s="59">
        <f ca="1">AVERAGE(OFFSET($BH$3,0,0,'Données projet'!$E$11+1,1))-AVERAGE(OFFSET($H$3,0,0,'Données projet'!$E$11+1,1))</f>
        <v>388.12494342575195</v>
      </c>
      <c r="BJ99" s="59">
        <f t="shared" si="92"/>
        <v>239.39471445648454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33.069343440985399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33.069343440985399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68.043073251586193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2.8</v>
      </c>
      <c r="BY99" s="12">
        <f>IF('Données projet'!$A$114&gt;35,BY98+BX99-CG98,IF(A99&lt;'Données projet'!$A$114,$BV$205^A99,IF(A99='Données projet'!$A$114,'Données projet'!$B$114,BY98+BX99-CG98)))</f>
        <v>270.7999999999999</v>
      </c>
      <c r="BZ99" s="13">
        <f>BY99*VLOOKUP('Données projet'!$B$12,Paramètres!$A$1:$I$89,3,0)*VLOOKUP('Données projet'!$B$12,Paramètres!$A$1:$I$89,5,0)</f>
        <v>274.59119999999996</v>
      </c>
      <c r="CA99" s="13">
        <f t="shared" si="93"/>
        <v>65.822679557346859</v>
      </c>
      <c r="CB99" s="20">
        <f t="shared" si="64"/>
        <v>592.88750689571236</v>
      </c>
      <c r="CC99" s="59">
        <f t="shared" si="65"/>
        <v>879.04544215152839</v>
      </c>
      <c r="CD99" s="59">
        <f ca="1">AVERAGE(OFFSET($CC$3,0,0,'Données projet'!$E$12+1,1))-AVERAGE(OFFSET($H$3,0,0,'Données projet'!$E$12+1,1))</f>
        <v>428.33148932885132</v>
      </c>
      <c r="CE99" s="59">
        <f t="shared" si="94"/>
        <v>262.27548054534373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37.060471097656055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37.060471097656055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68.043073251586193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3.6</v>
      </c>
      <c r="CT99" s="12">
        <f>IF('Données projet'!$A$140&gt;35,CT98+CS99-DB98,IF(A99&lt;'Données projet'!$A$140,$CQ$205^A99,IF(A99='Données projet'!$A$140,'Données projet'!$B$140,CT98+CS99-DB98)))</f>
        <v>201.6</v>
      </c>
      <c r="CU99" s="17">
        <f>CT99*VLOOKUP('Données projet'!$B$13,Paramètres!$A$1:$I$89,3,0)*VLOOKUP('Données projet'!$B$13,Paramètres!$A$1:$I$89,5,0)</f>
        <v>191.84255999999999</v>
      </c>
      <c r="CV99" s="13">
        <f t="shared" si="95"/>
        <v>47.947087613384845</v>
      </c>
      <c r="CW99" s="20">
        <f t="shared" si="67"/>
        <v>417.63363625997857</v>
      </c>
      <c r="CX99" s="59">
        <f t="shared" si="68"/>
        <v>703.79157151579466</v>
      </c>
      <c r="CY99" s="59">
        <f ca="1">AVERAGE(OFFSET($CX$3,0,0,'Données projet'!$E$13+1,1))-AVERAGE(OFFSET($H$3,0,0,'Données projet'!$E$13+1,1))</f>
        <v>307.62549820830162</v>
      </c>
      <c r="CZ99" s="59">
        <f t="shared" si="96"/>
        <v>160.26466014910304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21.219405392026793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21.219405392026793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68.043073251586193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-1.7053025658242404E-13</v>
      </c>
      <c r="DP99" s="17">
        <f>DO99*VLOOKUP('Données projet'!$B$14,Paramètres!$A$1:$I$89,3,0)*VLOOKUP('Données projet'!$B$14,Paramètres!$A$1:$I$89,5,0)</f>
        <v>-1.3567387213697657E-13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309.14579005132464</v>
      </c>
      <c r="DU99" s="59">
        <f t="shared" si="98"/>
        <v>300.60311050289533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67.063702224235385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67.063702224235385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68.043073251586193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>
        <f>EJ99*VLOOKUP('Données projet'!$B$15,Paramètres!$A$1:$I$89,3,0)*VLOOKUP('Données projet'!$B$15,Paramètres!$A$1:$I$89,5,0)</f>
        <v>0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338.59243085476896</v>
      </c>
      <c r="EP99" s="59">
        <f t="shared" si="100"/>
        <v>329.8393445823275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62.13358204595913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62.13358204595913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68.043073251586193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>
        <f>FE99*VLOOKUP('Données projet'!$B$16,Paramètres!$A$1:$I$89,3,0)*VLOOKUP('Données projet'!$B$16,Paramètres!$A$1:$I$89,5,0)</f>
        <v>0</v>
      </c>
      <c r="FG99" s="13" t="e">
        <f t="shared" si="101"/>
        <v>#NUM!</v>
      </c>
      <c r="FH99" s="20" t="e">
        <f t="shared" si="76"/>
        <v>#NUM!</v>
      </c>
      <c r="FI99" s="59" t="e">
        <f t="shared" si="77"/>
        <v>#NUM!</v>
      </c>
      <c r="FJ99" s="59">
        <f ca="1">AVERAGE(OFFSET($FI$3,0,0,'Données projet'!$E$16+1,1))-AVERAGE(OFFSET($H$3,0,0,'Données projet'!$E$16+1,1))</f>
        <v>307.50573770128085</v>
      </c>
      <c r="FK99" s="59">
        <f t="shared" si="102"/>
        <v>300.2007312562655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55.523626509154973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55.523626509154973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68.043073251586193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>
        <f>FZ99*VLOOKUP('Données projet'!$B$17,Paramètres!$A$1:$I$89,3,0)*VLOOKUP('Données projet'!$B$17,Paramètres!$A$1:$I$89,5,0)</f>
        <v>0</v>
      </c>
      <c r="GB99" s="13" t="e">
        <f t="shared" si="103"/>
        <v>#NUM!</v>
      </c>
      <c r="GC99" s="20" t="e">
        <f t="shared" si="79"/>
        <v>#NUM!</v>
      </c>
      <c r="GD99" s="59" t="e">
        <f t="shared" si="80"/>
        <v>#NUM!</v>
      </c>
      <c r="GE99" s="59">
        <f ca="1">AVERAGE(OFFSET($GD$3,0,0,'Données projet'!$E$17+1,1))-AVERAGE(OFFSET($H$3,0,0,'Données projet'!$E$17+1,1))</f>
        <v>369.60865427618342</v>
      </c>
      <c r="GF99" s="59">
        <f t="shared" si="104"/>
        <v>359.40898775279197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68.743537582763295</v>
      </c>
      <c r="GM99" s="21">
        <f>EXP(-LN(2)/25)*GM98+(1-EXP(-LN(2)/25))/(LN(2)/25)*Calculateur!GH99*Calculateur!GJ99*VLOOKUP('Données projet'!$B$17,Paramètres!$A$1:$I$89,3,0)*0.475*44/12</f>
        <v>0</v>
      </c>
      <c r="GN99" s="21">
        <f>EXP(-LN(2)/2)*GN98+(1-EXP(-LN(2)/2))/(LN(2)/2)*GH99*GK99*VLOOKUP('Données projet'!$B$17,Paramètres!$A$1:$I$89,3,0)*0.475*44/12</f>
        <v>0</v>
      </c>
      <c r="GO99" s="21">
        <f t="shared" si="81"/>
        <v>68.743537582763295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68.043073251586193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-1.7053025658242404E-13</v>
      </c>
      <c r="GV99" s="17">
        <f>GU99*VLOOKUP('Données projet'!$B$18,Paramètres!$A$1:$I$89,3,0)*VLOOKUP('Données projet'!$B$18,Paramètres!$A$1:$I$89,5,0)</f>
        <v>-1.1173142411280423E-13</v>
      </c>
      <c r="GW99" s="13" t="e">
        <f t="shared" si="105"/>
        <v>#NUM!</v>
      </c>
      <c r="GX99" s="20" t="e">
        <f t="shared" si="82"/>
        <v>#NUM!</v>
      </c>
      <c r="GY99" s="59" t="e">
        <f t="shared" si="83"/>
        <v>#NUM!</v>
      </c>
      <c r="GZ99" s="59">
        <f ca="1">AVERAGE(OFFSET($GY$3,0,0,'Données projet'!$E$18+1,1))-AVERAGE(OFFSET($H$3,0,0,'Données projet'!$E$18+1,1))</f>
        <v>262.62914256200031</v>
      </c>
      <c r="HA99" s="59">
        <f t="shared" si="106"/>
        <v>256.45129229594409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projet'!$B$18,Paramètres!$A$1:$I$89,3,0)*0.475*44/12</f>
        <v>44.808378178678907</v>
      </c>
      <c r="HH99" s="21">
        <f>EXP(-LN(2)/25)*HH98+(1-EXP(-LN(2)/25))/(LN(2)/25)*Calculateur!HC99*Calculateur!HE99*VLOOKUP('Données projet'!$B$18,Paramètres!$A$1:$I$89,3,0)*0.475*44/12</f>
        <v>0</v>
      </c>
      <c r="HI99" s="21">
        <f>EXP(-LN(2)/2)*HI98+(1-EXP(-LN(2)/2))/(LN(2)/2)*HC99*HF99*VLOOKUP('Données projet'!$B$18,Paramètres!$A$1:$I$89,3,0)*0.475*44/12</f>
        <v>0</v>
      </c>
      <c r="HJ99" s="22">
        <f t="shared" si="84"/>
        <v>44.808378178678907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2.1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7.7</v>
      </c>
      <c r="H100" s="67">
        <f t="shared" si="56"/>
        <v>225.86666666666665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68.077021555638396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7.2</v>
      </c>
      <c r="N100" s="13">
        <f>IF('Données projet'!$A$36&gt;35,N99+M100-V99,IF(A100&lt;'Données projet'!$A$36,$K$205^A100,IF(A100='Données projet'!$A$36,'Données projet'!$B$36,N99+M100-V99)))</f>
        <v>378.4</v>
      </c>
      <c r="O100" s="13">
        <f>N100*VLOOKUP('Données projet'!$B$9,Paramètres!$A$1:$I$89,3,0)*VLOOKUP('Données projet'!$B$9,Paramètres!$A$1:$I$89,5,0)</f>
        <v>324.66720000000004</v>
      </c>
      <c r="P100" s="13">
        <f t="shared" si="87"/>
        <v>76.323635512638404</v>
      </c>
      <c r="Q100" s="20">
        <f t="shared" si="107"/>
        <v>698.39237185117861</v>
      </c>
      <c r="R100" s="59">
        <f t="shared" si="55"/>
        <v>984.67478422185275</v>
      </c>
      <c r="S100" s="59">
        <f ca="1">AVERAGE(OFFSET($R$3,0,0,'Données projet'!$E$9+1,1))-AVERAGE(OFFSET($H$3,0,0,'Données projet'!$E$9+1,1))</f>
        <v>476.79071915271794</v>
      </c>
      <c r="T100" s="59">
        <f t="shared" si="88"/>
        <v>264.79929759351762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43.550293496679004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43.550293496679004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68.077021555638396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2.8</v>
      </c>
      <c r="AI100" s="13">
        <f>IF('Données projet'!$A$62&gt;35,AI99+AH100-AQ99,IF(A100&lt;'Données projet'!$A$62,$AF$205^A100,IF(A100='Données projet'!$A$62,'Données projet'!$B$62,AI99+AH100-AQ99)))</f>
        <v>273.59999999999991</v>
      </c>
      <c r="AJ100" s="13">
        <f>AI100*VLOOKUP('Données projet'!$B$10,Paramètres!$A$1:$I$89,3,0)*VLOOKUP('Données projet'!$B$10,Paramètres!$A$1:$I$89,5,0)</f>
        <v>230.48063999999997</v>
      </c>
      <c r="AK100" s="13">
        <f t="shared" si="89"/>
        <v>56.386594506599792</v>
      </c>
      <c r="AL100" s="20">
        <f t="shared" si="58"/>
        <v>499.62710009899456</v>
      </c>
      <c r="AM100" s="59">
        <f t="shared" si="59"/>
        <v>785.9095124696687</v>
      </c>
      <c r="AN100" s="59">
        <f ca="1">AVERAGE(OFFSET($AM$3,0,0,'Données projet'!$E$10+1,1))-AVERAGE(OFFSET($H$3,0,0,'Données projet'!$E$10+1,1))</f>
        <v>365.104658862176</v>
      </c>
      <c r="AO100" s="59">
        <f t="shared" si="90"/>
        <v>226.29232910286325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30.184951456317901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30.184951456317901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68.077021555638396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2.8</v>
      </c>
      <c r="BD100" s="12">
        <f>IF('Données projet'!$A$88&gt;35,BD99+BC100-BL99,IF(A100&lt;'Données projet'!$A$88,$BA$205^A100,IF(A100='Données projet'!$A$88,'Données projet'!$B$88,BD99+BC100-BL99)))</f>
        <v>273.59999999999991</v>
      </c>
      <c r="BE100" s="13">
        <f>BD100*VLOOKUP('Données projet'!$B$11,Paramètres!$A$1:$I$89,3,0)*VLOOKUP('Données projet'!$B$11,Paramètres!$A$1:$I$89,5,0)</f>
        <v>247.55327999999989</v>
      </c>
      <c r="BF100" s="13">
        <f t="shared" si="91"/>
        <v>60.061713068870255</v>
      </c>
      <c r="BG100" s="20">
        <f t="shared" si="61"/>
        <v>535.76277959494882</v>
      </c>
      <c r="BH100" s="59">
        <f t="shared" si="62"/>
        <v>822.04519196562296</v>
      </c>
      <c r="BI100" s="59">
        <f ca="1">AVERAGE(OFFSET($BH$3,0,0,'Données projet'!$E$11+1,1))-AVERAGE(OFFSET($H$3,0,0,'Données projet'!$E$11+1,1))</f>
        <v>388.12494342575195</v>
      </c>
      <c r="BJ100" s="59">
        <f t="shared" si="92"/>
        <v>239.39471445648454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32.42087378641552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32.42087378641552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68.077021555638396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2.8</v>
      </c>
      <c r="BY100" s="12">
        <f>IF('Données projet'!$A$114&gt;35,BY99+BX100-CG99,IF(A100&lt;'Données projet'!$A$114,$BV$205^A100,IF(A100='Données projet'!$A$114,'Données projet'!$B$114,BY99+BX100-CG99)))</f>
        <v>273.59999999999991</v>
      </c>
      <c r="BZ100" s="13">
        <f>BY100*VLOOKUP('Données projet'!$B$12,Paramètres!$A$1:$I$89,3,0)*VLOOKUP('Données projet'!$B$12,Paramètres!$A$1:$I$89,5,0)</f>
        <v>277.43039999999991</v>
      </c>
      <c r="CA100" s="13">
        <f t="shared" si="93"/>
        <v>66.423687500715673</v>
      </c>
      <c r="CB100" s="20">
        <f t="shared" si="64"/>
        <v>598.87920239707955</v>
      </c>
      <c r="CC100" s="59">
        <f t="shared" si="65"/>
        <v>885.16161476775369</v>
      </c>
      <c r="CD100" s="59">
        <f ca="1">AVERAGE(OFFSET($CC$3,0,0,'Données projet'!$E$12+1,1))-AVERAGE(OFFSET($H$3,0,0,'Données projet'!$E$12+1,1))</f>
        <v>428.33148932885132</v>
      </c>
      <c r="CE100" s="59">
        <f t="shared" si="94"/>
        <v>262.27548054534373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36.333737864086366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36.333737864086366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68.077021555638396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3.6</v>
      </c>
      <c r="CT100" s="12">
        <f>IF('Données projet'!$A$140&gt;35,CT99+CS100-DB99,IF(A100&lt;'Données projet'!$A$140,$CQ$205^A100,IF(A100='Données projet'!$A$140,'Données projet'!$B$140,CT99+CS100-DB99)))</f>
        <v>205.2</v>
      </c>
      <c r="CU100" s="17">
        <f>CT100*VLOOKUP('Données projet'!$B$13,Paramètres!$A$1:$I$89,3,0)*VLOOKUP('Données projet'!$B$13,Paramètres!$A$1:$I$89,5,0)</f>
        <v>195.26831999999999</v>
      </c>
      <c r="CV100" s="13">
        <f t="shared" si="95"/>
        <v>48.702843078505502</v>
      </c>
      <c r="CW100" s="20">
        <f t="shared" si="67"/>
        <v>424.91644236173039</v>
      </c>
      <c r="CX100" s="59">
        <f t="shared" si="68"/>
        <v>711.19885473240447</v>
      </c>
      <c r="CY100" s="59">
        <f ca="1">AVERAGE(OFFSET($CX$3,0,0,'Données projet'!$E$13+1,1))-AVERAGE(OFFSET($H$3,0,0,'Données projet'!$E$13+1,1))</f>
        <v>307.62549820830162</v>
      </c>
      <c r="CZ100" s="59">
        <f t="shared" si="96"/>
        <v>160.26466014910304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20.803305794848466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20.803305794848466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68.077021555638396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-1.7053025658242404E-13</v>
      </c>
      <c r="DP100" s="17">
        <f>DO100*VLOOKUP('Données projet'!$B$14,Paramètres!$A$1:$I$89,3,0)*VLOOKUP('Données projet'!$B$14,Paramètres!$A$1:$I$89,5,0)</f>
        <v>-1.3567387213697657E-13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309.14579005132464</v>
      </c>
      <c r="DU100" s="59">
        <f t="shared" si="98"/>
        <v>300.60311050289533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65.748623928437468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65.748623928437468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68.077021555638396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>
        <f>EJ100*VLOOKUP('Données projet'!$B$15,Paramètres!$A$1:$I$89,3,0)*VLOOKUP('Données projet'!$B$15,Paramètres!$A$1:$I$89,5,0)</f>
        <v>0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338.59243085476896</v>
      </c>
      <c r="EP100" s="59">
        <f t="shared" si="100"/>
        <v>329.8393445823275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60.91518039978083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60.91518039978083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68.077021555638396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>
        <f>FE100*VLOOKUP('Données projet'!$B$16,Paramètres!$A$1:$I$89,3,0)*VLOOKUP('Données projet'!$B$16,Paramètres!$A$1:$I$89,5,0)</f>
        <v>0</v>
      </c>
      <c r="FG100" s="13" t="e">
        <f t="shared" si="101"/>
        <v>#NUM!</v>
      </c>
      <c r="FH100" s="20" t="e">
        <f t="shared" si="76"/>
        <v>#NUM!</v>
      </c>
      <c r="FI100" s="59" t="e">
        <f t="shared" si="77"/>
        <v>#NUM!</v>
      </c>
      <c r="FJ100" s="59">
        <f ca="1">AVERAGE(OFFSET($FI$3,0,0,'Données projet'!$E$16+1,1))-AVERAGE(OFFSET($H$3,0,0,'Données projet'!$E$16+1,1))</f>
        <v>307.50573770128085</v>
      </c>
      <c r="FK100" s="59">
        <f t="shared" si="102"/>
        <v>300.2007312562655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54.434842059378617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54.434842059378617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68.077021555638396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>
        <f>FZ100*VLOOKUP('Données projet'!$B$17,Paramètres!$A$1:$I$89,3,0)*VLOOKUP('Données projet'!$B$17,Paramètres!$A$1:$I$89,5,0)</f>
        <v>0</v>
      </c>
      <c r="GB100" s="13" t="e">
        <f t="shared" si="103"/>
        <v>#NUM!</v>
      </c>
      <c r="GC100" s="20" t="e">
        <f t="shared" si="79"/>
        <v>#NUM!</v>
      </c>
      <c r="GD100" s="59" t="e">
        <f t="shared" si="80"/>
        <v>#NUM!</v>
      </c>
      <c r="GE100" s="59">
        <f ca="1">AVERAGE(OFFSET($GD$3,0,0,'Données projet'!$E$17+1,1))-AVERAGE(OFFSET($H$3,0,0,'Données projet'!$E$17+1,1))</f>
        <v>369.60865427618342</v>
      </c>
      <c r="GF100" s="59">
        <f t="shared" si="104"/>
        <v>359.40898775279197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67.39551874018305</v>
      </c>
      <c r="GM100" s="21">
        <f>EXP(-LN(2)/25)*GM99+(1-EXP(-LN(2)/25))/(LN(2)/25)*Calculateur!GH100*Calculateur!GJ100*VLOOKUP('Données projet'!$B$17,Paramètres!$A$1:$I$89,3,0)*0.475*44/12</f>
        <v>0</v>
      </c>
      <c r="GN100" s="21">
        <f>EXP(-LN(2)/2)*GN99+(1-EXP(-LN(2)/2))/(LN(2)/2)*GH100*GK100*VLOOKUP('Données projet'!$B$17,Paramètres!$A$1:$I$89,3,0)*0.475*44/12</f>
        <v>0</v>
      </c>
      <c r="GO100" s="21">
        <f t="shared" si="81"/>
        <v>67.39551874018305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68.077021555638396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-1.7053025658242404E-13</v>
      </c>
      <c r="GV100" s="17">
        <f>GU100*VLOOKUP('Données projet'!$B$18,Paramètres!$A$1:$I$89,3,0)*VLOOKUP('Données projet'!$B$18,Paramètres!$A$1:$I$89,5,0)</f>
        <v>-1.1173142411280423E-13</v>
      </c>
      <c r="GW100" s="13" t="e">
        <f t="shared" si="105"/>
        <v>#NUM!</v>
      </c>
      <c r="GX100" s="20" t="e">
        <f t="shared" si="82"/>
        <v>#NUM!</v>
      </c>
      <c r="GY100" s="59" t="e">
        <f t="shared" si="83"/>
        <v>#NUM!</v>
      </c>
      <c r="GZ100" s="59">
        <f ca="1">AVERAGE(OFFSET($GY$3,0,0,'Données projet'!$E$18+1,1))-AVERAGE(OFFSET($H$3,0,0,'Données projet'!$E$18+1,1))</f>
        <v>262.62914256200031</v>
      </c>
      <c r="HA100" s="59">
        <f t="shared" si="106"/>
        <v>256.45129229594409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projet'!$B$18,Paramètres!$A$1:$I$89,3,0)*0.475*44/12</f>
        <v>43.929713213007048</v>
      </c>
      <c r="HH100" s="21">
        <f>EXP(-LN(2)/25)*HH99+(1-EXP(-LN(2)/25))/(LN(2)/25)*Calculateur!HC100*Calculateur!HE100*VLOOKUP('Données projet'!$B$18,Paramètres!$A$1:$I$89,3,0)*0.475*44/12</f>
        <v>0</v>
      </c>
      <c r="HI100" s="21">
        <f>EXP(-LN(2)/2)*HI99+(1-EXP(-LN(2)/2))/(LN(2)/2)*HC100*HF100*VLOOKUP('Données projet'!$B$18,Paramètres!$A$1:$I$89,3,0)*0.475*44/12</f>
        <v>0</v>
      </c>
      <c r="HJ100" s="22">
        <f t="shared" si="84"/>
        <v>43.929713213007048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2.1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7.7</v>
      </c>
      <c r="H101" s="67">
        <f t="shared" si="56"/>
        <v>225.86666666666665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68.110380932512314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7.2</v>
      </c>
      <c r="N101" s="13">
        <f>IF('Données projet'!$A$36&gt;35,N100+M101-V100,IF(A101&lt;'Données projet'!$A$36,$K$205^A101,IF(A101='Données projet'!$A$36,'Données projet'!$B$36,N100+M101-V100)))</f>
        <v>385.59999999999997</v>
      </c>
      <c r="O101" s="13">
        <f>N101*VLOOKUP('Données projet'!$B$9,Paramètres!$A$1:$I$89,3,0)*VLOOKUP('Données projet'!$B$9,Paramètres!$A$1:$I$89,5,0)</f>
        <v>330.84480000000002</v>
      </c>
      <c r="P101" s="13">
        <f t="shared" si="87"/>
        <v>77.605429694617001</v>
      </c>
      <c r="Q101" s="20">
        <f t="shared" si="107"/>
        <v>711.38415005145782</v>
      </c>
      <c r="R101" s="59">
        <f t="shared" si="55"/>
        <v>997.78888013733626</v>
      </c>
      <c r="S101" s="59">
        <f ca="1">AVERAGE(OFFSET($R$3,0,0,'Données projet'!$E$9+1,1))-AVERAGE(OFFSET($H$3,0,0,'Données projet'!$E$9+1,1))</f>
        <v>476.79071915271794</v>
      </c>
      <c r="T101" s="59">
        <f t="shared" si="88"/>
        <v>264.79929759351762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42.696298804265275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42.696298804265275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68.110380932512314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2.8</v>
      </c>
      <c r="AI101" s="13">
        <f>IF('Données projet'!$A$62&gt;35,AI100+AH101-AQ100,IF(A101&lt;'Données projet'!$A$62,$AF$205^A101,IF(A101='Données projet'!$A$62,'Données projet'!$B$62,AI100+AH101-AQ100)))</f>
        <v>276.39999999999992</v>
      </c>
      <c r="AJ101" s="13">
        <f>AI101*VLOOKUP('Données projet'!$B$10,Paramètres!$A$1:$I$89,3,0)*VLOOKUP('Données projet'!$B$10,Paramètres!$A$1:$I$89,5,0)</f>
        <v>232.83935999999997</v>
      </c>
      <c r="AK101" s="13">
        <f t="shared" si="89"/>
        <v>56.896178458987549</v>
      </c>
      <c r="AL101" s="20">
        <f t="shared" si="58"/>
        <v>504.62272948273659</v>
      </c>
      <c r="AM101" s="59">
        <f t="shared" si="59"/>
        <v>791.02745956861509</v>
      </c>
      <c r="AN101" s="59">
        <f ca="1">AVERAGE(OFFSET($AM$3,0,0,'Données projet'!$E$10+1,1))-AVERAGE(OFFSET($H$3,0,0,'Données projet'!$E$10+1,1))</f>
        <v>365.104658862176</v>
      </c>
      <c r="AO101" s="59">
        <f t="shared" si="90"/>
        <v>226.29232910286325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29.593042969261958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29.593042969261958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68.110380932512314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2.8</v>
      </c>
      <c r="BD101" s="12">
        <f>IF('Données projet'!$A$88&gt;35,BD100+BC101-BL100,IF(A101&lt;'Données projet'!$A$88,$BA$205^A101,IF(A101='Données projet'!$A$88,'Données projet'!$B$88,BD100+BC101-BL100)))</f>
        <v>276.39999999999992</v>
      </c>
      <c r="BE101" s="13">
        <f>BD101*VLOOKUP('Données projet'!$B$11,Paramètres!$A$1:$I$89,3,0)*VLOOKUP('Données projet'!$B$11,Paramètres!$A$1:$I$89,5,0)</f>
        <v>250.08671999999993</v>
      </c>
      <c r="BF101" s="13">
        <f t="shared" si="91"/>
        <v>60.604510260306157</v>
      </c>
      <c r="BG101" s="20">
        <f t="shared" si="61"/>
        <v>541.12055937003311</v>
      </c>
      <c r="BH101" s="59">
        <f t="shared" si="62"/>
        <v>827.52528945591166</v>
      </c>
      <c r="BI101" s="59">
        <f ca="1">AVERAGE(OFFSET($BH$3,0,0,'Données projet'!$E$11+1,1))-AVERAGE(OFFSET($H$3,0,0,'Données projet'!$E$11+1,1))</f>
        <v>388.12494342575195</v>
      </c>
      <c r="BJ101" s="59">
        <f t="shared" si="92"/>
        <v>239.39471445648454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31.785120226244324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31.785120226244324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68.110380932512314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2.8</v>
      </c>
      <c r="BY101" s="12">
        <f>IF('Données projet'!$A$114&gt;35,BY100+BX101-CG100,IF(A101&lt;'Données projet'!$A$114,$BV$205^A101,IF(A101='Données projet'!$A$114,'Données projet'!$B$114,BY100+BX101-CG100)))</f>
        <v>276.39999999999992</v>
      </c>
      <c r="BZ101" s="13">
        <f>BY101*VLOOKUP('Données projet'!$B$12,Paramètres!$A$1:$I$89,3,0)*VLOOKUP('Données projet'!$B$12,Paramètres!$A$1:$I$89,5,0)</f>
        <v>280.26959999999997</v>
      </c>
      <c r="CA101" s="13">
        <f t="shared" si="93"/>
        <v>67.023979919595945</v>
      </c>
      <c r="CB101" s="20">
        <f t="shared" si="64"/>
        <v>604.86965169329608</v>
      </c>
      <c r="CC101" s="59">
        <f t="shared" si="65"/>
        <v>891.27438177917452</v>
      </c>
      <c r="CD101" s="59">
        <f ca="1">AVERAGE(OFFSET($CC$3,0,0,'Données projet'!$E$12+1,1))-AVERAGE(OFFSET($H$3,0,0,'Données projet'!$E$12+1,1))</f>
        <v>428.33148932885132</v>
      </c>
      <c r="CE101" s="59">
        <f t="shared" si="94"/>
        <v>262.27548054534373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35.621255425963476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35.621255425963476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68.110380932512314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3.6</v>
      </c>
      <c r="CT101" s="12">
        <f>IF('Données projet'!$A$140&gt;35,CT100+CS101-DB100,IF(A101&lt;'Données projet'!$A$140,$CQ$205^A101,IF(A101='Données projet'!$A$140,'Données projet'!$B$140,CT100+CS101-DB100)))</f>
        <v>208.79999999999998</v>
      </c>
      <c r="CU101" s="17">
        <f>CT101*VLOOKUP('Données projet'!$B$13,Paramètres!$A$1:$I$89,3,0)*VLOOKUP('Données projet'!$B$13,Paramètres!$A$1:$I$89,5,0)</f>
        <v>198.69407999999999</v>
      </c>
      <c r="CV101" s="13">
        <f t="shared" si="95"/>
        <v>49.457056702547348</v>
      </c>
      <c r="CW101" s="20">
        <f t="shared" si="67"/>
        <v>432.19656309026988</v>
      </c>
      <c r="CX101" s="59">
        <f t="shared" si="68"/>
        <v>718.60129317614837</v>
      </c>
      <c r="CY101" s="59">
        <f ca="1">AVERAGE(OFFSET($CX$3,0,0,'Données projet'!$E$13+1,1))-AVERAGE(OFFSET($H$3,0,0,'Données projet'!$E$13+1,1))</f>
        <v>307.62549820830162</v>
      </c>
      <c r="CZ101" s="59">
        <f t="shared" si="96"/>
        <v>160.26466014910304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20.395365656975113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20.395365656975113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68.110380932512314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-1.7053025658242404E-13</v>
      </c>
      <c r="DP101" s="17">
        <f>DO101*VLOOKUP('Données projet'!$B$14,Paramètres!$A$1:$I$89,3,0)*VLOOKUP('Données projet'!$B$14,Paramètres!$A$1:$I$89,5,0)</f>
        <v>-1.3567387213697657E-13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309.14579005132464</v>
      </c>
      <c r="DU101" s="59">
        <f t="shared" si="98"/>
        <v>300.60311050289533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64.459333515901591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64.459333515901591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68.110380932512314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>
        <f>EJ101*VLOOKUP('Données projet'!$B$15,Paramètres!$A$1:$I$89,3,0)*VLOOKUP('Données projet'!$B$15,Paramètres!$A$1:$I$89,5,0)</f>
        <v>0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338.59243085476896</v>
      </c>
      <c r="EP101" s="59">
        <f t="shared" si="100"/>
        <v>329.8393445823275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59.720670866732462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59.720670866732462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68.110380932512314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>
        <f>FE101*VLOOKUP('Données projet'!$B$16,Paramètres!$A$1:$I$89,3,0)*VLOOKUP('Données projet'!$B$16,Paramètres!$A$1:$I$89,5,0)</f>
        <v>0</v>
      </c>
      <c r="FG101" s="13" t="e">
        <f t="shared" si="101"/>
        <v>#NUM!</v>
      </c>
      <c r="FH101" s="20" t="e">
        <f t="shared" si="76"/>
        <v>#NUM!</v>
      </c>
      <c r="FI101" s="59" t="e">
        <f t="shared" si="77"/>
        <v>#NUM!</v>
      </c>
      <c r="FJ101" s="59">
        <f ca="1">AVERAGE(OFFSET($FI$3,0,0,'Données projet'!$E$16+1,1))-AVERAGE(OFFSET($H$3,0,0,'Données projet'!$E$16+1,1))</f>
        <v>307.50573770128085</v>
      </c>
      <c r="FK101" s="59">
        <f t="shared" si="102"/>
        <v>300.2007312562655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53.367408008569434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53.367408008569434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68.110380932512314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>
        <f>FZ101*VLOOKUP('Données projet'!$B$17,Paramètres!$A$1:$I$89,3,0)*VLOOKUP('Données projet'!$B$17,Paramètres!$A$1:$I$89,5,0)</f>
        <v>0</v>
      </c>
      <c r="GB101" s="13" t="e">
        <f t="shared" si="103"/>
        <v>#NUM!</v>
      </c>
      <c r="GC101" s="20" t="e">
        <f t="shared" si="79"/>
        <v>#NUM!</v>
      </c>
      <c r="GD101" s="59" t="e">
        <f t="shared" si="80"/>
        <v>#NUM!</v>
      </c>
      <c r="GE101" s="59">
        <f ca="1">AVERAGE(OFFSET($GD$3,0,0,'Données projet'!$E$17+1,1))-AVERAGE(OFFSET($H$3,0,0,'Données projet'!$E$17+1,1))</f>
        <v>369.60865427618342</v>
      </c>
      <c r="GF101" s="59">
        <f t="shared" si="104"/>
        <v>359.40898775279197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66.073933724895497</v>
      </c>
      <c r="GM101" s="21">
        <f>EXP(-LN(2)/25)*GM100+(1-EXP(-LN(2)/25))/(LN(2)/25)*Calculateur!GH101*Calculateur!GJ101*VLOOKUP('Données projet'!$B$17,Paramètres!$A$1:$I$89,3,0)*0.475*44/12</f>
        <v>0</v>
      </c>
      <c r="GN101" s="21">
        <f>EXP(-LN(2)/2)*GN100+(1-EXP(-LN(2)/2))/(LN(2)/2)*GH101*GK101*VLOOKUP('Données projet'!$B$17,Paramètres!$A$1:$I$89,3,0)*0.475*44/12</f>
        <v>0</v>
      </c>
      <c r="GO101" s="21">
        <f t="shared" si="81"/>
        <v>66.073933724895497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68.110380932512314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-1.7053025658242404E-13</v>
      </c>
      <c r="GV101" s="17">
        <f>GU101*VLOOKUP('Données projet'!$B$18,Paramètres!$A$1:$I$89,3,0)*VLOOKUP('Données projet'!$B$18,Paramètres!$A$1:$I$89,5,0)</f>
        <v>-1.1173142411280423E-13</v>
      </c>
      <c r="GW101" s="13" t="e">
        <f t="shared" si="105"/>
        <v>#NUM!</v>
      </c>
      <c r="GX101" s="20" t="e">
        <f t="shared" si="82"/>
        <v>#NUM!</v>
      </c>
      <c r="GY101" s="59" t="e">
        <f t="shared" si="83"/>
        <v>#NUM!</v>
      </c>
      <c r="GZ101" s="59">
        <f ca="1">AVERAGE(OFFSET($GY$3,0,0,'Données projet'!$E$18+1,1))-AVERAGE(OFFSET($H$3,0,0,'Données projet'!$E$18+1,1))</f>
        <v>262.62914256200031</v>
      </c>
      <c r="HA101" s="59">
        <f t="shared" si="106"/>
        <v>256.45129229594409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projet'!$B$18,Paramètres!$A$1:$I$89,3,0)*0.475*44/12</f>
        <v>43.068278331379304</v>
      </c>
      <c r="HH101" s="21">
        <f>EXP(-LN(2)/25)*HH100+(1-EXP(-LN(2)/25))/(LN(2)/25)*Calculateur!HC101*Calculateur!HE101*VLOOKUP('Données projet'!$B$18,Paramètres!$A$1:$I$89,3,0)*0.475*44/12</f>
        <v>0</v>
      </c>
      <c r="HI101" s="21">
        <f>EXP(-LN(2)/2)*HI100+(1-EXP(-LN(2)/2))/(LN(2)/2)*HC101*HF101*VLOOKUP('Données projet'!$B$18,Paramètres!$A$1:$I$89,3,0)*0.475*44/12</f>
        <v>0</v>
      </c>
      <c r="HJ101" s="22">
        <f t="shared" si="84"/>
        <v>43.068278331379304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2.1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7.7</v>
      </c>
      <c r="H102" s="67">
        <f t="shared" si="56"/>
        <v>225.86666666666665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68.14316159877788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7.2</v>
      </c>
      <c r="N102" s="13">
        <f>IF('Données projet'!$A$36&gt;35,N101+M102-V101,IF(A102&lt;'Données projet'!$A$36,$K$205^A102,IF(A102='Données projet'!$A$36,'Données projet'!$B$36,N101+M102-V101)))</f>
        <v>392.79999999999995</v>
      </c>
      <c r="O102" s="13">
        <f>N102*VLOOKUP('Données projet'!$B$9,Paramètres!$A$1:$I$89,3,0)*VLOOKUP('Données projet'!$B$9,Paramètres!$A$1:$I$89,5,0)</f>
        <v>337.0224</v>
      </c>
      <c r="P102" s="13">
        <f t="shared" si="87"/>
        <v>78.884440823098231</v>
      </c>
      <c r="Q102" s="20">
        <f t="shared" si="107"/>
        <v>724.37108110022939</v>
      </c>
      <c r="R102" s="59">
        <f t="shared" si="55"/>
        <v>1010.896006962415</v>
      </c>
      <c r="S102" s="59">
        <f ca="1">AVERAGE(OFFSET($R$3,0,0,'Données projet'!$E$9+1,1))-AVERAGE(OFFSET($H$3,0,0,'Données projet'!$E$9+1,1))</f>
        <v>476.79071915271794</v>
      </c>
      <c r="T102" s="59">
        <f t="shared" si="88"/>
        <v>264.79929759351762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41.859050426884451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41.859050426884451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68.14316159877788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2.8</v>
      </c>
      <c r="AI102" s="13">
        <f>IF('Données projet'!$A$62&gt;35,AI101+AH102-AQ101,IF(A102&lt;'Données projet'!$A$62,$AF$205^A102,IF(A102='Données projet'!$A$62,'Données projet'!$B$62,AI101+AH102-AQ101)))</f>
        <v>279.19999999999993</v>
      </c>
      <c r="AJ102" s="13">
        <f>AI102*VLOOKUP('Données projet'!$B$10,Paramètres!$A$1:$I$89,3,0)*VLOOKUP('Données projet'!$B$10,Paramètres!$A$1:$I$89,5,0)</f>
        <v>235.19807999999998</v>
      </c>
      <c r="AK102" s="13">
        <f t="shared" si="89"/>
        <v>57.40516187330315</v>
      </c>
      <c r="AL102" s="20">
        <f t="shared" si="58"/>
        <v>509.61731292933632</v>
      </c>
      <c r="AM102" s="59">
        <f t="shared" si="59"/>
        <v>796.14223879152189</v>
      </c>
      <c r="AN102" s="59">
        <f ca="1">AVERAGE(OFFSET($AM$3,0,0,'Données projet'!$E$10+1,1))-AVERAGE(OFFSET($H$3,0,0,'Données projet'!$E$10+1,1))</f>
        <v>365.104658862176</v>
      </c>
      <c r="AO102" s="59">
        <f t="shared" si="90"/>
        <v>226.29232910286325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29.012741446608654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29.012741446608654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68.14316159877788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2.8</v>
      </c>
      <c r="BD102" s="12">
        <f>IF('Données projet'!$A$88&gt;35,BD101+BC102-BL101,IF(A102&lt;'Données projet'!$A$88,$BA$205^A102,IF(A102='Données projet'!$A$88,'Données projet'!$B$88,BD101+BC102-BL101)))</f>
        <v>279.19999999999993</v>
      </c>
      <c r="BE102" s="13">
        <f>BD102*VLOOKUP('Données projet'!$B$11,Paramètres!$A$1:$I$89,3,0)*VLOOKUP('Données projet'!$B$11,Paramètres!$A$1:$I$89,5,0)</f>
        <v>252.62015999999994</v>
      </c>
      <c r="BF102" s="13">
        <f t="shared" si="91"/>
        <v>61.14666777229877</v>
      </c>
      <c r="BG102" s="20">
        <f t="shared" si="61"/>
        <v>546.47722503675357</v>
      </c>
      <c r="BH102" s="59">
        <f t="shared" si="62"/>
        <v>833.00215089893914</v>
      </c>
      <c r="BI102" s="59">
        <f ca="1">AVERAGE(OFFSET($BH$3,0,0,'Données projet'!$E$11+1,1))-AVERAGE(OFFSET($H$3,0,0,'Données projet'!$E$11+1,1))</f>
        <v>388.12494342575195</v>
      </c>
      <c r="BJ102" s="59">
        <f t="shared" si="92"/>
        <v>239.39471445648454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31.161833405616701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31.161833405616701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68.14316159877788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2.8</v>
      </c>
      <c r="BY102" s="12">
        <f>IF('Données projet'!$A$114&gt;35,BY101+BX102-CG101,IF(A102&lt;'Données projet'!$A$114,$BV$205^A102,IF(A102='Données projet'!$A$114,'Données projet'!$B$114,BY101+BX102-CG101)))</f>
        <v>279.19999999999993</v>
      </c>
      <c r="BZ102" s="13">
        <f>BY102*VLOOKUP('Données projet'!$B$12,Paramètres!$A$1:$I$89,3,0)*VLOOKUP('Données projet'!$B$12,Paramètres!$A$1:$I$89,5,0)</f>
        <v>283.10879999999997</v>
      </c>
      <c r="CA102" s="13">
        <f t="shared" si="93"/>
        <v>67.623564901653808</v>
      </c>
      <c r="CB102" s="20">
        <f t="shared" si="64"/>
        <v>610.85886887038032</v>
      </c>
      <c r="CC102" s="59">
        <f t="shared" si="65"/>
        <v>897.38379473256589</v>
      </c>
      <c r="CD102" s="59">
        <f ca="1">AVERAGE(OFFSET($CC$3,0,0,'Données projet'!$E$12+1,1))-AVERAGE(OFFSET($H$3,0,0,'Données projet'!$E$12+1,1))</f>
        <v>428.33148932885132</v>
      </c>
      <c r="CE102" s="59">
        <f t="shared" si="94"/>
        <v>262.27548054534373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34.922744333880793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34.922744333880793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68.14316159877788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3.6</v>
      </c>
      <c r="CT102" s="12">
        <f>IF('Données projet'!$A$140&gt;35,CT101+CS102-DB101,IF(A102&lt;'Données projet'!$A$140,$CQ$205^A102,IF(A102='Données projet'!$A$140,'Données projet'!$B$140,CT101+CS102-DB101)))</f>
        <v>212.39999999999998</v>
      </c>
      <c r="CU102" s="17">
        <f>CT102*VLOOKUP('Données projet'!$B$13,Paramètres!$A$1:$I$89,3,0)*VLOOKUP('Données projet'!$B$13,Paramètres!$A$1:$I$89,5,0)</f>
        <v>202.11983999999998</v>
      </c>
      <c r="CV102" s="13">
        <f t="shared" si="95"/>
        <v>50.209758136493654</v>
      </c>
      <c r="CW102" s="20">
        <f t="shared" si="67"/>
        <v>439.47405008772643</v>
      </c>
      <c r="CX102" s="59">
        <f t="shared" si="68"/>
        <v>725.99897594991194</v>
      </c>
      <c r="CY102" s="59">
        <f ca="1">AVERAGE(OFFSET($CX$3,0,0,'Données projet'!$E$13+1,1))-AVERAGE(OFFSET($H$3,0,0,'Données projet'!$E$13+1,1))</f>
        <v>307.62549820830162</v>
      </c>
      <c r="CZ102" s="59">
        <f t="shared" si="96"/>
        <v>160.26466014910304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19.995424976386538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19.995424976386538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68.14316159877788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-1.7053025658242404E-13</v>
      </c>
      <c r="DP102" s="17">
        <f>DO102*VLOOKUP('Données projet'!$B$14,Paramètres!$A$1:$I$89,3,0)*VLOOKUP('Données projet'!$B$14,Paramètres!$A$1:$I$89,5,0)</f>
        <v>-1.3567387213697657E-13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309.14579005132464</v>
      </c>
      <c r="DU102" s="59">
        <f t="shared" si="98"/>
        <v>300.60311050289533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63.195325301966044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63.195325301966044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68.14316159877788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>
        <f>EJ102*VLOOKUP('Données projet'!$B$15,Paramètres!$A$1:$I$89,3,0)*VLOOKUP('Données projet'!$B$15,Paramètres!$A$1:$I$89,5,0)</f>
        <v>0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338.59243085476896</v>
      </c>
      <c r="EP102" s="59">
        <f t="shared" si="100"/>
        <v>329.8393445823275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58.549584937048294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58.549584937048294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68.14316159877788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>
        <f>FE102*VLOOKUP('Données projet'!$B$16,Paramètres!$A$1:$I$89,3,0)*VLOOKUP('Données projet'!$B$16,Paramètres!$A$1:$I$89,5,0)</f>
        <v>0</v>
      </c>
      <c r="FG102" s="13" t="e">
        <f t="shared" si="101"/>
        <v>#NUM!</v>
      </c>
      <c r="FH102" s="20" t="e">
        <f t="shared" si="76"/>
        <v>#NUM!</v>
      </c>
      <c r="FI102" s="59" t="e">
        <f t="shared" si="77"/>
        <v>#NUM!</v>
      </c>
      <c r="FJ102" s="59">
        <f ca="1">AVERAGE(OFFSET($FI$3,0,0,'Données projet'!$E$16+1,1))-AVERAGE(OFFSET($H$3,0,0,'Données projet'!$E$16+1,1))</f>
        <v>307.50573770128085</v>
      </c>
      <c r="FK102" s="59">
        <f t="shared" si="102"/>
        <v>300.2007312562655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52.320905688426137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52.320905688426137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68.14316159877788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>
        <f>FZ102*VLOOKUP('Données projet'!$B$17,Paramètres!$A$1:$I$89,3,0)*VLOOKUP('Données projet'!$B$17,Paramètres!$A$1:$I$89,5,0)</f>
        <v>0</v>
      </c>
      <c r="GB102" s="13" t="e">
        <f t="shared" si="103"/>
        <v>#NUM!</v>
      </c>
      <c r="GC102" s="20" t="e">
        <f t="shared" si="79"/>
        <v>#NUM!</v>
      </c>
      <c r="GD102" s="59" t="e">
        <f t="shared" si="80"/>
        <v>#NUM!</v>
      </c>
      <c r="GE102" s="59">
        <f ca="1">AVERAGE(OFFSET($GD$3,0,0,'Données projet'!$E$17+1,1))-AVERAGE(OFFSET($H$3,0,0,'Données projet'!$E$17+1,1))</f>
        <v>369.60865427618342</v>
      </c>
      <c r="GF102" s="59">
        <f t="shared" si="104"/>
        <v>359.40898775279197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64.778264185670466</v>
      </c>
      <c r="GM102" s="21">
        <f>EXP(-LN(2)/25)*GM101+(1-EXP(-LN(2)/25))/(LN(2)/25)*Calculateur!GH102*Calculateur!GJ102*VLOOKUP('Données projet'!$B$17,Paramètres!$A$1:$I$89,3,0)*0.475*44/12</f>
        <v>0</v>
      </c>
      <c r="GN102" s="21">
        <f>EXP(-LN(2)/2)*GN101+(1-EXP(-LN(2)/2))/(LN(2)/2)*GH102*GK102*VLOOKUP('Données projet'!$B$17,Paramètres!$A$1:$I$89,3,0)*0.475*44/12</f>
        <v>0</v>
      </c>
      <c r="GO102" s="21">
        <f t="shared" si="81"/>
        <v>64.778264185670466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68.14316159877788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-1.7053025658242404E-13</v>
      </c>
      <c r="GV102" s="17">
        <f>GU102*VLOOKUP('Données projet'!$B$18,Paramètres!$A$1:$I$89,3,0)*VLOOKUP('Données projet'!$B$18,Paramètres!$A$1:$I$89,5,0)</f>
        <v>-1.1173142411280423E-13</v>
      </c>
      <c r="GW102" s="13" t="e">
        <f t="shared" si="105"/>
        <v>#NUM!</v>
      </c>
      <c r="GX102" s="20" t="e">
        <f t="shared" si="82"/>
        <v>#NUM!</v>
      </c>
      <c r="GY102" s="59" t="e">
        <f t="shared" si="83"/>
        <v>#NUM!</v>
      </c>
      <c r="GZ102" s="59">
        <f ca="1">AVERAGE(OFFSET($GY$3,0,0,'Données projet'!$E$18+1,1))-AVERAGE(OFFSET($H$3,0,0,'Données projet'!$E$18+1,1))</f>
        <v>262.62914256200031</v>
      </c>
      <c r="HA102" s="59">
        <f t="shared" si="106"/>
        <v>256.45129229594409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projet'!$B$18,Paramètres!$A$1:$I$89,3,0)*0.475*44/12</f>
        <v>42.223735662356887</v>
      </c>
      <c r="HH102" s="21">
        <f>EXP(-LN(2)/25)*HH101+(1-EXP(-LN(2)/25))/(LN(2)/25)*Calculateur!HC102*Calculateur!HE102*VLOOKUP('Données projet'!$B$18,Paramètres!$A$1:$I$89,3,0)*0.475*44/12</f>
        <v>0</v>
      </c>
      <c r="HI102" s="21">
        <f>EXP(-LN(2)/2)*HI101+(1-EXP(-LN(2)/2))/(LN(2)/2)*HC102*HF102*VLOOKUP('Données projet'!$B$18,Paramètres!$A$1:$I$89,3,0)*0.475*44/12</f>
        <v>0</v>
      </c>
      <c r="HJ102" s="22">
        <f t="shared" si="84"/>
        <v>42.223735662356887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2.1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7.7</v>
      </c>
      <c r="H103" s="67">
        <f t="shared" si="56"/>
        <v>225.86666666666665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68.175373593770317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400</v>
      </c>
      <c r="L103" s="12">
        <f>VLOOKUP(A103,'Données projet'!$A$35:$I$55,9,0)</f>
        <v>7.2</v>
      </c>
      <c r="M103" s="12">
        <f t="array" ref="M103">INDEX(L:L,MIN(IF(ISNUMBER(L103:L299),ROW(L103:L299),"")))</f>
        <v>7.2</v>
      </c>
      <c r="N103" s="13">
        <f>IF('Données projet'!$A$36&gt;35,N102+M103-V102,IF(A103&lt;'Données projet'!$A$36,$K$205^A103,IF(A103='Données projet'!$A$36,'Données projet'!$B$36,N102+M103-V102)))</f>
        <v>399.99999999999994</v>
      </c>
      <c r="O103" s="13">
        <f>N103*VLOOKUP('Données projet'!$B$9,Paramètres!$A$1:$I$89,3,0)*VLOOKUP('Données projet'!$B$9,Paramètres!$A$1:$I$89,5,0)</f>
        <v>343.2</v>
      </c>
      <c r="P103" s="13">
        <f t="shared" si="87"/>
        <v>80.160725794932105</v>
      </c>
      <c r="Q103" s="20">
        <f t="shared" si="107"/>
        <v>737.35326409284005</v>
      </c>
      <c r="R103" s="59">
        <f t="shared" si="55"/>
        <v>1023.9963006033313</v>
      </c>
      <c r="S103" s="59">
        <f ca="1">AVERAGE(OFFSET($R$3,0,0,'Données projet'!$E$9+1,1))-AVERAGE(OFFSET($H$3,0,0,'Données projet'!$E$9+1,1))</f>
        <v>476.79071915271794</v>
      </c>
      <c r="T103" s="59">
        <f t="shared" si="88"/>
        <v>264.79929759351762</v>
      </c>
      <c r="U103" s="15">
        <f>IF(ISNA(VLOOKUP(A103,'Données projet'!$A$35:$I$55,3,0)),0,VLOOKUP(A103,'Données projet'!$A$35:$I$55,3,0))</f>
        <v>17</v>
      </c>
      <c r="V103" s="15">
        <f>IF(ISNA(VLOOKUP(A103,'Données projet'!$A$35:$I$55,4,0)),0,VLOOKUP(A103,'Données projet'!$A$35:$I$55,4,0))</f>
        <v>24</v>
      </c>
      <c r="W103" s="16">
        <f>IF(ISNA(VLOOKUP(A103,'Données projet'!$A$35:$I$55,5,0)),0%,VLOOKUP(A103,'Données projet'!$A$35:$I$55,5,0)*VLOOKUP('Données projet'!$B$9,Paramètres!$A$1:$I$89,7,0))</f>
        <v>0.371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49.483606866045051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49.483606866045051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68.175373593770317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282</v>
      </c>
      <c r="AG103" s="12">
        <f>VLOOKUP(A103,'Données projet'!$A$61:$I$81,9,0)</f>
        <v>2.8</v>
      </c>
      <c r="AH103" s="12">
        <f t="array" ref="AH103">INDEX(AG:AG,MIN(IF(ISNUMBER(AG103:AG299),ROW(AG103:AG299),"")))</f>
        <v>2.8</v>
      </c>
      <c r="AI103" s="13">
        <f>IF('Données projet'!$A$62&gt;35,AI102+AH103-AQ102,IF(A103&lt;'Données projet'!$A$62,$AF$205^A103,IF(A103='Données projet'!$A$62,'Données projet'!$B$62,AI102+AH103-AQ102)))</f>
        <v>281.99999999999994</v>
      </c>
      <c r="AJ103" s="13">
        <f>AI103*VLOOKUP('Données projet'!$B$10,Paramètres!$A$1:$I$89,3,0)*VLOOKUP('Données projet'!$B$10,Paramètres!$A$1:$I$89,5,0)</f>
        <v>237.55679999999995</v>
      </c>
      <c r="AK103" s="13">
        <f t="shared" si="89"/>
        <v>57.913551469467308</v>
      </c>
      <c r="AL103" s="20">
        <f t="shared" si="58"/>
        <v>514.61086214265538</v>
      </c>
      <c r="AM103" s="59">
        <f t="shared" si="59"/>
        <v>801.25389865314651</v>
      </c>
      <c r="AN103" s="59">
        <f ca="1">AVERAGE(OFFSET($AM$3,0,0,'Données projet'!$E$10+1,1))-AVERAGE(OFFSET($H$3,0,0,'Données projet'!$E$10+1,1))</f>
        <v>365.104658862176</v>
      </c>
      <c r="AO103" s="59">
        <f t="shared" si="90"/>
        <v>226.29232910286325</v>
      </c>
      <c r="AP103" s="15">
        <f>IF(ISNA(VLOOKUP(A103,'Données projet'!$A$61:$I$81,3,0)),0,VLOOKUP(A103,'Données projet'!$A$61:$I$81,3,0))</f>
        <v>17</v>
      </c>
      <c r="AQ103" s="15">
        <f>IF(ISNA(VLOOKUP(A103,'Données projet'!$A$61:$I$81,4,0)),0,VLOOKUP(A103,'Données projet'!$A$61:$I$81,4,0))</f>
        <v>21</v>
      </c>
      <c r="AR103" s="16">
        <f>IF(ISNA(VLOOKUP(A103,'Données projet'!$A$61:$I$81,5,0)),0%,VLOOKUP(A103,'Données projet'!$A$61:$I$81,5,0)*VLOOKUP('Données projet'!$B$10,Paramètres!$A$1:$I$89,7,0))</f>
        <v>0.30099999999999999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34.330239456694606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34.330239456694606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68.175373593770317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282</v>
      </c>
      <c r="BB103" s="12">
        <f>VLOOKUP(A103,'Données projet'!$A$87:$I$107,9,0)</f>
        <v>2.8</v>
      </c>
      <c r="BC103" s="12">
        <f t="array" ref="BC103">INDEX(BB:BB,MIN(IF(ISNUMBER(BB103:BB299),ROW(BB103:BB299),"")))</f>
        <v>2.8</v>
      </c>
      <c r="BD103" s="12">
        <f>IF('Données projet'!$A$88&gt;35,BD102+BC103-BL102,IF(A103&lt;'Données projet'!$A$88,$BA$205^A103,IF(A103='Données projet'!$A$88,'Données projet'!$B$88,BD102+BC103-BL102)))</f>
        <v>281.99999999999994</v>
      </c>
      <c r="BE103" s="13">
        <f>BD103*VLOOKUP('Données projet'!$B$11,Paramètres!$A$1:$I$89,3,0)*VLOOKUP('Données projet'!$B$11,Paramètres!$A$1:$I$89,5,0)</f>
        <v>255.15359999999993</v>
      </c>
      <c r="BF103" s="13">
        <f t="shared" si="91"/>
        <v>61.688192762754426</v>
      </c>
      <c r="BG103" s="20">
        <f t="shared" si="61"/>
        <v>551.83278906179714</v>
      </c>
      <c r="BH103" s="59">
        <f t="shared" si="62"/>
        <v>838.47582557228839</v>
      </c>
      <c r="BI103" s="59">
        <f ca="1">AVERAGE(OFFSET($BH$3,0,0,'Données projet'!$E$11+1,1))-AVERAGE(OFFSET($H$3,0,0,'Données projet'!$E$11+1,1))</f>
        <v>388.12494342575195</v>
      </c>
      <c r="BJ103" s="59">
        <f t="shared" si="92"/>
        <v>239.39471445648454</v>
      </c>
      <c r="BK103" s="15">
        <f>IF(ISNA(VLOOKUP(A103,'Données projet'!$A$87:$I$107,3,0)),0,VLOOKUP(A103,'Données projet'!$A$87:$I$107,3,0))</f>
        <v>17</v>
      </c>
      <c r="BL103" s="15">
        <f>IF(ISNA(VLOOKUP(A103,'Données projet'!$A$87:$I$107,4,0)),0,VLOOKUP(A103,'Données projet'!$A$87:$I$107,4,0))</f>
        <v>21</v>
      </c>
      <c r="BM103" s="16">
        <f>IF(ISNA(VLOOKUP(A103,'Données projet'!$A$87:$I$107,5,0)),0%,VLOOKUP(A103,'Données projet'!$A$87:$I$107,5,0)*VLOOKUP('Données projet'!$B$11,Paramètres!$A$1:$I$89,7,0))</f>
        <v>0.30099999999999999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36.873220157190502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36.873220157190502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68.175373593770317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282</v>
      </c>
      <c r="BW103" s="12">
        <f>VLOOKUP(A103,'Données projet'!$A$113:$I$133,9,0)</f>
        <v>2.8</v>
      </c>
      <c r="BX103" s="12">
        <f t="array" ref="BX103">INDEX(BW:BW,MIN(IF(ISNUMBER(BW103:BW299),ROW(BW103:BW299),"")))</f>
        <v>2.8</v>
      </c>
      <c r="BY103" s="12">
        <f>IF('Données projet'!$A$114&gt;35,BY102+BX103-CG102,IF(A103&lt;'Données projet'!$A$114,$BV$205^A103,IF(A103='Données projet'!$A$114,'Données projet'!$B$114,BY102+BX103-CG102)))</f>
        <v>281.99999999999994</v>
      </c>
      <c r="BZ103" s="13">
        <f>BY103*VLOOKUP('Données projet'!$B$12,Paramètres!$A$1:$I$89,3,0)*VLOOKUP('Données projet'!$B$12,Paramètres!$A$1:$I$89,5,0)</f>
        <v>285.94799999999998</v>
      </c>
      <c r="CA103" s="13">
        <f t="shared" si="93"/>
        <v>68.222450362989363</v>
      </c>
      <c r="CB103" s="20">
        <f t="shared" si="64"/>
        <v>616.84686771553982</v>
      </c>
      <c r="CC103" s="59">
        <f t="shared" si="65"/>
        <v>903.48990422603106</v>
      </c>
      <c r="CD103" s="59">
        <f ca="1">AVERAGE(OFFSET($CC$3,0,0,'Données projet'!$E$12+1,1))-AVERAGE(OFFSET($H$3,0,0,'Données projet'!$E$12+1,1))</f>
        <v>428.33148932885132</v>
      </c>
      <c r="CE103" s="59">
        <f t="shared" si="94"/>
        <v>262.27548054534373</v>
      </c>
      <c r="CF103" s="15">
        <f>IF(ISNA(VLOOKUP(A103,'Données projet'!$A$113:$I$133,3,0)),0,VLOOKUP(A103,'Données projet'!$A$113:$I$133,3,0))</f>
        <v>17</v>
      </c>
      <c r="CG103" s="15">
        <f>IF(ISNA(VLOOKUP(A103,'Données projet'!$A$113:$I$133,4,0)),0,VLOOKUP(A103,'Données projet'!$A$113:$I$133,4,0))</f>
        <v>21</v>
      </c>
      <c r="CH103" s="16">
        <f>IF(ISNA(VLOOKUP(A103,'Données projet'!$A$113:$I$133,5,0)),0%,VLOOKUP(A103,'Données projet'!$A$113:$I$133,5,0)*VLOOKUP('Données projet'!$B$12,Paramètres!$A$1:$I$89,7,0))</f>
        <v>0.30099999999999999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41.323436383058329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41.323436383058329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68.175373593770317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216</v>
      </c>
      <c r="CR103" s="12">
        <f>VLOOKUP(A103,'Données projet'!$A$139:$I$159,9,0)</f>
        <v>3.6</v>
      </c>
      <c r="CS103" s="12">
        <f t="array" ref="CS103">INDEX(CR:CR,MIN(IF(ISNUMBER(CR103:CR299),ROW(CR103:CR299),"")))</f>
        <v>3.6</v>
      </c>
      <c r="CT103" s="12">
        <f>IF('Données projet'!$A$140&gt;35,CT102+CS103-DB102,IF(A103&lt;'Données projet'!$A$140,$CQ$205^A103,IF(A103='Données projet'!$A$140,'Données projet'!$B$140,CT102+CS103-DB102)))</f>
        <v>215.99999999999997</v>
      </c>
      <c r="CU103" s="17">
        <f>CT103*VLOOKUP('Données projet'!$B$13,Paramètres!$A$1:$I$89,3,0)*VLOOKUP('Données projet'!$B$13,Paramètres!$A$1:$I$89,5,0)</f>
        <v>205.54559999999998</v>
      </c>
      <c r="CV103" s="13">
        <f t="shared" si="95"/>
        <v>50.960975968608096</v>
      </c>
      <c r="CW103" s="20">
        <f t="shared" si="67"/>
        <v>446.74895314532574</v>
      </c>
      <c r="CX103" s="59">
        <f t="shared" si="68"/>
        <v>733.39198965581693</v>
      </c>
      <c r="CY103" s="59">
        <f ca="1">AVERAGE(OFFSET($CX$3,0,0,'Données projet'!$E$13+1,1))-AVERAGE(OFFSET($H$3,0,0,'Données projet'!$E$13+1,1))</f>
        <v>307.62549820830162</v>
      </c>
      <c r="CZ103" s="59">
        <f t="shared" si="96"/>
        <v>160.26466014910304</v>
      </c>
      <c r="DA103" s="15">
        <f>IF(ISNA(VLOOKUP(A103,'Données projet'!$A$139:$I$159,3,0)),0,VLOOKUP(A103,'Données projet'!$A$139:$I$159,3,0))</f>
        <v>16</v>
      </c>
      <c r="DB103" s="15">
        <f>IF(ISNA(VLOOKUP(A103,'Données projet'!$A$139:$I$159,4,0)),0,VLOOKUP(A103,'Données projet'!$A$139:$I$159,4,0))</f>
        <v>14</v>
      </c>
      <c r="DC103" s="16">
        <f>IF(ISNA(VLOOKUP(A103,'Données projet'!$A$139:$I$159,5,0)),0%,VLOOKUP(A103,'Données projet'!$A$139:$I$159,5,0)*VLOOKUP('Données projet'!$B$13,Paramètres!$A$1:$I$89,7,0))</f>
        <v>0.30099999999999999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24.0363099824758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24.0363099824758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68.175373593770317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-1.7053025658242404E-13</v>
      </c>
      <c r="DP103" s="17">
        <f>DO103*VLOOKUP('Données projet'!$B$14,Paramètres!$A$1:$I$89,3,0)*VLOOKUP('Données projet'!$B$14,Paramètres!$A$1:$I$89,5,0)</f>
        <v>-1.3567387213697657E-13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309.14579005132464</v>
      </c>
      <c r="DU103" s="59">
        <f t="shared" si="98"/>
        <v>300.60311050289533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61.956103518136885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61.956103518136885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68.175373593770317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>
        <f>EJ103*VLOOKUP('Données projet'!$B$15,Paramètres!$A$1:$I$89,3,0)*VLOOKUP('Données projet'!$B$15,Paramètres!$A$1:$I$89,5,0)</f>
        <v>0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338.59243085476896</v>
      </c>
      <c r="EP103" s="59">
        <f t="shared" si="100"/>
        <v>329.8393445823275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57.401463288153352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57.401463288153352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68.175373593770317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>
        <f>FE103*VLOOKUP('Données projet'!$B$16,Paramètres!$A$1:$I$89,3,0)*VLOOKUP('Données projet'!$B$16,Paramètres!$A$1:$I$89,5,0)</f>
        <v>0</v>
      </c>
      <c r="FG103" s="13" t="e">
        <f t="shared" si="101"/>
        <v>#NUM!</v>
      </c>
      <c r="FH103" s="20" t="e">
        <f t="shared" si="76"/>
        <v>#NUM!</v>
      </c>
      <c r="FI103" s="59" t="e">
        <f t="shared" si="77"/>
        <v>#NUM!</v>
      </c>
      <c r="FJ103" s="59">
        <f ca="1">AVERAGE(OFFSET($FI$3,0,0,'Données projet'!$E$16+1,1))-AVERAGE(OFFSET($H$3,0,0,'Données projet'!$E$16+1,1))</f>
        <v>307.50573770128085</v>
      </c>
      <c r="FK103" s="59">
        <f t="shared" si="102"/>
        <v>300.2007312562655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51.294924640477461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51.294924640477461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68.175373593770317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>
        <f>FZ103*VLOOKUP('Données projet'!$B$17,Paramètres!$A$1:$I$89,3,0)*VLOOKUP('Données projet'!$B$17,Paramètres!$A$1:$I$89,5,0)</f>
        <v>0</v>
      </c>
      <c r="GB103" s="13" t="e">
        <f t="shared" si="103"/>
        <v>#NUM!</v>
      </c>
      <c r="GC103" s="20" t="e">
        <f t="shared" si="79"/>
        <v>#NUM!</v>
      </c>
      <c r="GD103" s="59" t="e">
        <f t="shared" si="80"/>
        <v>#NUM!</v>
      </c>
      <c r="GE103" s="59">
        <f ca="1">AVERAGE(OFFSET($GD$3,0,0,'Données projet'!$E$17+1,1))-AVERAGE(OFFSET($H$3,0,0,'Données projet'!$E$17+1,1))</f>
        <v>369.60865427618342</v>
      </c>
      <c r="GF103" s="59">
        <f t="shared" si="104"/>
        <v>359.40898775279197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63.508001935829249</v>
      </c>
      <c r="GM103" s="21">
        <f>EXP(-LN(2)/25)*GM102+(1-EXP(-LN(2)/25))/(LN(2)/25)*Calculateur!GH103*Calculateur!GJ103*VLOOKUP('Données projet'!$B$17,Paramètres!$A$1:$I$89,3,0)*0.475*44/12</f>
        <v>0</v>
      </c>
      <c r="GN103" s="21">
        <f>EXP(-LN(2)/2)*GN102+(1-EXP(-LN(2)/2))/(LN(2)/2)*GH103*GK103*VLOOKUP('Données projet'!$B$17,Paramètres!$A$1:$I$89,3,0)*0.475*44/12</f>
        <v>0</v>
      </c>
      <c r="GO103" s="21">
        <f t="shared" si="81"/>
        <v>63.508001935829249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68.175373593770317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-1.7053025658242404E-13</v>
      </c>
      <c r="GV103" s="17">
        <f>GU103*VLOOKUP('Données projet'!$B$18,Paramètres!$A$1:$I$89,3,0)*VLOOKUP('Données projet'!$B$18,Paramètres!$A$1:$I$89,5,0)</f>
        <v>-1.1173142411280423E-13</v>
      </c>
      <c r="GW103" s="13" t="e">
        <f t="shared" si="105"/>
        <v>#NUM!</v>
      </c>
      <c r="GX103" s="20" t="e">
        <f t="shared" si="82"/>
        <v>#NUM!</v>
      </c>
      <c r="GY103" s="59" t="e">
        <f t="shared" si="83"/>
        <v>#NUM!</v>
      </c>
      <c r="GZ103" s="59">
        <f ca="1">AVERAGE(OFFSET($GY$3,0,0,'Données projet'!$E$18+1,1))-AVERAGE(OFFSET($H$3,0,0,'Données projet'!$E$18+1,1))</f>
        <v>262.62914256200031</v>
      </c>
      <c r="HA103" s="59">
        <f t="shared" si="106"/>
        <v>256.45129229594409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>
        <f>EXP(-LN(2)/35)*HG102+(1-EXP(-LN(2)/35))/(LN(2)/35)*HC103*HD103*VLOOKUP('Données projet'!$B$18,Paramètres!$A$1:$I$89,3,0)*0.475*44/12</f>
        <v>41.395753959953829</v>
      </c>
      <c r="HH103" s="21">
        <f>EXP(-LN(2)/25)*HH102+(1-EXP(-LN(2)/25))/(LN(2)/25)*Calculateur!HC103*Calculateur!HE103*VLOOKUP('Données projet'!$B$18,Paramètres!$A$1:$I$89,3,0)*0.475*44/12</f>
        <v>0</v>
      </c>
      <c r="HI103" s="21">
        <f>EXP(-LN(2)/2)*HI102+(1-EXP(-LN(2)/2))/(LN(2)/2)*HC103*HF103*VLOOKUP('Données projet'!$B$18,Paramètres!$A$1:$I$89,3,0)*0.475*44/12</f>
        <v>0</v>
      </c>
      <c r="HJ103" s="22">
        <f t="shared" si="84"/>
        <v>41.395753959953829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2.1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7.7</v>
      </c>
      <c r="H104" s="67">
        <f t="shared" si="56"/>
        <v>225.86666666666665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68.207026782664883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6.6</v>
      </c>
      <c r="N104" s="13">
        <f>IF('Données projet'!$A$36&gt;35,N103+M104-V103,IF(A104&lt;'Données projet'!$A$36,$K$205^A104,IF(A104='Données projet'!$A$36,'Données projet'!$B$36,N103+M104-V103)))</f>
        <v>382.59999999999997</v>
      </c>
      <c r="O104" s="13">
        <f>N104*VLOOKUP('Données projet'!$B$9,Paramètres!$A$1:$I$89,3,0)*VLOOKUP('Données projet'!$B$9,Paramètres!$A$1:$I$89,5,0)</f>
        <v>328.27080000000001</v>
      </c>
      <c r="P104" s="13">
        <f t="shared" si="87"/>
        <v>77.071690347038668</v>
      </c>
      <c r="Q104" s="20">
        <f t="shared" si="107"/>
        <v>705.9715040210923</v>
      </c>
      <c r="R104" s="59">
        <f t="shared" si="55"/>
        <v>992.7306022241969</v>
      </c>
      <c r="S104" s="59">
        <f ca="1">AVERAGE(OFFSET($R$3,0,0,'Données projet'!$E$9+1,1))-AVERAGE(OFFSET($H$3,0,0,'Données projet'!$E$9+1,1))</f>
        <v>476.79071915271794</v>
      </c>
      <c r="T104" s="59">
        <f t="shared" si="88"/>
        <v>264.79929759351762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48.513263517421869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48.513263517421869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68.207026782664883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2.4</v>
      </c>
      <c r="AI104" s="13">
        <f>IF('Données projet'!$A$62&gt;35,AI103+AH104-AQ103,IF(A104&lt;'Données projet'!$A$62,$AF$205^A104,IF(A104='Données projet'!$A$62,'Données projet'!$B$62,AI103+AH104-AQ103)))</f>
        <v>263.39999999999992</v>
      </c>
      <c r="AJ104" s="13">
        <f>AI104*VLOOKUP('Données projet'!$B$10,Paramètres!$A$1:$I$89,3,0)*VLOOKUP('Données projet'!$B$10,Paramètres!$A$1:$I$89,5,0)</f>
        <v>221.88815999999994</v>
      </c>
      <c r="AK104" s="13">
        <f t="shared" si="89"/>
        <v>54.525063631673305</v>
      </c>
      <c r="AL104" s="20">
        <f t="shared" si="58"/>
        <v>481.41969782516429</v>
      </c>
      <c r="AM104" s="59">
        <f t="shared" si="59"/>
        <v>768.17879602826883</v>
      </c>
      <c r="AN104" s="59">
        <f ca="1">AVERAGE(OFFSET($AM$3,0,0,'Données projet'!$E$10+1,1))-AVERAGE(OFFSET($H$3,0,0,'Données projet'!$E$10+1,1))</f>
        <v>365.104658862176</v>
      </c>
      <c r="AO104" s="59">
        <f t="shared" si="90"/>
        <v>226.29232910286325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33.657044400327301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33.657044400327301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68.207026782664883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2.4</v>
      </c>
      <c r="BD104" s="12">
        <f>IF('Données projet'!$A$88&gt;35,BD103+BC104-BL103,IF(A104&lt;'Données projet'!$A$88,$BA$205^A104,IF(A104='Données projet'!$A$88,'Données projet'!$B$88,BD103+BC104-BL103)))</f>
        <v>263.39999999999992</v>
      </c>
      <c r="BE104" s="13">
        <f>BD104*VLOOKUP('Données projet'!$B$11,Paramètres!$A$1:$I$89,3,0)*VLOOKUP('Données projet'!$B$11,Paramètres!$A$1:$I$89,5,0)</f>
        <v>238.32431999999991</v>
      </c>
      <c r="BF104" s="13">
        <f t="shared" si="91"/>
        <v>58.078852882738758</v>
      </c>
      <c r="BG104" s="20">
        <f t="shared" si="61"/>
        <v>516.23552610410309</v>
      </c>
      <c r="BH104" s="59">
        <f t="shared" si="62"/>
        <v>802.99462430720769</v>
      </c>
      <c r="BI104" s="59">
        <f ca="1">AVERAGE(OFFSET($BH$3,0,0,'Données projet'!$E$11+1,1))-AVERAGE(OFFSET($H$3,0,0,'Données projet'!$E$11+1,1))</f>
        <v>388.12494342575195</v>
      </c>
      <c r="BJ104" s="59">
        <f t="shared" si="92"/>
        <v>239.39471445648454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36.150158800351548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36.150158800351548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68.207026782664883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2.4</v>
      </c>
      <c r="BY104" s="12">
        <f>IF('Données projet'!$A$114&gt;35,BY103+BX104-CG103,IF(A104&lt;'Données projet'!$A$114,$BV$205^A104,IF(A104='Données projet'!$A$114,'Données projet'!$B$114,BY103+BX104-CG103)))</f>
        <v>263.39999999999992</v>
      </c>
      <c r="BZ104" s="13">
        <f>BY104*VLOOKUP('Données projet'!$B$12,Paramètres!$A$1:$I$89,3,0)*VLOOKUP('Données projet'!$B$12,Paramètres!$A$1:$I$89,5,0)</f>
        <v>267.08759999999995</v>
      </c>
      <c r="CA104" s="13">
        <f t="shared" si="93"/>
        <v>64.230794913549857</v>
      </c>
      <c r="CB104" s="20">
        <f t="shared" si="64"/>
        <v>577.04620447443256</v>
      </c>
      <c r="CC104" s="59">
        <f t="shared" si="65"/>
        <v>863.80530267753716</v>
      </c>
      <c r="CD104" s="59">
        <f ca="1">AVERAGE(OFFSET($CC$3,0,0,'Données projet'!$E$12+1,1))-AVERAGE(OFFSET($H$3,0,0,'Données projet'!$E$12+1,1))</f>
        <v>428.33148932885132</v>
      </c>
      <c r="CE104" s="59">
        <f t="shared" si="94"/>
        <v>262.27548054534373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40.513109000393982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40.513109000393982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68.207026782664883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3.2</v>
      </c>
      <c r="CT104" s="12">
        <f>IF('Données projet'!$A$140&gt;35,CT103+CS104-DB103,IF(A104&lt;'Données projet'!$A$140,$CQ$205^A104,IF(A104='Données projet'!$A$140,'Données projet'!$B$140,CT103+CS104-DB103)))</f>
        <v>205.19999999999996</v>
      </c>
      <c r="CU104" s="17">
        <f>CT104*VLOOKUP('Données projet'!$B$13,Paramètres!$A$1:$I$89,3,0)*VLOOKUP('Données projet'!$B$13,Paramètres!$A$1:$I$89,5,0)</f>
        <v>195.26831999999996</v>
      </c>
      <c r="CV104" s="13">
        <f t="shared" si="95"/>
        <v>48.702843078505502</v>
      </c>
      <c r="CW104" s="20">
        <f t="shared" si="67"/>
        <v>424.91644236173033</v>
      </c>
      <c r="CX104" s="59">
        <f t="shared" si="68"/>
        <v>711.67554056483482</v>
      </c>
      <c r="CY104" s="59">
        <f ca="1">AVERAGE(OFFSET($CX$3,0,0,'Données projet'!$E$13+1,1))-AVERAGE(OFFSET($H$3,0,0,'Données projet'!$E$13+1,1))</f>
        <v>307.62549820830162</v>
      </c>
      <c r="CZ104" s="59">
        <f t="shared" si="96"/>
        <v>160.26466014910304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23.564972604420916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23.564972604420916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68.207026782664883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-1.7053025658242404E-13</v>
      </c>
      <c r="DP104" s="17">
        <f>DO104*VLOOKUP('Données projet'!$B$14,Paramètres!$A$1:$I$89,3,0)*VLOOKUP('Données projet'!$B$14,Paramètres!$A$1:$I$89,5,0)</f>
        <v>-1.3567387213697657E-13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309.14579005132464</v>
      </c>
      <c r="DU104" s="59">
        <f t="shared" si="98"/>
        <v>300.60311050289533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60.741182117637962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60.741182117637962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68.207026782664883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>
        <f>EJ104*VLOOKUP('Données projet'!$B$15,Paramètres!$A$1:$I$89,3,0)*VLOOKUP('Données projet'!$B$15,Paramètres!$A$1:$I$89,5,0)</f>
        <v>0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338.59243085476896</v>
      </c>
      <c r="EP104" s="59">
        <f t="shared" si="100"/>
        <v>329.8393445823275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56.27585560450818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56.27585560450818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68.207026782664883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>
        <f>FE104*VLOOKUP('Données projet'!$B$16,Paramètres!$A$1:$I$89,3,0)*VLOOKUP('Données projet'!$B$16,Paramètres!$A$1:$I$89,5,0)</f>
        <v>0</v>
      </c>
      <c r="FG104" s="13" t="e">
        <f t="shared" si="101"/>
        <v>#NUM!</v>
      </c>
      <c r="FH104" s="20" t="e">
        <f t="shared" si="76"/>
        <v>#NUM!</v>
      </c>
      <c r="FI104" s="59" t="e">
        <f t="shared" si="77"/>
        <v>#NUM!</v>
      </c>
      <c r="FJ104" s="59">
        <f ca="1">AVERAGE(OFFSET($FI$3,0,0,'Données projet'!$E$16+1,1))-AVERAGE(OFFSET($H$3,0,0,'Données projet'!$E$16+1,1))</f>
        <v>307.50573770128085</v>
      </c>
      <c r="FK104" s="59">
        <f t="shared" si="102"/>
        <v>300.2007312562655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50.289062455092413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50.289062455092413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68.207026782664883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>
        <f>FZ104*VLOOKUP('Données projet'!$B$17,Paramètres!$A$1:$I$89,3,0)*VLOOKUP('Données projet'!$B$17,Paramètres!$A$1:$I$89,5,0)</f>
        <v>0</v>
      </c>
      <c r="GB104" s="13" t="e">
        <f t="shared" si="103"/>
        <v>#NUM!</v>
      </c>
      <c r="GC104" s="20" t="e">
        <f t="shared" si="79"/>
        <v>#NUM!</v>
      </c>
      <c r="GD104" s="59" t="e">
        <f t="shared" si="80"/>
        <v>#NUM!</v>
      </c>
      <c r="GE104" s="59">
        <f ca="1">AVERAGE(OFFSET($GD$3,0,0,'Données projet'!$E$17+1,1))-AVERAGE(OFFSET($H$3,0,0,'Données projet'!$E$17+1,1))</f>
        <v>369.60865427618342</v>
      </c>
      <c r="GF104" s="59">
        <f t="shared" si="104"/>
        <v>359.40898775279197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62.262648753923948</v>
      </c>
      <c r="GM104" s="21">
        <f>EXP(-LN(2)/25)*GM103+(1-EXP(-LN(2)/25))/(LN(2)/25)*Calculateur!GH104*Calculateur!GJ104*VLOOKUP('Données projet'!$B$17,Paramètres!$A$1:$I$89,3,0)*0.475*44/12</f>
        <v>0</v>
      </c>
      <c r="GN104" s="21">
        <f>EXP(-LN(2)/2)*GN103+(1-EXP(-LN(2)/2))/(LN(2)/2)*GH104*GK104*VLOOKUP('Données projet'!$B$17,Paramètres!$A$1:$I$89,3,0)*0.475*44/12</f>
        <v>0</v>
      </c>
      <c r="GO104" s="21">
        <f t="shared" si="81"/>
        <v>62.262648753923948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68.207026782664883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-1.7053025658242404E-13</v>
      </c>
      <c r="GV104" s="17">
        <f>GU104*VLOOKUP('Données projet'!$B$18,Paramètres!$A$1:$I$89,3,0)*VLOOKUP('Données projet'!$B$18,Paramètres!$A$1:$I$89,5,0)</f>
        <v>-1.1173142411280423E-13</v>
      </c>
      <c r="GW104" s="13" t="e">
        <f t="shared" si="105"/>
        <v>#NUM!</v>
      </c>
      <c r="GX104" s="20" t="e">
        <f t="shared" si="82"/>
        <v>#NUM!</v>
      </c>
      <c r="GY104" s="59" t="e">
        <f t="shared" si="83"/>
        <v>#NUM!</v>
      </c>
      <c r="GZ104" s="59">
        <f ca="1">AVERAGE(OFFSET($GY$3,0,0,'Données projet'!$E$18+1,1))-AVERAGE(OFFSET($H$3,0,0,'Données projet'!$E$18+1,1))</f>
        <v>262.62914256200031</v>
      </c>
      <c r="HA104" s="59">
        <f t="shared" si="106"/>
        <v>256.45129229594409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projet'!$B$18,Paramètres!$A$1:$I$89,3,0)*0.475*44/12</f>
        <v>40.584008473715926</v>
      </c>
      <c r="HH104" s="21">
        <f>EXP(-LN(2)/25)*HH103+(1-EXP(-LN(2)/25))/(LN(2)/25)*Calculateur!HC104*Calculateur!HE104*VLOOKUP('Données projet'!$B$18,Paramètres!$A$1:$I$89,3,0)*0.475*44/12</f>
        <v>0</v>
      </c>
      <c r="HI104" s="21">
        <f>EXP(-LN(2)/2)*HI103+(1-EXP(-LN(2)/2))/(LN(2)/2)*HC104*HF104*VLOOKUP('Données projet'!$B$18,Paramètres!$A$1:$I$89,3,0)*0.475*44/12</f>
        <v>0</v>
      </c>
      <c r="HJ104" s="22">
        <f t="shared" si="84"/>
        <v>40.584008473715926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2.1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7.7</v>
      </c>
      <c r="H105" s="67">
        <f t="shared" si="56"/>
        <v>225.86666666666665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68.238130859498042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6.6</v>
      </c>
      <c r="N105" s="13">
        <f>IF('Données projet'!$A$36&gt;35,N104+M105-V104,IF(A105&lt;'Données projet'!$A$36,$K$205^A105,IF(A105='Données projet'!$A$36,'Données projet'!$B$36,N104+M105-V104)))</f>
        <v>389.2</v>
      </c>
      <c r="O105" s="13">
        <f>N105*VLOOKUP('Données projet'!$B$9,Paramètres!$A$1:$I$89,3,0)*VLOOKUP('Données projet'!$B$9,Paramètres!$A$1:$I$89,5,0)</f>
        <v>333.93360000000001</v>
      </c>
      <c r="P105" s="13">
        <f t="shared" si="87"/>
        <v>78.245279532276854</v>
      </c>
      <c r="Q105" s="20">
        <f t="shared" si="107"/>
        <v>717.87821518538215</v>
      </c>
      <c r="R105" s="59">
        <f t="shared" si="55"/>
        <v>1004.7513616702083</v>
      </c>
      <c r="S105" s="59">
        <f ca="1">AVERAGE(OFFSET($R$3,0,0,'Données projet'!$E$9+1,1))-AVERAGE(OFFSET($H$3,0,0,'Données projet'!$E$9+1,1))</f>
        <v>476.79071915271794</v>
      </c>
      <c r="T105" s="59">
        <f t="shared" si="88"/>
        <v>264.79929759351762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47.561948010014184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47.561948010014184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68.238130859498042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2.4</v>
      </c>
      <c r="AI105" s="13">
        <f>IF('Données projet'!$A$62&gt;35,AI104+AH105-AQ104,IF(A105&lt;'Données projet'!$A$62,$AF$205^A105,IF(A105='Données projet'!$A$62,'Données projet'!$B$62,AI104+AH105-AQ104)))</f>
        <v>265.7999999999999</v>
      </c>
      <c r="AJ105" s="13">
        <f>AI105*VLOOKUP('Données projet'!$B$10,Paramètres!$A$1:$I$89,3,0)*VLOOKUP('Données projet'!$B$10,Paramètres!$A$1:$I$89,5,0)</f>
        <v>223.90991999999994</v>
      </c>
      <c r="AK105" s="13">
        <f t="shared" si="89"/>
        <v>54.963814279950711</v>
      </c>
      <c r="AL105" s="20">
        <f t="shared" si="58"/>
        <v>485.70508720424749</v>
      </c>
      <c r="AM105" s="59">
        <f t="shared" si="59"/>
        <v>772.57823368907361</v>
      </c>
      <c r="AN105" s="59">
        <f ca="1">AVERAGE(OFFSET($AM$3,0,0,'Données projet'!$E$10+1,1))-AVERAGE(OFFSET($H$3,0,0,'Données projet'!$E$10+1,1))</f>
        <v>365.104658862176</v>
      </c>
      <c r="AO105" s="59">
        <f t="shared" si="90"/>
        <v>226.29232910286325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32.997050288406918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32.997050288406918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68.238130859498042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2.4</v>
      </c>
      <c r="BD105" s="12">
        <f>IF('Données projet'!$A$88&gt;35,BD104+BC105-BL104,IF(A105&lt;'Données projet'!$A$88,$BA$205^A105,IF(A105='Données projet'!$A$88,'Données projet'!$B$88,BD104+BC105-BL104)))</f>
        <v>265.7999999999999</v>
      </c>
      <c r="BE105" s="13">
        <f>BD105*VLOOKUP('Données projet'!$B$11,Paramètres!$A$1:$I$89,3,0)*VLOOKUP('Données projet'!$B$11,Paramètres!$A$1:$I$89,5,0)</f>
        <v>240.4958399999999</v>
      </c>
      <c r="BF105" s="13">
        <f t="shared" si="91"/>
        <v>58.546200055878181</v>
      </c>
      <c r="BG105" s="20">
        <f t="shared" si="61"/>
        <v>520.83155309732092</v>
      </c>
      <c r="BH105" s="59">
        <f t="shared" si="62"/>
        <v>807.70469958214699</v>
      </c>
      <c r="BI105" s="59">
        <f ca="1">AVERAGE(OFFSET($BH$3,0,0,'Données projet'!$E$11+1,1))-AVERAGE(OFFSET($H$3,0,0,'Données projet'!$E$11+1,1))</f>
        <v>388.12494342575195</v>
      </c>
      <c r="BJ105" s="59">
        <f t="shared" si="92"/>
        <v>239.39471445648454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35.441276235696321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35.441276235696321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68.238130859498042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2.4</v>
      </c>
      <c r="BY105" s="12">
        <f>IF('Données projet'!$A$114&gt;35,BY104+BX105-CG104,IF(A105&lt;'Données projet'!$A$114,$BV$205^A105,IF(A105='Données projet'!$A$114,'Données projet'!$B$114,BY104+BX105-CG104)))</f>
        <v>265.7999999999999</v>
      </c>
      <c r="BZ105" s="13">
        <f>BY105*VLOOKUP('Données projet'!$B$12,Paramètres!$A$1:$I$89,3,0)*VLOOKUP('Données projet'!$B$12,Paramètres!$A$1:$I$89,5,0)</f>
        <v>269.52119999999996</v>
      </c>
      <c r="CA105" s="13">
        <f t="shared" si="93"/>
        <v>64.747645349489986</v>
      </c>
      <c r="CB105" s="20">
        <f t="shared" si="64"/>
        <v>582.18490565036154</v>
      </c>
      <c r="CC105" s="59">
        <f t="shared" si="65"/>
        <v>869.05805213518761</v>
      </c>
      <c r="CD105" s="59">
        <f ca="1">AVERAGE(OFFSET($CC$3,0,0,'Données projet'!$E$12+1,1))-AVERAGE(OFFSET($H$3,0,0,'Données projet'!$E$12+1,1))</f>
        <v>428.33148932885132</v>
      </c>
      <c r="CE105" s="59">
        <f t="shared" si="94"/>
        <v>262.27548054534373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39.71867164345278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39.71867164345278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68.238130859498042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3.2</v>
      </c>
      <c r="CT105" s="12">
        <f>IF('Données projet'!$A$140&gt;35,CT104+CS105-DB104,IF(A105&lt;'Données projet'!$A$140,$CQ$205^A105,IF(A105='Données projet'!$A$140,'Données projet'!$B$140,CT104+CS105-DB104)))</f>
        <v>208.39999999999995</v>
      </c>
      <c r="CU105" s="17">
        <f>CT105*VLOOKUP('Données projet'!$B$13,Paramètres!$A$1:$I$89,3,0)*VLOOKUP('Données projet'!$B$13,Paramètres!$A$1:$I$89,5,0)</f>
        <v>198.31343999999996</v>
      </c>
      <c r="CV105" s="13">
        <f t="shared" si="95"/>
        <v>49.373330397745256</v>
      </c>
      <c r="CW105" s="20">
        <f t="shared" si="67"/>
        <v>431.3877917760729</v>
      </c>
      <c r="CX105" s="59">
        <f t="shared" si="68"/>
        <v>718.26093826089902</v>
      </c>
      <c r="CY105" s="59">
        <f ca="1">AVERAGE(OFFSET($CX$3,0,0,'Données projet'!$E$13+1,1))-AVERAGE(OFFSET($H$3,0,0,'Données projet'!$E$13+1,1))</f>
        <v>307.62549820830162</v>
      </c>
      <c r="CZ105" s="59">
        <f t="shared" si="96"/>
        <v>160.26466014910304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23.102877864862272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23.102877864862272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68.238130859498042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-1.7053025658242404E-13</v>
      </c>
      <c r="DP105" s="17">
        <f>DO105*VLOOKUP('Données projet'!$B$14,Paramètres!$A$1:$I$89,3,0)*VLOOKUP('Données projet'!$B$14,Paramètres!$A$1:$I$89,5,0)</f>
        <v>-1.3567387213697657E-13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309.14579005132464</v>
      </c>
      <c r="DU105" s="59">
        <f t="shared" si="98"/>
        <v>300.60311050289533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59.550084584773941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59.550084584773941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68.238130859498042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>
        <f>EJ105*VLOOKUP('Données projet'!$B$15,Paramètres!$A$1:$I$89,3,0)*VLOOKUP('Données projet'!$B$15,Paramètres!$A$1:$I$89,5,0)</f>
        <v>0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338.59243085476896</v>
      </c>
      <c r="EP105" s="59">
        <f t="shared" si="100"/>
        <v>329.8393445823275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55.172320400986393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55.172320400986393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68.238130859498042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>
        <f>FE105*VLOOKUP('Données projet'!$B$16,Paramètres!$A$1:$I$89,3,0)*VLOOKUP('Données projet'!$B$16,Paramètres!$A$1:$I$89,5,0)</f>
        <v>0</v>
      </c>
      <c r="FG105" s="13" t="e">
        <f t="shared" si="101"/>
        <v>#NUM!</v>
      </c>
      <c r="FH105" s="20" t="e">
        <f t="shared" si="76"/>
        <v>#NUM!</v>
      </c>
      <c r="FI105" s="59" t="e">
        <f t="shared" si="77"/>
        <v>#NUM!</v>
      </c>
      <c r="FJ105" s="59">
        <f ca="1">AVERAGE(OFFSET($FI$3,0,0,'Données projet'!$E$16+1,1))-AVERAGE(OFFSET($H$3,0,0,'Données projet'!$E$16+1,1))</f>
        <v>307.50573770128085</v>
      </c>
      <c r="FK105" s="59">
        <f t="shared" si="102"/>
        <v>300.2007312562655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49.302924613647413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49.302924613647413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68.238130859498042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>
        <f>FZ105*VLOOKUP('Données projet'!$B$17,Paramètres!$A$1:$I$89,3,0)*VLOOKUP('Données projet'!$B$17,Paramètres!$A$1:$I$89,5,0)</f>
        <v>0</v>
      </c>
      <c r="GB105" s="13" t="e">
        <f t="shared" si="103"/>
        <v>#NUM!</v>
      </c>
      <c r="GC105" s="20" t="e">
        <f t="shared" si="79"/>
        <v>#NUM!</v>
      </c>
      <c r="GD105" s="59" t="e">
        <f t="shared" si="80"/>
        <v>#NUM!</v>
      </c>
      <c r="GE105" s="59">
        <f ca="1">AVERAGE(OFFSET($GD$3,0,0,'Données projet'!$E$17+1,1))-AVERAGE(OFFSET($H$3,0,0,'Données projet'!$E$17+1,1))</f>
        <v>369.60865427618342</v>
      </c>
      <c r="GF105" s="59">
        <f t="shared" si="104"/>
        <v>359.40898775279197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61.041716188325374</v>
      </c>
      <c r="GM105" s="21">
        <f>EXP(-LN(2)/25)*GM104+(1-EXP(-LN(2)/25))/(LN(2)/25)*Calculateur!GH105*Calculateur!GJ105*VLOOKUP('Données projet'!$B$17,Paramètres!$A$1:$I$89,3,0)*0.475*44/12</f>
        <v>0</v>
      </c>
      <c r="GN105" s="21">
        <f>EXP(-LN(2)/2)*GN104+(1-EXP(-LN(2)/2))/(LN(2)/2)*GH105*GK105*VLOOKUP('Données projet'!$B$17,Paramètres!$A$1:$I$89,3,0)*0.475*44/12</f>
        <v>0</v>
      </c>
      <c r="GO105" s="21">
        <f t="shared" si="81"/>
        <v>61.041716188325374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68.238130859498042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-1.7053025658242404E-13</v>
      </c>
      <c r="GV105" s="17">
        <f>GU105*VLOOKUP('Données projet'!$B$18,Paramètres!$A$1:$I$89,3,0)*VLOOKUP('Données projet'!$B$18,Paramètres!$A$1:$I$89,5,0)</f>
        <v>-1.1173142411280423E-13</v>
      </c>
      <c r="GW105" s="13" t="e">
        <f t="shared" si="105"/>
        <v>#NUM!</v>
      </c>
      <c r="GX105" s="20" t="e">
        <f t="shared" si="82"/>
        <v>#NUM!</v>
      </c>
      <c r="GY105" s="59" t="e">
        <f t="shared" si="83"/>
        <v>#NUM!</v>
      </c>
      <c r="GZ105" s="59">
        <f ca="1">AVERAGE(OFFSET($GY$3,0,0,'Données projet'!$E$18+1,1))-AVERAGE(OFFSET($H$3,0,0,'Données projet'!$E$18+1,1))</f>
        <v>262.62914256200031</v>
      </c>
      <c r="HA105" s="59">
        <f t="shared" si="106"/>
        <v>256.45129229594409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projet'!$B$18,Paramètres!$A$1:$I$89,3,0)*0.475*44/12</f>
        <v>39.788180821347289</v>
      </c>
      <c r="HH105" s="21">
        <f>EXP(-LN(2)/25)*HH104+(1-EXP(-LN(2)/25))/(LN(2)/25)*Calculateur!HC105*Calculateur!HE105*VLOOKUP('Données projet'!$B$18,Paramètres!$A$1:$I$89,3,0)*0.475*44/12</f>
        <v>0</v>
      </c>
      <c r="HI105" s="21">
        <f>EXP(-LN(2)/2)*HI104+(1-EXP(-LN(2)/2))/(LN(2)/2)*HC105*HF105*VLOOKUP('Données projet'!$B$18,Paramètres!$A$1:$I$89,3,0)*0.475*44/12</f>
        <v>0</v>
      </c>
      <c r="HJ105" s="22">
        <f t="shared" si="84"/>
        <v>39.788180821347289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2.1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7.7</v>
      </c>
      <c r="H106" s="67">
        <f t="shared" si="56"/>
        <v>225.86666666666665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68.268695350136454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6.6</v>
      </c>
      <c r="N106" s="13">
        <f>IF('Données projet'!$A$36&gt;35,N105+M106-V105,IF(A106&lt;'Données projet'!$A$36,$K$205^A106,IF(A106='Données projet'!$A$36,'Données projet'!$B$36,N105+M106-V105)))</f>
        <v>395.8</v>
      </c>
      <c r="O106" s="13">
        <f>N106*VLOOKUP('Données projet'!$B$9,Paramètres!$A$1:$I$89,3,0)*VLOOKUP('Données projet'!$B$9,Paramètres!$A$1:$I$89,5,0)</f>
        <v>339.59640000000007</v>
      </c>
      <c r="P106" s="13">
        <f t="shared" si="87"/>
        <v>79.416554343021332</v>
      </c>
      <c r="Q106" s="20">
        <f t="shared" si="107"/>
        <v>729.7808954807623</v>
      </c>
      <c r="R106" s="59">
        <f t="shared" si="55"/>
        <v>1016.766111764596</v>
      </c>
      <c r="S106" s="59">
        <f ca="1">AVERAGE(OFFSET($R$3,0,0,'Données projet'!$E$9+1,1))-AVERAGE(OFFSET($H$3,0,0,'Données projet'!$E$9+1,1))</f>
        <v>476.79071915271794</v>
      </c>
      <c r="T106" s="59">
        <f t="shared" si="88"/>
        <v>264.79929759351762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46.629287219461602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46.629287219461602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68.268695350136454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2.4</v>
      </c>
      <c r="AI106" s="13">
        <f>IF('Données projet'!$A$62&gt;35,AI105+AH106-AQ105,IF(A106&lt;'Données projet'!$A$62,$AF$205^A106,IF(A106='Données projet'!$A$62,'Données projet'!$B$62,AI105+AH106-AQ105)))</f>
        <v>268.19999999999987</v>
      </c>
      <c r="AJ106" s="13">
        <f>AI106*VLOOKUP('Données projet'!$B$10,Paramètres!$A$1:$I$89,3,0)*VLOOKUP('Données projet'!$B$10,Paramètres!$A$1:$I$89,5,0)</f>
        <v>225.93167999999991</v>
      </c>
      <c r="AK106" s="13">
        <f t="shared" si="89"/>
        <v>55.402104029984706</v>
      </c>
      <c r="AL106" s="20">
        <f t="shared" si="58"/>
        <v>489.98967385222318</v>
      </c>
      <c r="AM106" s="59">
        <f t="shared" si="59"/>
        <v>776.97489013605684</v>
      </c>
      <c r="AN106" s="59">
        <f ca="1">AVERAGE(OFFSET($AM$3,0,0,'Données projet'!$E$10+1,1))-AVERAGE(OFFSET($H$3,0,0,'Données projet'!$E$10+1,1))</f>
        <v>365.104658862176</v>
      </c>
      <c r="AO106" s="59">
        <f t="shared" si="90"/>
        <v>226.29232910286325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32.349998258464638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32.349998258464638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68.268695350136454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2.4</v>
      </c>
      <c r="BD106" s="12">
        <f>IF('Données projet'!$A$88&gt;35,BD105+BC106-BL105,IF(A106&lt;'Données projet'!$A$88,$BA$205^A106,IF(A106='Données projet'!$A$88,'Données projet'!$B$88,BD105+BC106-BL105)))</f>
        <v>268.19999999999987</v>
      </c>
      <c r="BE106" s="13">
        <f>BD106*VLOOKUP('Données projet'!$B$11,Paramètres!$A$1:$I$89,3,0)*VLOOKUP('Données projet'!$B$11,Paramètres!$A$1:$I$89,5,0)</f>
        <v>242.66735999999989</v>
      </c>
      <c r="BF106" s="13">
        <f t="shared" si="91"/>
        <v>59.013056290731797</v>
      </c>
      <c r="BG106" s="20">
        <f t="shared" si="61"/>
        <v>525.42672503969095</v>
      </c>
      <c r="BH106" s="59">
        <f t="shared" si="62"/>
        <v>812.41194132352462</v>
      </c>
      <c r="BI106" s="59">
        <f ca="1">AVERAGE(OFFSET($BH$3,0,0,'Données projet'!$E$11+1,1))-AVERAGE(OFFSET($H$3,0,0,'Données projet'!$E$11+1,1))</f>
        <v>388.12494342575195</v>
      </c>
      <c r="BJ106" s="59">
        <f t="shared" si="92"/>
        <v>239.39471445648454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34.746294425758315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34.746294425758315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68.268695350136454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2.4</v>
      </c>
      <c r="BY106" s="12">
        <f>IF('Données projet'!$A$114&gt;35,BY105+BX106-CG105,IF(A106&lt;'Données projet'!$A$114,$BV$205^A106,IF(A106='Données projet'!$A$114,'Données projet'!$B$114,BY105+BX106-CG105)))</f>
        <v>268.19999999999987</v>
      </c>
      <c r="BZ106" s="13">
        <f>BY106*VLOOKUP('Données projet'!$B$12,Paramètres!$A$1:$I$89,3,0)*VLOOKUP('Données projet'!$B$12,Paramètres!$A$1:$I$89,5,0)</f>
        <v>271.95479999999992</v>
      </c>
      <c r="CA106" s="13">
        <f t="shared" si="93"/>
        <v>65.263952845017386</v>
      </c>
      <c r="CB106" s="20">
        <f t="shared" si="64"/>
        <v>587.32266120507177</v>
      </c>
      <c r="CC106" s="59">
        <f t="shared" si="65"/>
        <v>874.30787748890543</v>
      </c>
      <c r="CD106" s="59">
        <f ca="1">AVERAGE(OFFSET($CC$3,0,0,'Données projet'!$E$12+1,1))-AVERAGE(OFFSET($H$3,0,0,'Données projet'!$E$12+1,1))</f>
        <v>428.33148932885132</v>
      </c>
      <c r="CE106" s="59">
        <f t="shared" si="94"/>
        <v>262.27548054534373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38.939812718522255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38.939812718522255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68.268695350136454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3.2</v>
      </c>
      <c r="CT106" s="12">
        <f>IF('Données projet'!$A$140&gt;35,CT105+CS106-DB105,IF(A106&lt;'Données projet'!$A$140,$CQ$205^A106,IF(A106='Données projet'!$A$140,'Données projet'!$B$140,CT105+CS106-DB105)))</f>
        <v>211.59999999999994</v>
      </c>
      <c r="CU106" s="17">
        <f>CT106*VLOOKUP('Données projet'!$B$13,Paramètres!$A$1:$I$89,3,0)*VLOOKUP('Données projet'!$B$13,Paramètres!$A$1:$I$89,5,0)</f>
        <v>201.35855999999995</v>
      </c>
      <c r="CV106" s="13">
        <f t="shared" si="95"/>
        <v>50.04262035407568</v>
      </c>
      <c r="CW106" s="20">
        <f t="shared" si="67"/>
        <v>437.85705578334836</v>
      </c>
      <c r="CX106" s="59">
        <f t="shared" si="68"/>
        <v>724.84227206718197</v>
      </c>
      <c r="CY106" s="59">
        <f ca="1">AVERAGE(OFFSET($CX$3,0,0,'Données projet'!$E$13+1,1))-AVERAGE(OFFSET($H$3,0,0,'Données projet'!$E$13+1,1))</f>
        <v>307.62549820830162</v>
      </c>
      <c r="CZ106" s="59">
        <f t="shared" si="96"/>
        <v>160.26466014910304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22.649844521296412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22.649844521296412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68.268695350136454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-1.7053025658242404E-13</v>
      </c>
      <c r="DP106" s="17">
        <f>DO106*VLOOKUP('Données projet'!$B$14,Paramètres!$A$1:$I$89,3,0)*VLOOKUP('Données projet'!$B$14,Paramètres!$A$1:$I$89,5,0)</f>
        <v>-1.3567387213697657E-13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309.14579005132464</v>
      </c>
      <c r="DU106" s="59">
        <f t="shared" si="98"/>
        <v>300.60311050289533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58.382343748031623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58.382343748031623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68.268695350136454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>
        <f>EJ106*VLOOKUP('Données projet'!$B$15,Paramètres!$A$1:$I$89,3,0)*VLOOKUP('Données projet'!$B$15,Paramètres!$A$1:$I$89,5,0)</f>
        <v>0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338.59243085476896</v>
      </c>
      <c r="EP106" s="59">
        <f t="shared" si="100"/>
        <v>329.8393445823275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54.090424849715653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54.090424849715653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68.268695350136454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>
        <f>FE106*VLOOKUP('Données projet'!$B$16,Paramètres!$A$1:$I$89,3,0)*VLOOKUP('Données projet'!$B$16,Paramètres!$A$1:$I$89,5,0)</f>
        <v>0</v>
      </c>
      <c r="FG106" s="13" t="e">
        <f t="shared" si="101"/>
        <v>#NUM!</v>
      </c>
      <c r="FH106" s="20" t="e">
        <f t="shared" si="76"/>
        <v>#NUM!</v>
      </c>
      <c r="FI106" s="59" t="e">
        <f t="shared" si="77"/>
        <v>#NUM!</v>
      </c>
      <c r="FJ106" s="59">
        <f ca="1">AVERAGE(OFFSET($FI$3,0,0,'Données projet'!$E$16+1,1))-AVERAGE(OFFSET($H$3,0,0,'Données projet'!$E$16+1,1))</f>
        <v>307.50573770128085</v>
      </c>
      <c r="FK106" s="59">
        <f t="shared" si="102"/>
        <v>300.2007312562655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48.336124333788455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48.336124333788455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68.268695350136454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>
        <f>FZ106*VLOOKUP('Données projet'!$B$17,Paramètres!$A$1:$I$89,3,0)*VLOOKUP('Données projet'!$B$17,Paramètres!$A$1:$I$89,5,0)</f>
        <v>0</v>
      </c>
      <c r="GB106" s="13" t="e">
        <f t="shared" si="103"/>
        <v>#NUM!</v>
      </c>
      <c r="GC106" s="20" t="e">
        <f t="shared" si="79"/>
        <v>#NUM!</v>
      </c>
      <c r="GD106" s="59" t="e">
        <f t="shared" si="80"/>
        <v>#NUM!</v>
      </c>
      <c r="GE106" s="59">
        <f ca="1">AVERAGE(OFFSET($GD$3,0,0,'Données projet'!$E$17+1,1))-AVERAGE(OFFSET($H$3,0,0,'Données projet'!$E$17+1,1))</f>
        <v>369.60865427618342</v>
      </c>
      <c r="GF106" s="59">
        <f t="shared" si="104"/>
        <v>359.40898775279197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59.844725365642859</v>
      </c>
      <c r="GM106" s="21">
        <f>EXP(-LN(2)/25)*GM105+(1-EXP(-LN(2)/25))/(LN(2)/25)*Calculateur!GH106*Calculateur!GJ106*VLOOKUP('Données projet'!$B$17,Paramètres!$A$1:$I$89,3,0)*0.475*44/12</f>
        <v>0</v>
      </c>
      <c r="GN106" s="21">
        <f>EXP(-LN(2)/2)*GN105+(1-EXP(-LN(2)/2))/(LN(2)/2)*GH106*GK106*VLOOKUP('Données projet'!$B$17,Paramètres!$A$1:$I$89,3,0)*0.475*44/12</f>
        <v>0</v>
      </c>
      <c r="GO106" s="21">
        <f t="shared" si="81"/>
        <v>59.844725365642859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68.268695350136454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-1.7053025658242404E-13</v>
      </c>
      <c r="GV106" s="17">
        <f>GU106*VLOOKUP('Données projet'!$B$18,Paramètres!$A$1:$I$89,3,0)*VLOOKUP('Données projet'!$B$18,Paramètres!$A$1:$I$89,5,0)</f>
        <v>-1.1173142411280423E-13</v>
      </c>
      <c r="GW106" s="13" t="e">
        <f t="shared" si="105"/>
        <v>#NUM!</v>
      </c>
      <c r="GX106" s="20" t="e">
        <f t="shared" si="82"/>
        <v>#NUM!</v>
      </c>
      <c r="GY106" s="59" t="e">
        <f t="shared" si="83"/>
        <v>#NUM!</v>
      </c>
      <c r="GZ106" s="59">
        <f ca="1">AVERAGE(OFFSET($GY$3,0,0,'Données projet'!$E$18+1,1))-AVERAGE(OFFSET($H$3,0,0,'Données projet'!$E$18+1,1))</f>
        <v>262.62914256200031</v>
      </c>
      <c r="HA106" s="59">
        <f t="shared" si="106"/>
        <v>256.45129229594409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projet'!$B$18,Paramètres!$A$1:$I$89,3,0)*0.475*44/12</f>
        <v>39.007958863834666</v>
      </c>
      <c r="HH106" s="21">
        <f>EXP(-LN(2)/25)*HH105+(1-EXP(-LN(2)/25))/(LN(2)/25)*Calculateur!HC106*Calculateur!HE106*VLOOKUP('Données projet'!$B$18,Paramètres!$A$1:$I$89,3,0)*0.475*44/12</f>
        <v>0</v>
      </c>
      <c r="HI106" s="21">
        <f>EXP(-LN(2)/2)*HI105+(1-EXP(-LN(2)/2))/(LN(2)/2)*HC106*HF106*VLOOKUP('Données projet'!$B$18,Paramètres!$A$1:$I$89,3,0)*0.475*44/12</f>
        <v>0</v>
      </c>
      <c r="HJ106" s="22">
        <f t="shared" si="84"/>
        <v>39.007958863834666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2.1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7.7</v>
      </c>
      <c r="H107" s="67">
        <f t="shared" si="56"/>
        <v>225.86666666666665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68.298729615194247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6.6</v>
      </c>
      <c r="N107" s="13">
        <f>IF('Données projet'!$A$36&gt;35,N106+M107-V106,IF(A107&lt;'Données projet'!$A$36,$K$205^A107,IF(A107='Données projet'!$A$36,'Données projet'!$B$36,N106+M107-V106)))</f>
        <v>402.40000000000003</v>
      </c>
      <c r="O107" s="13">
        <f>N107*VLOOKUP('Données projet'!$B$9,Paramètres!$A$1:$I$89,3,0)*VLOOKUP('Données projet'!$B$9,Paramètres!$A$1:$I$89,5,0)</f>
        <v>345.25920000000008</v>
      </c>
      <c r="P107" s="13">
        <f t="shared" si="87"/>
        <v>80.585557826060622</v>
      </c>
      <c r="Q107" s="20">
        <f t="shared" si="107"/>
        <v>741.67961988038905</v>
      </c>
      <c r="R107" s="59">
        <f t="shared" si="55"/>
        <v>1028.7749618027678</v>
      </c>
      <c r="S107" s="59">
        <f ca="1">AVERAGE(OFFSET($R$3,0,0,'Données projet'!$E$9+1,1))-AVERAGE(OFFSET($H$3,0,0,'Données projet'!$E$9+1,1))</f>
        <v>476.79071915271794</v>
      </c>
      <c r="T107" s="59">
        <f t="shared" si="88"/>
        <v>264.79929759351762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45.714915338144841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45.714915338144841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68.298729615194247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2.4</v>
      </c>
      <c r="AI107" s="13">
        <f>IF('Données projet'!$A$62&gt;35,AI106+AH107-AQ106,IF(A107&lt;'Données projet'!$A$62,$AF$205^A107,IF(A107='Données projet'!$A$62,'Données projet'!$B$62,AI106+AH107-AQ106)))</f>
        <v>270.59999999999985</v>
      </c>
      <c r="AJ107" s="13">
        <f>AI107*VLOOKUP('Données projet'!$B$10,Paramètres!$A$1:$I$89,3,0)*VLOOKUP('Données projet'!$B$10,Paramètres!$A$1:$I$89,5,0)</f>
        <v>227.95343999999992</v>
      </c>
      <c r="AK107" s="13">
        <f t="shared" si="89"/>
        <v>55.839937483946905</v>
      </c>
      <c r="AL107" s="20">
        <f t="shared" si="58"/>
        <v>494.27346578454063</v>
      </c>
      <c r="AM107" s="59">
        <f t="shared" si="59"/>
        <v>781.3688077069196</v>
      </c>
      <c r="AN107" s="59">
        <f ca="1">AVERAGE(OFFSET($AM$3,0,0,'Données projet'!$E$10+1,1))-AVERAGE(OFFSET($H$3,0,0,'Données projet'!$E$10+1,1))</f>
        <v>365.104658862176</v>
      </c>
      <c r="AO107" s="59">
        <f t="shared" si="90"/>
        <v>226.29232910286325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31.715634524166756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31.715634524166756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68.298729615194247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2.4</v>
      </c>
      <c r="BD107" s="12">
        <f>IF('Données projet'!$A$88&gt;35,BD106+BC107-BL106,IF(A107&lt;'Données projet'!$A$88,$BA$205^A107,IF(A107='Données projet'!$A$88,'Données projet'!$B$88,BD106+BC107-BL106)))</f>
        <v>270.59999999999985</v>
      </c>
      <c r="BE107" s="13">
        <f>BD107*VLOOKUP('Données projet'!$B$11,Paramètres!$A$1:$I$89,3,0)*VLOOKUP('Données projet'!$B$11,Paramètres!$A$1:$I$89,5,0)</f>
        <v>244.83887999999985</v>
      </c>
      <c r="BF107" s="13">
        <f t="shared" si="91"/>
        <v>59.47942648942773</v>
      </c>
      <c r="BG107" s="20">
        <f t="shared" si="61"/>
        <v>530.02105046908639</v>
      </c>
      <c r="BH107" s="59">
        <f t="shared" si="62"/>
        <v>817.1163923914653</v>
      </c>
      <c r="BI107" s="59">
        <f ca="1">AVERAGE(OFFSET($BH$3,0,0,'Données projet'!$E$11+1,1))-AVERAGE(OFFSET($H$3,0,0,'Données projet'!$E$11+1,1))</f>
        <v>388.12494342575195</v>
      </c>
      <c r="BJ107" s="59">
        <f t="shared" si="92"/>
        <v>239.39471445648454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34.064940785216145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34.064940785216145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68.298729615194247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2.4</v>
      </c>
      <c r="BY107" s="12">
        <f>IF('Données projet'!$A$114&gt;35,BY106+BX107-CG106,IF(A107&lt;'Données projet'!$A$114,$BV$205^A107,IF(A107='Données projet'!$A$114,'Données projet'!$B$114,BY106+BX107-CG106)))</f>
        <v>270.59999999999985</v>
      </c>
      <c r="BZ107" s="13">
        <f>BY107*VLOOKUP('Données projet'!$B$12,Paramètres!$A$1:$I$89,3,0)*VLOOKUP('Données projet'!$B$12,Paramètres!$A$1:$I$89,5,0)</f>
        <v>274.38839999999988</v>
      </c>
      <c r="CA107" s="13">
        <f t="shared" si="93"/>
        <v>65.77972282151319</v>
      </c>
      <c r="CB107" s="20">
        <f t="shared" si="64"/>
        <v>592.45948058080182</v>
      </c>
      <c r="CC107" s="59">
        <f t="shared" si="65"/>
        <v>879.55482250318073</v>
      </c>
      <c r="CD107" s="59">
        <f ca="1">AVERAGE(OFFSET($CC$3,0,0,'Données projet'!$E$12+1,1))-AVERAGE(OFFSET($H$3,0,0,'Données projet'!$E$12+1,1))</f>
        <v>428.33148932885132</v>
      </c>
      <c r="CE107" s="59">
        <f t="shared" si="94"/>
        <v>262.27548054534373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38.176226742052584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38.176226742052584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68.298729615194247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3.2</v>
      </c>
      <c r="CT107" s="12">
        <f>IF('Données projet'!$A$140&gt;35,CT106+CS107-DB106,IF(A107&lt;'Données projet'!$A$140,$CQ$205^A107,IF(A107='Données projet'!$A$140,'Données projet'!$B$140,CT106+CS107-DB106)))</f>
        <v>214.79999999999993</v>
      </c>
      <c r="CU107" s="17">
        <f>CT107*VLOOKUP('Données projet'!$B$13,Paramètres!$A$1:$I$89,3,0)*VLOOKUP('Données projet'!$B$13,Paramètres!$A$1:$I$89,5,0)</f>
        <v>204.40367999999995</v>
      </c>
      <c r="CV107" s="13">
        <f t="shared" si="95"/>
        <v>50.710733146553501</v>
      </c>
      <c r="CW107" s="20">
        <f t="shared" si="67"/>
        <v>444.32426956358057</v>
      </c>
      <c r="CX107" s="59">
        <f t="shared" si="68"/>
        <v>731.41961148595942</v>
      </c>
      <c r="CY107" s="59">
        <f ca="1">AVERAGE(OFFSET($CX$3,0,0,'Données projet'!$E$13+1,1))-AVERAGE(OFFSET($H$3,0,0,'Données projet'!$E$13+1,1))</f>
        <v>307.62549820830162</v>
      </c>
      <c r="CZ107" s="59">
        <f t="shared" si="96"/>
        <v>160.26466014910304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22.205694885274827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22.205694885274827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68.298729615194247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-1.7053025658242404E-13</v>
      </c>
      <c r="DP107" s="17">
        <f>DO107*VLOOKUP('Données projet'!$B$14,Paramètres!$A$1:$I$89,3,0)*VLOOKUP('Données projet'!$B$14,Paramètres!$A$1:$I$89,5,0)</f>
        <v>-1.3567387213697657E-13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309.14579005132464</v>
      </c>
      <c r="DU107" s="59">
        <f t="shared" si="98"/>
        <v>300.60311050289533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57.237501596846244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57.237501596846244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68.298729615194247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>
        <f>EJ107*VLOOKUP('Données projet'!$B$15,Paramètres!$A$1:$I$89,3,0)*VLOOKUP('Données projet'!$B$15,Paramètres!$A$1:$I$89,5,0)</f>
        <v>0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338.59243085476896</v>
      </c>
      <c r="EP107" s="59">
        <f t="shared" si="100"/>
        <v>329.8393445823275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53.029744610314211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53.029744610314211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68.298729615194247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>
        <f>FE107*VLOOKUP('Données projet'!$B$16,Paramètres!$A$1:$I$89,3,0)*VLOOKUP('Données projet'!$B$16,Paramètres!$A$1:$I$89,5,0)</f>
        <v>0</v>
      </c>
      <c r="FG107" s="13" t="e">
        <f t="shared" si="101"/>
        <v>#NUM!</v>
      </c>
      <c r="FH107" s="20" t="e">
        <f t="shared" si="76"/>
        <v>#NUM!</v>
      </c>
      <c r="FI107" s="59" t="e">
        <f t="shared" si="77"/>
        <v>#NUM!</v>
      </c>
      <c r="FJ107" s="59">
        <f ca="1">AVERAGE(OFFSET($FI$3,0,0,'Données projet'!$E$16+1,1))-AVERAGE(OFFSET($H$3,0,0,'Données projet'!$E$16+1,1))</f>
        <v>307.50573770128085</v>
      </c>
      <c r="FK107" s="59">
        <f t="shared" si="102"/>
        <v>300.2007312562655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47.388282417727588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47.388282417727588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68.298729615194247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>
        <f>FZ107*VLOOKUP('Données projet'!$B$17,Paramètres!$A$1:$I$89,3,0)*VLOOKUP('Données projet'!$B$17,Paramètres!$A$1:$I$89,5,0)</f>
        <v>0</v>
      </c>
      <c r="GB107" s="13" t="e">
        <f t="shared" si="103"/>
        <v>#NUM!</v>
      </c>
      <c r="GC107" s="20" t="e">
        <f t="shared" si="79"/>
        <v>#NUM!</v>
      </c>
      <c r="GD107" s="59" t="e">
        <f t="shared" si="80"/>
        <v>#NUM!</v>
      </c>
      <c r="GE107" s="59">
        <f ca="1">AVERAGE(OFFSET($GD$3,0,0,'Données projet'!$E$17+1,1))-AVERAGE(OFFSET($H$3,0,0,'Données projet'!$E$17+1,1))</f>
        <v>369.60865427618342</v>
      </c>
      <c r="GF107" s="59">
        <f t="shared" si="104"/>
        <v>359.40898775279197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58.671206802900834</v>
      </c>
      <c r="GM107" s="21">
        <f>EXP(-LN(2)/25)*GM106+(1-EXP(-LN(2)/25))/(LN(2)/25)*Calculateur!GH107*Calculateur!GJ107*VLOOKUP('Données projet'!$B$17,Paramètres!$A$1:$I$89,3,0)*0.475*44/12</f>
        <v>0</v>
      </c>
      <c r="GN107" s="21">
        <f>EXP(-LN(2)/2)*GN106+(1-EXP(-LN(2)/2))/(LN(2)/2)*GH107*GK107*VLOOKUP('Données projet'!$B$17,Paramètres!$A$1:$I$89,3,0)*0.475*44/12</f>
        <v>0</v>
      </c>
      <c r="GO107" s="21">
        <f t="shared" si="81"/>
        <v>58.671206802900834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68.298729615194247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-1.7053025658242404E-13</v>
      </c>
      <c r="GV107" s="17">
        <f>GU107*VLOOKUP('Données projet'!$B$18,Paramètres!$A$1:$I$89,3,0)*VLOOKUP('Données projet'!$B$18,Paramètres!$A$1:$I$89,5,0)</f>
        <v>-1.1173142411280423E-13</v>
      </c>
      <c r="GW107" s="13" t="e">
        <f t="shared" si="105"/>
        <v>#NUM!</v>
      </c>
      <c r="GX107" s="20" t="e">
        <f t="shared" si="82"/>
        <v>#NUM!</v>
      </c>
      <c r="GY107" s="59" t="e">
        <f t="shared" si="83"/>
        <v>#NUM!</v>
      </c>
      <c r="GZ107" s="59">
        <f ca="1">AVERAGE(OFFSET($GY$3,0,0,'Données projet'!$E$18+1,1))-AVERAGE(OFFSET($H$3,0,0,'Données projet'!$E$18+1,1))</f>
        <v>262.62914256200031</v>
      </c>
      <c r="HA107" s="59">
        <f t="shared" si="106"/>
        <v>256.45129229594409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projet'!$B$18,Paramètres!$A$1:$I$89,3,0)*0.475*44/12</f>
        <v>38.243036583020462</v>
      </c>
      <c r="HH107" s="21">
        <f>EXP(-LN(2)/25)*HH106+(1-EXP(-LN(2)/25))/(LN(2)/25)*Calculateur!HC107*Calculateur!HE107*VLOOKUP('Données projet'!$B$18,Paramètres!$A$1:$I$89,3,0)*0.475*44/12</f>
        <v>0</v>
      </c>
      <c r="HI107" s="21">
        <f>EXP(-LN(2)/2)*HI106+(1-EXP(-LN(2)/2))/(LN(2)/2)*HC107*HF107*VLOOKUP('Données projet'!$B$18,Paramètres!$A$1:$I$89,3,0)*0.475*44/12</f>
        <v>0</v>
      </c>
      <c r="HJ107" s="22">
        <f t="shared" si="84"/>
        <v>38.243036583020462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2.1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7.7</v>
      </c>
      <c r="H108" s="67">
        <f t="shared" si="56"/>
        <v>225.86666666666665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68.328242852899848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>
        <f>VLOOKUP(A108,'Données projet'!$A$35:$I$55,2,0)</f>
        <v>409</v>
      </c>
      <c r="L108" s="12">
        <f>VLOOKUP(A108,'Données projet'!$A$35:$I$55,9,0)</f>
        <v>6.6</v>
      </c>
      <c r="M108" s="12">
        <f t="array" ref="M108">INDEX(L:L,MIN(IF(ISNUMBER(L108:L304),ROW(L108:L304),"")))</f>
        <v>6.6</v>
      </c>
      <c r="N108" s="13">
        <f>IF('Données projet'!$A$36&gt;35,N107+M108-V107,IF(A108&lt;'Données projet'!$A$36,$K$205^A108,IF(A108='Données projet'!$A$36,'Données projet'!$B$36,N107+M108-V107)))</f>
        <v>409.00000000000006</v>
      </c>
      <c r="O108" s="13">
        <f>N108*VLOOKUP('Données projet'!$B$9,Paramètres!$A$1:$I$89,3,0)*VLOOKUP('Données projet'!$B$9,Paramètres!$A$1:$I$89,5,0)</f>
        <v>350.92200000000008</v>
      </c>
      <c r="P108" s="13">
        <f t="shared" si="87"/>
        <v>81.752331535154511</v>
      </c>
      <c r="Q108" s="20">
        <f t="shared" si="107"/>
        <v>753.57446075706082</v>
      </c>
      <c r="R108" s="59">
        <f t="shared" si="55"/>
        <v>1040.7780178843602</v>
      </c>
      <c r="S108" s="59">
        <f ca="1">AVERAGE(OFFSET($R$3,0,0,'Données projet'!$E$9+1,1))-AVERAGE(OFFSET($H$3,0,0,'Données projet'!$E$9+1,1))</f>
        <v>476.79071915271794</v>
      </c>
      <c r="T108" s="59">
        <f t="shared" si="88"/>
        <v>264.79929759351762</v>
      </c>
      <c r="U108" s="15">
        <f>IF(ISNA(VLOOKUP(A108,'Données projet'!$A$35:$I$55,3,0)),0,VLOOKUP(A108,'Données projet'!$A$35:$I$55,3,0))</f>
        <v>18</v>
      </c>
      <c r="V108" s="15">
        <f>IF(ISNA(VLOOKUP(A108,'Données projet'!$A$35:$I$55,4,0)),0,VLOOKUP(A108,'Données projet'!$A$35:$I$55,4,0))</f>
        <v>23</v>
      </c>
      <c r="W108" s="16">
        <f>IF(ISNA(VLOOKUP(A108,'Données projet'!$A$35:$I$55,5,0)),0%,VLOOKUP(A108,'Données projet'!$A$35:$I$55,5,0)*VLOOKUP('Données projet'!$B$9,Paramètres!$A$1:$I$89,7,0))</f>
        <v>0.371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52.911969497968826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52.911969497968826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68.328242852899848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2.4</v>
      </c>
      <c r="AI108" s="13">
        <f>IF('Données projet'!$A$62&gt;35,AI107+AH108-AQ107,IF(A108&lt;'Données projet'!$A$62,$AF$205^A108,IF(A108='Données projet'!$A$62,'Données projet'!$B$62,AI107+AH108-AQ107)))</f>
        <v>272.99999999999983</v>
      </c>
      <c r="AJ108" s="13">
        <f>AI108*VLOOKUP('Données projet'!$B$10,Paramètres!$A$1:$I$89,3,0)*VLOOKUP('Données projet'!$B$10,Paramètres!$A$1:$I$89,5,0)</f>
        <v>229.97519999999989</v>
      </c>
      <c r="AK108" s="13">
        <f t="shared" si="89"/>
        <v>56.277319157664266</v>
      </c>
      <c r="AL108" s="20">
        <f t="shared" si="58"/>
        <v>498.55647086626504</v>
      </c>
      <c r="AM108" s="59">
        <f t="shared" si="59"/>
        <v>785.76002799356456</v>
      </c>
      <c r="AN108" s="59">
        <f ca="1">AVERAGE(OFFSET($AM$3,0,0,'Données projet'!$E$10+1,1))-AVERAGE(OFFSET($H$3,0,0,'Données projet'!$E$10+1,1))</f>
        <v>365.104658862176</v>
      </c>
      <c r="AO108" s="59">
        <f t="shared" si="90"/>
        <v>226.29232910286325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31.093710275774782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31.093710275774782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68.328242852899848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2.4</v>
      </c>
      <c r="BD108" s="12">
        <f>IF('Données projet'!$A$88&gt;35,BD107+BC108-BL107,IF(A108&lt;'Données projet'!$A$88,$BA$205^A108,IF(A108='Données projet'!$A$88,'Données projet'!$B$88,BD107+BC108-BL107)))</f>
        <v>272.99999999999983</v>
      </c>
      <c r="BE108" s="13">
        <f>BD108*VLOOKUP('Données projet'!$B$11,Paramètres!$A$1:$I$89,3,0)*VLOOKUP('Données projet'!$B$11,Paramètres!$A$1:$I$89,5,0)</f>
        <v>247.01039999999983</v>
      </c>
      <c r="BF108" s="13">
        <f t="shared" si="91"/>
        <v>59.945315462121762</v>
      </c>
      <c r="BG108" s="20">
        <f t="shared" si="61"/>
        <v>534.61453776319513</v>
      </c>
      <c r="BH108" s="59">
        <f t="shared" si="62"/>
        <v>821.81809489049465</v>
      </c>
      <c r="BI108" s="59">
        <f ca="1">AVERAGE(OFFSET($BH$3,0,0,'Données projet'!$E$11+1,1))-AVERAGE(OFFSET($H$3,0,0,'Données projet'!$E$11+1,1))</f>
        <v>388.12494342575195</v>
      </c>
      <c r="BJ108" s="59">
        <f t="shared" si="92"/>
        <v>239.39471445648454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33.396948073980319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33.396948073980319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68.328242852899848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2.4</v>
      </c>
      <c r="BY108" s="12">
        <f>IF('Données projet'!$A$114&gt;35,BY107+BX108-CG107,IF(A108&lt;'Données projet'!$A$114,$BV$205^A108,IF(A108='Données projet'!$A$114,'Données projet'!$B$114,BY107+BX108-CG107)))</f>
        <v>272.99999999999983</v>
      </c>
      <c r="BZ108" s="13">
        <f>BY108*VLOOKUP('Données projet'!$B$12,Paramètres!$A$1:$I$89,3,0)*VLOOKUP('Données projet'!$B$12,Paramètres!$A$1:$I$89,5,0)</f>
        <v>276.82199999999983</v>
      </c>
      <c r="CA108" s="13">
        <f t="shared" si="93"/>
        <v>66.29496059864374</v>
      </c>
      <c r="CB108" s="20">
        <f t="shared" si="64"/>
        <v>597.59537304263756</v>
      </c>
      <c r="CC108" s="59">
        <f t="shared" si="65"/>
        <v>884.79893016993697</v>
      </c>
      <c r="CD108" s="59">
        <f ca="1">AVERAGE(OFFSET($CC$3,0,0,'Données projet'!$E$12+1,1))-AVERAGE(OFFSET($H$3,0,0,'Données projet'!$E$12+1,1))</f>
        <v>428.33148932885132</v>
      </c>
      <c r="CE108" s="59">
        <f t="shared" si="94"/>
        <v>262.27548054534373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37.42761422084002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37.42761422084002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68.328242852899848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>
        <f>VLOOKUP(A108,'Données projet'!$A$139:$I$159,2,0)</f>
        <v>218</v>
      </c>
      <c r="CR108" s="12">
        <f>VLOOKUP(A108,'Données projet'!$A$139:$I$159,9,0)</f>
        <v>3.2</v>
      </c>
      <c r="CS108" s="12">
        <f t="array" ref="CS108">INDEX(CR:CR,MIN(IF(ISNUMBER(CR108:CR304),ROW(CR108:CR304),"")))</f>
        <v>3.2</v>
      </c>
      <c r="CT108" s="12">
        <f>IF('Données projet'!$A$140&gt;35,CT107+CS108-DB107,IF(A108&lt;'Données projet'!$A$140,$CQ$205^A108,IF(A108='Données projet'!$A$140,'Données projet'!$B$140,CT107+CS108-DB107)))</f>
        <v>217.99999999999991</v>
      </c>
      <c r="CU108" s="17">
        <f>CT108*VLOOKUP('Données projet'!$B$13,Paramètres!$A$1:$I$89,3,0)*VLOOKUP('Données projet'!$B$13,Paramètres!$A$1:$I$89,5,0)</f>
        <v>207.44879999999989</v>
      </c>
      <c r="CV108" s="13">
        <f t="shared" si="95"/>
        <v>51.377688337856306</v>
      </c>
      <c r="CW108" s="20">
        <f t="shared" si="67"/>
        <v>450.78946718843281</v>
      </c>
      <c r="CX108" s="59">
        <f t="shared" si="68"/>
        <v>737.99302431573233</v>
      </c>
      <c r="CY108" s="59">
        <f ca="1">AVERAGE(OFFSET($CX$3,0,0,'Données projet'!$E$13+1,1))-AVERAGE(OFFSET($H$3,0,0,'Données projet'!$E$13+1,1))</f>
        <v>307.62549820830162</v>
      </c>
      <c r="CZ108" s="59">
        <f t="shared" si="96"/>
        <v>160.26466014910304</v>
      </c>
      <c r="DA108" s="15">
        <f>IF(ISNA(VLOOKUP(A108,'Données projet'!$A$139:$I$159,3,0)),0,VLOOKUP(A108,'Données projet'!$A$139:$I$159,3,0))</f>
        <v>17</v>
      </c>
      <c r="DB108" s="15">
        <f>IF(ISNA(VLOOKUP(A108,'Données projet'!$A$139:$I$159,4,0)),0,VLOOKUP(A108,'Données projet'!$A$139:$I$159,4,0))</f>
        <v>14</v>
      </c>
      <c r="DC108" s="16">
        <f>IF(ISNA(VLOOKUP(A108,'Données projet'!$A$139:$I$159,5,0)),0%,VLOOKUP(A108,'Données projet'!$A$139:$I$159,5,0)*VLOOKUP('Données projet'!$B$13,Paramètres!$A$1:$I$89,7,0))</f>
        <v>0.30099999999999999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26.203237846582319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26.203237846582319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68.328242852899848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-1.7053025658242404E-13</v>
      </c>
      <c r="DP108" s="17">
        <f>DO108*VLOOKUP('Données projet'!$B$14,Paramètres!$A$1:$I$89,3,0)*VLOOKUP('Données projet'!$B$14,Paramètres!$A$1:$I$89,5,0)</f>
        <v>-1.3567387213697657E-13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309.14579005132464</v>
      </c>
      <c r="DU108" s="59">
        <f t="shared" si="98"/>
        <v>300.60311050289533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56.115109101960847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56.115109101960847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68.328242852899848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>
        <f>EJ108*VLOOKUP('Données projet'!$B$15,Paramètres!$A$1:$I$89,3,0)*VLOOKUP('Données projet'!$B$15,Paramètres!$A$1:$I$89,5,0)</f>
        <v>0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338.59243085476896</v>
      </c>
      <c r="EP108" s="59">
        <f t="shared" si="100"/>
        <v>329.8393445823275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51.989863663456362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51.989863663456362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68.328242852899848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>
        <f>FE108*VLOOKUP('Données projet'!$B$16,Paramètres!$A$1:$I$89,3,0)*VLOOKUP('Données projet'!$B$16,Paramètres!$A$1:$I$89,5,0)</f>
        <v>0</v>
      </c>
      <c r="FG108" s="13" t="e">
        <f t="shared" si="101"/>
        <v>#NUM!</v>
      </c>
      <c r="FH108" s="20" t="e">
        <f t="shared" si="76"/>
        <v>#NUM!</v>
      </c>
      <c r="FI108" s="59" t="e">
        <f t="shared" si="77"/>
        <v>#NUM!</v>
      </c>
      <c r="FJ108" s="59">
        <f ca="1">AVERAGE(OFFSET($FI$3,0,0,'Données projet'!$E$16+1,1))-AVERAGE(OFFSET($H$3,0,0,'Données projet'!$E$16+1,1))</f>
        <v>307.50573770128085</v>
      </c>
      <c r="FK108" s="59">
        <f t="shared" si="102"/>
        <v>300.2007312562655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46.459027103514195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46.459027103514195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68.328242852899848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>
        <f>FZ108*VLOOKUP('Données projet'!$B$17,Paramètres!$A$1:$I$89,3,0)*VLOOKUP('Données projet'!$B$17,Paramètres!$A$1:$I$89,5,0)</f>
        <v>0</v>
      </c>
      <c r="GB108" s="13" t="e">
        <f t="shared" si="103"/>
        <v>#NUM!</v>
      </c>
      <c r="GC108" s="20" t="e">
        <f t="shared" si="79"/>
        <v>#NUM!</v>
      </c>
      <c r="GD108" s="59" t="e">
        <f t="shared" si="80"/>
        <v>#NUM!</v>
      </c>
      <c r="GE108" s="59">
        <f ca="1">AVERAGE(OFFSET($GD$3,0,0,'Données projet'!$E$17+1,1))-AVERAGE(OFFSET($H$3,0,0,'Données projet'!$E$17+1,1))</f>
        <v>369.60865427618342</v>
      </c>
      <c r="GF108" s="59">
        <f t="shared" si="104"/>
        <v>359.40898775279197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57.520700223398535</v>
      </c>
      <c r="GM108" s="21">
        <f>EXP(-LN(2)/25)*GM107+(1-EXP(-LN(2)/25))/(LN(2)/25)*Calculateur!GH108*Calculateur!GJ108*VLOOKUP('Données projet'!$B$17,Paramètres!$A$1:$I$89,3,0)*0.475*44/12</f>
        <v>0</v>
      </c>
      <c r="GN108" s="21">
        <f>EXP(-LN(2)/2)*GN107+(1-EXP(-LN(2)/2))/(LN(2)/2)*GH108*GK108*VLOOKUP('Données projet'!$B$17,Paramètres!$A$1:$I$89,3,0)*0.475*44/12</f>
        <v>0</v>
      </c>
      <c r="GO108" s="21">
        <f t="shared" si="81"/>
        <v>57.520700223398535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68.328242852899848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-1.7053025658242404E-13</v>
      </c>
      <c r="GV108" s="17">
        <f>GU108*VLOOKUP('Données projet'!$B$18,Paramètres!$A$1:$I$89,3,0)*VLOOKUP('Données projet'!$B$18,Paramètres!$A$1:$I$89,5,0)</f>
        <v>-1.1173142411280423E-13</v>
      </c>
      <c r="GW108" s="13" t="e">
        <f t="shared" si="105"/>
        <v>#NUM!</v>
      </c>
      <c r="GX108" s="20" t="e">
        <f t="shared" si="82"/>
        <v>#NUM!</v>
      </c>
      <c r="GY108" s="59" t="e">
        <f t="shared" si="83"/>
        <v>#NUM!</v>
      </c>
      <c r="GZ108" s="59">
        <f ca="1">AVERAGE(OFFSET($GY$3,0,0,'Données projet'!$E$18+1,1))-AVERAGE(OFFSET($H$3,0,0,'Données projet'!$E$18+1,1))</f>
        <v>262.62914256200031</v>
      </c>
      <c r="HA108" s="59">
        <f t="shared" si="106"/>
        <v>256.45129229594409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projet'!$B$18,Paramètres!$A$1:$I$89,3,0)*0.475*44/12</f>
        <v>37.493113961576498</v>
      </c>
      <c r="HH108" s="21">
        <f>EXP(-LN(2)/25)*HH107+(1-EXP(-LN(2)/25))/(LN(2)/25)*Calculateur!HC108*Calculateur!HE108*VLOOKUP('Données projet'!$B$18,Paramètres!$A$1:$I$89,3,0)*0.475*44/12</f>
        <v>0</v>
      </c>
      <c r="HI108" s="21">
        <f>EXP(-LN(2)/2)*HI107+(1-EXP(-LN(2)/2))/(LN(2)/2)*HC108*HF108*VLOOKUP('Données projet'!$B$18,Paramètres!$A$1:$I$89,3,0)*0.475*44/12</f>
        <v>0</v>
      </c>
      <c r="HJ108" s="22">
        <f t="shared" si="84"/>
        <v>37.493113961576498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2.1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7.7</v>
      </c>
      <c r="H109" s="67">
        <f t="shared" si="56"/>
        <v>225.86666666666665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68.357244101912968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6.4</v>
      </c>
      <c r="N109" s="13">
        <f>IF('Données projet'!$A$36&gt;35,N108+M109-V108,IF(A109&lt;'Données projet'!$A$36,$K$205^A109,IF(A109='Données projet'!$A$36,'Données projet'!$B$36,N108+M109-V108)))</f>
        <v>392.40000000000003</v>
      </c>
      <c r="O109" s="13">
        <f>N109*VLOOKUP('Données projet'!$B$9,Paramètres!$A$1:$I$89,3,0)*VLOOKUP('Données projet'!$B$9,Paramètres!$A$1:$I$89,5,0)</f>
        <v>336.67920000000009</v>
      </c>
      <c r="P109" s="13">
        <f t="shared" si="87"/>
        <v>78.813456684086475</v>
      </c>
      <c r="Q109" s="20">
        <f t="shared" si="107"/>
        <v>723.64971039145075</v>
      </c>
      <c r="R109" s="59">
        <f t="shared" si="55"/>
        <v>1010.9596054317983</v>
      </c>
      <c r="S109" s="59">
        <f ca="1">AVERAGE(OFFSET($R$3,0,0,'Données projet'!$E$9+1,1))-AVERAGE(OFFSET($H$3,0,0,'Données projet'!$E$9+1,1))</f>
        <v>476.79071915271794</v>
      </c>
      <c r="T109" s="59">
        <f t="shared" si="88"/>
        <v>264.79929759351762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51.874398049228347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51.874398049228347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68.357244101912968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2.4</v>
      </c>
      <c r="AI109" s="13">
        <f>IF('Données projet'!$A$62&gt;35,AI108+AH109-AQ108,IF(A109&lt;'Données projet'!$A$62,$AF$205^A109,IF(A109='Données projet'!$A$62,'Données projet'!$B$62,AI108+AH109-AQ108)))</f>
        <v>275.39999999999981</v>
      </c>
      <c r="AJ109" s="13">
        <f>AI109*VLOOKUP('Données projet'!$B$10,Paramètres!$A$1:$I$89,3,0)*VLOOKUP('Données projet'!$B$10,Paramètres!$A$1:$I$89,5,0)</f>
        <v>231.99695999999983</v>
      </c>
      <c r="AK109" s="13">
        <f t="shared" si="89"/>
        <v>56.714253482983253</v>
      </c>
      <c r="AL109" s="20">
        <f t="shared" si="58"/>
        <v>502.83869681619558</v>
      </c>
      <c r="AM109" s="59">
        <f t="shared" si="59"/>
        <v>790.14859185654313</v>
      </c>
      <c r="AN109" s="59">
        <f ca="1">AVERAGE(OFFSET($AM$3,0,0,'Données projet'!$E$10+1,1))-AVERAGE(OFFSET($H$3,0,0,'Données projet'!$E$10+1,1))</f>
        <v>365.104658862176</v>
      </c>
      <c r="AO109" s="59">
        <f t="shared" si="90"/>
        <v>226.29232910286325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30.483981582557441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30.483981582557441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68.357244101912968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2.4</v>
      </c>
      <c r="BD109" s="12">
        <f>IF('Données projet'!$A$88&gt;35,BD108+BC109-BL108,IF(A109&lt;'Données projet'!$A$88,$BA$205^A109,IF(A109='Données projet'!$A$88,'Données projet'!$B$88,BD108+BC109-BL108)))</f>
        <v>275.39999999999981</v>
      </c>
      <c r="BE109" s="13">
        <f>BD109*VLOOKUP('Données projet'!$B$11,Paramètres!$A$1:$I$89,3,0)*VLOOKUP('Données projet'!$B$11,Paramètres!$A$1:$I$89,5,0)</f>
        <v>249.18191999999982</v>
      </c>
      <c r="BF109" s="13">
        <f t="shared" si="91"/>
        <v>60.410727929515545</v>
      </c>
      <c r="BG109" s="20">
        <f t="shared" si="61"/>
        <v>539.20719514390589</v>
      </c>
      <c r="BH109" s="59">
        <f t="shared" si="62"/>
        <v>826.51709018425345</v>
      </c>
      <c r="BI109" s="59">
        <f ca="1">AVERAGE(OFFSET($BH$3,0,0,'Données projet'!$E$11+1,1))-AVERAGE(OFFSET($H$3,0,0,'Données projet'!$E$11+1,1))</f>
        <v>388.12494342575195</v>
      </c>
      <c r="BJ109" s="59">
        <f t="shared" si="92"/>
        <v>239.39471445648454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32.742054292376508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32.742054292376508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68.357244101912968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2.4</v>
      </c>
      <c r="BY109" s="12">
        <f>IF('Données projet'!$A$114&gt;35,BY108+BX109-CG108,IF(A109&lt;'Données projet'!$A$114,$BV$205^A109,IF(A109='Données projet'!$A$114,'Données projet'!$B$114,BY108+BX109-CG108)))</f>
        <v>275.39999999999981</v>
      </c>
      <c r="BZ109" s="13">
        <f>BY109*VLOOKUP('Données projet'!$B$12,Paramètres!$A$1:$I$89,3,0)*VLOOKUP('Données projet'!$B$12,Paramètres!$A$1:$I$89,5,0)</f>
        <v>279.25559999999984</v>
      </c>
      <c r="CA109" s="13">
        <f t="shared" si="93"/>
        <v>66.809671397146104</v>
      </c>
      <c r="CB109" s="20">
        <f t="shared" si="64"/>
        <v>602.73034768336242</v>
      </c>
      <c r="CC109" s="59">
        <f t="shared" si="65"/>
        <v>890.04024272370998</v>
      </c>
      <c r="CD109" s="59">
        <f ca="1">AVERAGE(OFFSET($CC$3,0,0,'Données projet'!$E$12+1,1))-AVERAGE(OFFSET($H$3,0,0,'Données projet'!$E$12+1,1))</f>
        <v>428.33148932885132</v>
      </c>
      <c r="CE109" s="59">
        <f t="shared" si="94"/>
        <v>262.27548054534373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36.693681534559886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36.693681534559886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68.357244101912968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3</v>
      </c>
      <c r="CT109" s="12">
        <f>IF('Données projet'!$A$140&gt;35,CT108+CS109-DB108,IF(A109&lt;'Données projet'!$A$140,$CQ$205^A109,IF(A109='Données projet'!$A$140,'Données projet'!$B$140,CT108+CS109-DB108)))</f>
        <v>206.99999999999991</v>
      </c>
      <c r="CU109" s="17">
        <f>CT109*VLOOKUP('Données projet'!$B$13,Paramètres!$A$1:$I$89,3,0)*VLOOKUP('Données projet'!$B$13,Paramètres!$A$1:$I$89,5,0)</f>
        <v>196.98119999999992</v>
      </c>
      <c r="CV109" s="13">
        <f t="shared" si="95"/>
        <v>49.080140741894134</v>
      </c>
      <c r="CW109" s="20">
        <f t="shared" si="67"/>
        <v>428.5568351254654</v>
      </c>
      <c r="CX109" s="59">
        <f t="shared" si="68"/>
        <v>715.8667301658129</v>
      </c>
      <c r="CY109" s="59">
        <f ca="1">AVERAGE(OFFSET($CX$3,0,0,'Données projet'!$E$13+1,1))-AVERAGE(OFFSET($H$3,0,0,'Données projet'!$E$13+1,1))</f>
        <v>307.62549820830162</v>
      </c>
      <c r="CZ109" s="59">
        <f t="shared" si="96"/>
        <v>160.26466014910304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25.689408334807794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25.689408334807794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68.357244101912968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-1.7053025658242404E-13</v>
      </c>
      <c r="DP109" s="17">
        <f>DO109*VLOOKUP('Données projet'!$B$14,Paramètres!$A$1:$I$89,3,0)*VLOOKUP('Données projet'!$B$14,Paramètres!$A$1:$I$89,5,0)</f>
        <v>-1.3567387213697657E-13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309.14579005132464</v>
      </c>
      <c r="DU109" s="59">
        <f t="shared" si="98"/>
        <v>300.60311050289533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55.014726039308329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55.014726039308329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68.357244101912968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>
        <f>EJ109*VLOOKUP('Données projet'!$B$15,Paramètres!$A$1:$I$89,3,0)*VLOOKUP('Données projet'!$B$15,Paramètres!$A$1:$I$89,5,0)</f>
        <v>0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338.59243085476896</v>
      </c>
      <c r="EP109" s="59">
        <f t="shared" si="100"/>
        <v>329.8393445823275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50.970374147701648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50.970374147701648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68.357244101912968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>
        <f>FE109*VLOOKUP('Données projet'!$B$16,Paramètres!$A$1:$I$89,3,0)*VLOOKUP('Données projet'!$B$16,Paramètres!$A$1:$I$89,5,0)</f>
        <v>0</v>
      </c>
      <c r="FG109" s="13" t="e">
        <f t="shared" si="101"/>
        <v>#NUM!</v>
      </c>
      <c r="FH109" s="20" t="e">
        <f t="shared" si="76"/>
        <v>#NUM!</v>
      </c>
      <c r="FI109" s="59" t="e">
        <f t="shared" si="77"/>
        <v>#NUM!</v>
      </c>
      <c r="FJ109" s="59">
        <f ca="1">AVERAGE(OFFSET($FI$3,0,0,'Données projet'!$E$16+1,1))-AVERAGE(OFFSET($H$3,0,0,'Données projet'!$E$16+1,1))</f>
        <v>307.50573770128085</v>
      </c>
      <c r="FK109" s="59">
        <f t="shared" si="102"/>
        <v>300.2007312562655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45.547993919222748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45.547993919222748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68.357244101912968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>
        <f>FZ109*VLOOKUP('Données projet'!$B$17,Paramètres!$A$1:$I$89,3,0)*VLOOKUP('Données projet'!$B$17,Paramètres!$A$1:$I$89,5,0)</f>
        <v>0</v>
      </c>
      <c r="GB109" s="13" t="e">
        <f t="shared" si="103"/>
        <v>#NUM!</v>
      </c>
      <c r="GC109" s="20" t="e">
        <f t="shared" si="79"/>
        <v>#NUM!</v>
      </c>
      <c r="GD109" s="59" t="e">
        <f t="shared" si="80"/>
        <v>#NUM!</v>
      </c>
      <c r="GE109" s="59">
        <f ca="1">AVERAGE(OFFSET($GD$3,0,0,'Données projet'!$E$17+1,1))-AVERAGE(OFFSET($H$3,0,0,'Données projet'!$E$17+1,1))</f>
        <v>369.60865427618342</v>
      </c>
      <c r="GF109" s="59">
        <f t="shared" si="104"/>
        <v>359.40898775279197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56.392754376180555</v>
      </c>
      <c r="GM109" s="21">
        <f>EXP(-LN(2)/25)*GM108+(1-EXP(-LN(2)/25))/(LN(2)/25)*Calculateur!GH109*Calculateur!GJ109*VLOOKUP('Données projet'!$B$17,Paramètres!$A$1:$I$89,3,0)*0.475*44/12</f>
        <v>0</v>
      </c>
      <c r="GN109" s="21">
        <f>EXP(-LN(2)/2)*GN108+(1-EXP(-LN(2)/2))/(LN(2)/2)*GH109*GK109*VLOOKUP('Données projet'!$B$17,Paramètres!$A$1:$I$89,3,0)*0.475*44/12</f>
        <v>0</v>
      </c>
      <c r="GO109" s="21">
        <f t="shared" si="81"/>
        <v>56.392754376180555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68.357244101912968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-1.7053025658242404E-13</v>
      </c>
      <c r="GV109" s="17">
        <f>GU109*VLOOKUP('Données projet'!$B$18,Paramètres!$A$1:$I$89,3,0)*VLOOKUP('Données projet'!$B$18,Paramètres!$A$1:$I$89,5,0)</f>
        <v>-1.1173142411280423E-13</v>
      </c>
      <c r="GW109" s="13" t="e">
        <f t="shared" si="105"/>
        <v>#NUM!</v>
      </c>
      <c r="GX109" s="20" t="e">
        <f t="shared" si="82"/>
        <v>#NUM!</v>
      </c>
      <c r="GY109" s="59" t="e">
        <f t="shared" si="83"/>
        <v>#NUM!</v>
      </c>
      <c r="GZ109" s="59">
        <f ca="1">AVERAGE(OFFSET($GY$3,0,0,'Données projet'!$E$18+1,1))-AVERAGE(OFFSET($H$3,0,0,'Données projet'!$E$18+1,1))</f>
        <v>262.62914256200031</v>
      </c>
      <c r="HA109" s="59">
        <f t="shared" si="106"/>
        <v>256.45129229594409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projet'!$B$18,Paramètres!$A$1:$I$89,3,0)*0.475*44/12</f>
        <v>36.757896865331418</v>
      </c>
      <c r="HH109" s="21">
        <f>EXP(-LN(2)/25)*HH108+(1-EXP(-LN(2)/25))/(LN(2)/25)*Calculateur!HC109*Calculateur!HE109*VLOOKUP('Données projet'!$B$18,Paramètres!$A$1:$I$89,3,0)*0.475*44/12</f>
        <v>0</v>
      </c>
      <c r="HI109" s="21">
        <f>EXP(-LN(2)/2)*HI108+(1-EXP(-LN(2)/2))/(LN(2)/2)*HC109*HF109*VLOOKUP('Données projet'!$B$18,Paramètres!$A$1:$I$89,3,0)*0.475*44/12</f>
        <v>0</v>
      </c>
      <c r="HJ109" s="22">
        <f t="shared" si="84"/>
        <v>36.757896865331418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2.1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7.7</v>
      </c>
      <c r="H110" s="67">
        <f t="shared" si="56"/>
        <v>225.86666666666665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68.385742244092796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6.4</v>
      </c>
      <c r="N110" s="13">
        <f>IF('Données projet'!$A$36&gt;35,N109+M110-V109,IF(A110&lt;'Données projet'!$A$36,$K$205^A110,IF(A110='Données projet'!$A$36,'Données projet'!$B$36,N109+M110-V109)))</f>
        <v>398.8</v>
      </c>
      <c r="O110" s="13">
        <f>N110*VLOOKUP('Données projet'!$B$9,Paramètres!$A$1:$I$89,3,0)*VLOOKUP('Données projet'!$B$9,Paramètres!$A$1:$I$89,5,0)</f>
        <v>342.17040000000009</v>
      </c>
      <c r="P110" s="13">
        <f t="shared" si="87"/>
        <v>79.948198600746707</v>
      </c>
      <c r="Q110" s="20">
        <f t="shared" si="107"/>
        <v>735.1898925629672</v>
      </c>
      <c r="R110" s="59">
        <f t="shared" si="55"/>
        <v>1022.6042807913075</v>
      </c>
      <c r="S110" s="59">
        <f ca="1">AVERAGE(OFFSET($R$3,0,0,'Données projet'!$E$9+1,1))-AVERAGE(OFFSET($H$3,0,0,'Données projet'!$E$9+1,1))</f>
        <v>476.79071915271794</v>
      </c>
      <c r="T110" s="59">
        <f t="shared" si="88"/>
        <v>264.79929759351762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50.857172743741572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50.857172743741572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68.385742244092796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2.4</v>
      </c>
      <c r="AI110" s="13">
        <f>IF('Données projet'!$A$62&gt;35,AI109+AH110-AQ109,IF(A110&lt;'Données projet'!$A$62,$AF$205^A110,IF(A110='Données projet'!$A$62,'Données projet'!$B$62,AI109+AH110-AQ109)))</f>
        <v>277.79999999999978</v>
      </c>
      <c r="AJ110" s="13">
        <f>AI110*VLOOKUP('Données projet'!$B$10,Paramètres!$A$1:$I$89,3,0)*VLOOKUP('Données projet'!$B$10,Paramètres!$A$1:$I$89,5,0)</f>
        <v>234.01871999999983</v>
      </c>
      <c r="AK110" s="13">
        <f t="shared" si="89"/>
        <v>57.150744810049567</v>
      </c>
      <c r="AL110" s="20">
        <f t="shared" si="58"/>
        <v>507.12015121083601</v>
      </c>
      <c r="AM110" s="59">
        <f t="shared" si="59"/>
        <v>794.53453943917623</v>
      </c>
      <c r="AN110" s="59">
        <f ca="1">AVERAGE(OFFSET($AM$3,0,0,'Données projet'!$E$10+1,1))-AVERAGE(OFFSET($H$3,0,0,'Données projet'!$E$10+1,1))</f>
        <v>365.104658862176</v>
      </c>
      <c r="AO110" s="59">
        <f t="shared" si="90"/>
        <v>226.29232910286325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29.886209297116309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29.886209297116309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68.385742244092796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2.4</v>
      </c>
      <c r="BD110" s="12">
        <f>IF('Données projet'!$A$88&gt;35,BD109+BC110-BL109,IF(A110&lt;'Données projet'!$A$88,$BA$205^A110,IF(A110='Données projet'!$A$88,'Données projet'!$B$88,BD109+BC110-BL109)))</f>
        <v>277.79999999999978</v>
      </c>
      <c r="BE110" s="13">
        <f>BD110*VLOOKUP('Données projet'!$B$11,Paramètres!$A$1:$I$89,3,0)*VLOOKUP('Données projet'!$B$11,Paramètres!$A$1:$I$89,5,0)</f>
        <v>251.35343999999978</v>
      </c>
      <c r="BF110" s="13">
        <f t="shared" si="91"/>
        <v>60.875668525284958</v>
      </c>
      <c r="BG110" s="20">
        <f t="shared" si="61"/>
        <v>543.7990306815376</v>
      </c>
      <c r="BH110" s="59">
        <f t="shared" si="62"/>
        <v>831.21341890987787</v>
      </c>
      <c r="BI110" s="59">
        <f ca="1">AVERAGE(OFFSET($BH$3,0,0,'Données projet'!$E$11+1,1))-AVERAGE(OFFSET($H$3,0,0,'Données projet'!$E$11+1,1))</f>
        <v>388.12494342575195</v>
      </c>
      <c r="BJ110" s="59">
        <f t="shared" si="92"/>
        <v>239.39471445648454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32.100002578384185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32.100002578384185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68.385742244092796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2.4</v>
      </c>
      <c r="BY110" s="12">
        <f>IF('Données projet'!$A$114&gt;35,BY109+BX110-CG109,IF(A110&lt;'Données projet'!$A$114,$BV$205^A110,IF(A110='Données projet'!$A$114,'Données projet'!$B$114,BY109+BX110-CG109)))</f>
        <v>277.79999999999978</v>
      </c>
      <c r="BZ110" s="13">
        <f>BY110*VLOOKUP('Données projet'!$B$12,Paramètres!$A$1:$I$89,3,0)*VLOOKUP('Données projet'!$B$12,Paramètres!$A$1:$I$89,5,0)</f>
        <v>281.6891999999998</v>
      </c>
      <c r="CA110" s="13">
        <f t="shared" si="93"/>
        <v>67.32386034151358</v>
      </c>
      <c r="CB110" s="20">
        <f t="shared" si="64"/>
        <v>607.86441342813578</v>
      </c>
      <c r="CC110" s="59">
        <f t="shared" si="65"/>
        <v>895.27880165647593</v>
      </c>
      <c r="CD110" s="59">
        <f ca="1">AVERAGE(OFFSET($CC$3,0,0,'Données projet'!$E$12+1,1))-AVERAGE(OFFSET($H$3,0,0,'Données projet'!$E$12+1,1))</f>
        <v>428.33148932885132</v>
      </c>
      <c r="CE110" s="59">
        <f t="shared" si="94"/>
        <v>262.27548054534373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35.974140820602969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35.974140820602969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68.385742244092796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3</v>
      </c>
      <c r="CT110" s="12">
        <f>IF('Données projet'!$A$140&gt;35,CT109+CS110-DB109,IF(A110&lt;'Données projet'!$A$140,$CQ$205^A110,IF(A110='Données projet'!$A$140,'Données projet'!$B$140,CT109+CS110-DB109)))</f>
        <v>209.99999999999991</v>
      </c>
      <c r="CU110" s="17">
        <f>CT110*VLOOKUP('Données projet'!$B$13,Paramètres!$A$1:$I$89,3,0)*VLOOKUP('Données projet'!$B$13,Paramètres!$A$1:$I$89,5,0)</f>
        <v>199.8359999999999</v>
      </c>
      <c r="CV110" s="13">
        <f t="shared" si="95"/>
        <v>49.708123768564562</v>
      </c>
      <c r="CW110" s="20">
        <f t="shared" si="67"/>
        <v>434.62268223024984</v>
      </c>
      <c r="CX110" s="59">
        <f t="shared" si="68"/>
        <v>722.03707045859005</v>
      </c>
      <c r="CY110" s="59">
        <f ca="1">AVERAGE(OFFSET($CX$3,0,0,'Données projet'!$E$13+1,1))-AVERAGE(OFFSET($H$3,0,0,'Données projet'!$E$13+1,1))</f>
        <v>307.62549820830162</v>
      </c>
      <c r="CZ110" s="59">
        <f t="shared" si="96"/>
        <v>160.26466014910304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25.185654706354114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25.185654706354114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68.385742244092796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-1.7053025658242404E-13</v>
      </c>
      <c r="DP110" s="17">
        <f>DO110*VLOOKUP('Données projet'!$B$14,Paramètres!$A$1:$I$89,3,0)*VLOOKUP('Données projet'!$B$14,Paramètres!$A$1:$I$89,5,0)</f>
        <v>-1.3567387213697657E-13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309.14579005132464</v>
      </c>
      <c r="DU110" s="59">
        <f t="shared" si="98"/>
        <v>300.60311050289533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53.935920817347032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53.935920817347032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68.385742244092796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>
        <f>EJ110*VLOOKUP('Données projet'!$B$15,Paramètres!$A$1:$I$89,3,0)*VLOOKUP('Données projet'!$B$15,Paramètres!$A$1:$I$89,5,0)</f>
        <v>0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338.59243085476896</v>
      </c>
      <c r="EP110" s="59">
        <f t="shared" si="100"/>
        <v>329.8393445823275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49.97087619952368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49.97087619952368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68.385742244092796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>
        <f>FE110*VLOOKUP('Données projet'!$B$16,Paramètres!$A$1:$I$89,3,0)*VLOOKUP('Données projet'!$B$16,Paramètres!$A$1:$I$89,5,0)</f>
        <v>0</v>
      </c>
      <c r="FG110" s="13" t="e">
        <f t="shared" si="101"/>
        <v>#NUM!</v>
      </c>
      <c r="FH110" s="20" t="e">
        <f t="shared" si="76"/>
        <v>#NUM!</v>
      </c>
      <c r="FI110" s="59" t="e">
        <f t="shared" si="77"/>
        <v>#NUM!</v>
      </c>
      <c r="FJ110" s="59">
        <f ca="1">AVERAGE(OFFSET($FI$3,0,0,'Données projet'!$E$16+1,1))-AVERAGE(OFFSET($H$3,0,0,'Données projet'!$E$16+1,1))</f>
        <v>307.50573770128085</v>
      </c>
      <c r="FK110" s="59">
        <f t="shared" si="102"/>
        <v>300.2007312562655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44.654825539999884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44.654825539999884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68.385742244092796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>
        <f>FZ110*VLOOKUP('Données projet'!$B$17,Paramètres!$A$1:$I$89,3,0)*VLOOKUP('Données projet'!$B$17,Paramètres!$A$1:$I$89,5,0)</f>
        <v>0</v>
      </c>
      <c r="GB110" s="13" t="e">
        <f t="shared" si="103"/>
        <v>#NUM!</v>
      </c>
      <c r="GC110" s="20" t="e">
        <f t="shared" si="79"/>
        <v>#NUM!</v>
      </c>
      <c r="GD110" s="59" t="e">
        <f t="shared" si="80"/>
        <v>#NUM!</v>
      </c>
      <c r="GE110" s="59">
        <f ca="1">AVERAGE(OFFSET($GD$3,0,0,'Données projet'!$E$17+1,1))-AVERAGE(OFFSET($H$3,0,0,'Données projet'!$E$17+1,1))</f>
        <v>369.60865427618342</v>
      </c>
      <c r="GF110" s="59">
        <f t="shared" si="104"/>
        <v>359.40898775279197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55.286926859047483</v>
      </c>
      <c r="GM110" s="21">
        <f>EXP(-LN(2)/25)*GM109+(1-EXP(-LN(2)/25))/(LN(2)/25)*Calculateur!GH110*Calculateur!GJ110*VLOOKUP('Données projet'!$B$17,Paramètres!$A$1:$I$89,3,0)*0.475*44/12</f>
        <v>0</v>
      </c>
      <c r="GN110" s="21">
        <f>EXP(-LN(2)/2)*GN109+(1-EXP(-LN(2)/2))/(LN(2)/2)*GH110*GK110*VLOOKUP('Données projet'!$B$17,Paramètres!$A$1:$I$89,3,0)*0.475*44/12</f>
        <v>0</v>
      </c>
      <c r="GO110" s="21">
        <f t="shared" si="81"/>
        <v>55.286926859047483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68.385742244092796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-1.7053025658242404E-13</v>
      </c>
      <c r="GV110" s="17">
        <f>GU110*VLOOKUP('Données projet'!$B$18,Paramètres!$A$1:$I$89,3,0)*VLOOKUP('Données projet'!$B$18,Paramètres!$A$1:$I$89,5,0)</f>
        <v>-1.1173142411280423E-13</v>
      </c>
      <c r="GW110" s="13" t="e">
        <f t="shared" si="105"/>
        <v>#NUM!</v>
      </c>
      <c r="GX110" s="20" t="e">
        <f t="shared" si="82"/>
        <v>#NUM!</v>
      </c>
      <c r="GY110" s="59" t="e">
        <f t="shared" si="83"/>
        <v>#NUM!</v>
      </c>
      <c r="GZ110" s="59">
        <f ca="1">AVERAGE(OFFSET($GY$3,0,0,'Données projet'!$E$18+1,1))-AVERAGE(OFFSET($H$3,0,0,'Données projet'!$E$18+1,1))</f>
        <v>262.62914256200031</v>
      </c>
      <c r="HA110" s="59">
        <f t="shared" si="106"/>
        <v>256.45129229594409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projet'!$B$18,Paramètres!$A$1:$I$89,3,0)*0.475*44/12</f>
        <v>36.037096927905559</v>
      </c>
      <c r="HH110" s="21">
        <f>EXP(-LN(2)/25)*HH109+(1-EXP(-LN(2)/25))/(LN(2)/25)*Calculateur!HC110*Calculateur!HE110*VLOOKUP('Données projet'!$B$18,Paramètres!$A$1:$I$89,3,0)*0.475*44/12</f>
        <v>0</v>
      </c>
      <c r="HI110" s="21">
        <f>EXP(-LN(2)/2)*HI109+(1-EXP(-LN(2)/2))/(LN(2)/2)*HC110*HF110*VLOOKUP('Données projet'!$B$18,Paramètres!$A$1:$I$89,3,0)*0.475*44/12</f>
        <v>0</v>
      </c>
      <c r="HJ110" s="22">
        <f t="shared" si="84"/>
        <v>36.037096927905559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2.1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7.7</v>
      </c>
      <c r="H111" s="67">
        <f t="shared" si="56"/>
        <v>225.86666666666665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68.413746007218094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6.4</v>
      </c>
      <c r="N111" s="13">
        <f>IF('Données projet'!$A$36&gt;35,N110+M111-V110,IF(A111&lt;'Données projet'!$A$36,$K$205^A111,IF(A111='Données projet'!$A$36,'Données projet'!$B$36,N110+M111-V110)))</f>
        <v>405.2</v>
      </c>
      <c r="O111" s="13">
        <f>N111*VLOOKUP('Données projet'!$B$9,Paramètres!$A$1:$I$89,3,0)*VLOOKUP('Données projet'!$B$9,Paramètres!$A$1:$I$89,5,0)</f>
        <v>347.66160000000002</v>
      </c>
      <c r="P111" s="13">
        <f t="shared" si="87"/>
        <v>81.080822697416465</v>
      </c>
      <c r="Q111" s="20">
        <f t="shared" si="107"/>
        <v>746.72638619800034</v>
      </c>
      <c r="R111" s="59">
        <f t="shared" si="55"/>
        <v>1034.2434548911333</v>
      </c>
      <c r="S111" s="59">
        <f ca="1">AVERAGE(OFFSET($R$3,0,0,'Données projet'!$E$9+1,1))-AVERAGE(OFFSET($H$3,0,0,'Données projet'!$E$9+1,1))</f>
        <v>476.79071915271794</v>
      </c>
      <c r="T111" s="59">
        <f t="shared" si="88"/>
        <v>264.79929759351762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49.859894606049224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49.859894606049224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68.413746007218094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2.4</v>
      </c>
      <c r="AI111" s="13">
        <f>IF('Données projet'!$A$62&gt;35,AI110+AH111-AQ110,IF(A111&lt;'Données projet'!$A$62,$AF$205^A111,IF(A111='Données projet'!$A$62,'Données projet'!$B$62,AI110+AH111-AQ110)))</f>
        <v>280.19999999999976</v>
      </c>
      <c r="AJ111" s="13">
        <f>AI111*VLOOKUP('Données projet'!$B$10,Paramètres!$A$1:$I$89,3,0)*VLOOKUP('Données projet'!$B$10,Paramètres!$A$1:$I$89,5,0)</f>
        <v>236.04047999999983</v>
      </c>
      <c r="AK111" s="13">
        <f t="shared" si="89"/>
        <v>57.586797409506879</v>
      </c>
      <c r="AL111" s="20">
        <f t="shared" si="58"/>
        <v>511.4008414882241</v>
      </c>
      <c r="AM111" s="59">
        <f t="shared" si="59"/>
        <v>798.91791018135712</v>
      </c>
      <c r="AN111" s="59">
        <f ca="1">AVERAGE(OFFSET($AM$3,0,0,'Données projet'!$E$10+1,1))-AVERAGE(OFFSET($H$3,0,0,'Données projet'!$E$10+1,1))</f>
        <v>365.104658862176</v>
      </c>
      <c r="AO111" s="59">
        <f t="shared" si="90"/>
        <v>226.29232910286325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29.300158961587588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29.300158961587588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68.413746007218094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2.4</v>
      </c>
      <c r="BD111" s="12">
        <f>IF('Données projet'!$A$88&gt;35,BD110+BC111-BL110,IF(A111&lt;'Données projet'!$A$88,$BA$205^A111,IF(A111='Données projet'!$A$88,'Données projet'!$B$88,BD110+BC111-BL110)))</f>
        <v>280.19999999999976</v>
      </c>
      <c r="BE111" s="13">
        <f>BD111*VLOOKUP('Données projet'!$B$11,Paramètres!$A$1:$I$89,3,0)*VLOOKUP('Données projet'!$B$11,Paramètres!$A$1:$I$89,5,0)</f>
        <v>253.52495999999977</v>
      </c>
      <c r="BF111" s="13">
        <f t="shared" si="91"/>
        <v>61.34014179842216</v>
      </c>
      <c r="BG111" s="20">
        <f t="shared" si="61"/>
        <v>548.39005229891814</v>
      </c>
      <c r="BH111" s="59">
        <f t="shared" si="62"/>
        <v>835.9071209920512</v>
      </c>
      <c r="BI111" s="59">
        <f ca="1">AVERAGE(OFFSET($BH$3,0,0,'Données projet'!$E$11+1,1))-AVERAGE(OFFSET($H$3,0,0,'Données projet'!$E$11+1,1))</f>
        <v>388.12494342575195</v>
      </c>
      <c r="BJ111" s="59">
        <f t="shared" si="92"/>
        <v>239.39471445648454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31.470541106890373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31.470541106890373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68.413746007218094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2.4</v>
      </c>
      <c r="BY111" s="12">
        <f>IF('Données projet'!$A$114&gt;35,BY110+BX111-CG110,IF(A111&lt;'Données projet'!$A$114,$BV$205^A111,IF(A111='Données projet'!$A$114,'Données projet'!$B$114,BY110+BX111-CG110)))</f>
        <v>280.19999999999976</v>
      </c>
      <c r="BZ111" s="13">
        <f>BY111*VLOOKUP('Données projet'!$B$12,Paramètres!$A$1:$I$89,3,0)*VLOOKUP('Données projet'!$B$12,Paramètres!$A$1:$I$89,5,0)</f>
        <v>284.12279999999976</v>
      </c>
      <c r="CA111" s="13">
        <f t="shared" si="93"/>
        <v>67.8375324625855</v>
      </c>
      <c r="CB111" s="20">
        <f t="shared" si="64"/>
        <v>612.99757903900263</v>
      </c>
      <c r="CC111" s="59">
        <f t="shared" si="65"/>
        <v>900.5146477321357</v>
      </c>
      <c r="CD111" s="59">
        <f ca="1">AVERAGE(OFFSET($CC$3,0,0,'Données projet'!$E$12+1,1))-AVERAGE(OFFSET($H$3,0,0,'Données projet'!$E$12+1,1))</f>
        <v>428.33148932885132</v>
      </c>
      <c r="CE111" s="59">
        <f t="shared" si="94"/>
        <v>262.27548054534373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35.268709861170244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35.268709861170244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68.413746007218094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3</v>
      </c>
      <c r="CT111" s="12">
        <f>IF('Données projet'!$A$140&gt;35,CT110+CS111-DB110,IF(A111&lt;'Données projet'!$A$140,$CQ$205^A111,IF(A111='Données projet'!$A$140,'Données projet'!$B$140,CT110+CS111-DB110)))</f>
        <v>212.99999999999991</v>
      </c>
      <c r="CU111" s="17">
        <f>CT111*VLOOKUP('Données projet'!$B$13,Paramètres!$A$1:$I$89,3,0)*VLOOKUP('Données projet'!$B$13,Paramètres!$A$1:$I$89,5,0)</f>
        <v>202.69079999999994</v>
      </c>
      <c r="CV111" s="13">
        <f t="shared" si="95"/>
        <v>50.335063379382063</v>
      </c>
      <c r="CW111" s="20">
        <f t="shared" si="67"/>
        <v>440.68671205242362</v>
      </c>
      <c r="CX111" s="59">
        <f t="shared" si="68"/>
        <v>728.20378074555663</v>
      </c>
      <c r="CY111" s="59">
        <f ca="1">AVERAGE(OFFSET($CX$3,0,0,'Données projet'!$E$13+1,1))-AVERAGE(OFFSET($H$3,0,0,'Données projet'!$E$13+1,1))</f>
        <v>307.62549820830162</v>
      </c>
      <c r="CZ111" s="59">
        <f t="shared" si="96"/>
        <v>160.26466014910304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24.691779379295035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24.691779379295035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68.413746007218094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-1.7053025658242404E-13</v>
      </c>
      <c r="DP111" s="17">
        <f>DO111*VLOOKUP('Données projet'!$B$14,Paramètres!$A$1:$I$89,3,0)*VLOOKUP('Données projet'!$B$14,Paramètres!$A$1:$I$89,5,0)</f>
        <v>-1.3567387213697657E-13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309.14579005132464</v>
      </c>
      <c r="DU111" s="59">
        <f t="shared" si="98"/>
        <v>300.60311050289533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52.878270307782181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52.878270307782181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68.413746007218094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>
        <f>EJ111*VLOOKUP('Données projet'!$B$15,Paramètres!$A$1:$I$89,3,0)*VLOOKUP('Données projet'!$B$15,Paramètres!$A$1:$I$89,5,0)</f>
        <v>0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338.59243085476896</v>
      </c>
      <c r="EP111" s="59">
        <f t="shared" si="100"/>
        <v>329.8393445823275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48.990977796475931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48.990977796475931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68.413746007218094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>
        <f>FE111*VLOOKUP('Données projet'!$B$16,Paramètres!$A$1:$I$89,3,0)*VLOOKUP('Données projet'!$B$16,Paramètres!$A$1:$I$89,5,0)</f>
        <v>0</v>
      </c>
      <c r="FG111" s="13" t="e">
        <f t="shared" si="101"/>
        <v>#NUM!</v>
      </c>
      <c r="FH111" s="20" t="e">
        <f t="shared" si="76"/>
        <v>#NUM!</v>
      </c>
      <c r="FI111" s="59" t="e">
        <f t="shared" si="77"/>
        <v>#NUM!</v>
      </c>
      <c r="FJ111" s="59">
        <f ca="1">AVERAGE(OFFSET($FI$3,0,0,'Données projet'!$E$16+1,1))-AVERAGE(OFFSET($H$3,0,0,'Données projet'!$E$16+1,1))</f>
        <v>307.50573770128085</v>
      </c>
      <c r="FK111" s="59">
        <f t="shared" si="102"/>
        <v>300.2007312562655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43.779171647914659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43.779171647914659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68.413746007218094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>
        <f>FZ111*VLOOKUP('Données projet'!$B$17,Paramètres!$A$1:$I$89,3,0)*VLOOKUP('Données projet'!$B$17,Paramètres!$A$1:$I$89,5,0)</f>
        <v>0</v>
      </c>
      <c r="GB111" s="13" t="e">
        <f t="shared" si="103"/>
        <v>#NUM!</v>
      </c>
      <c r="GC111" s="20" t="e">
        <f t="shared" si="79"/>
        <v>#NUM!</v>
      </c>
      <c r="GD111" s="59" t="e">
        <f t="shared" si="80"/>
        <v>#NUM!</v>
      </c>
      <c r="GE111" s="59">
        <f ca="1">AVERAGE(OFFSET($GD$3,0,0,'Données projet'!$E$17+1,1))-AVERAGE(OFFSET($H$3,0,0,'Données projet'!$E$17+1,1))</f>
        <v>369.60865427618342</v>
      </c>
      <c r="GF111" s="59">
        <f t="shared" si="104"/>
        <v>359.40898775279197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54.202783945037204</v>
      </c>
      <c r="GM111" s="21">
        <f>EXP(-LN(2)/25)*GM110+(1-EXP(-LN(2)/25))/(LN(2)/25)*Calculateur!GH111*Calculateur!GJ111*VLOOKUP('Données projet'!$B$17,Paramètres!$A$1:$I$89,3,0)*0.475*44/12</f>
        <v>0</v>
      </c>
      <c r="GN111" s="21">
        <f>EXP(-LN(2)/2)*GN110+(1-EXP(-LN(2)/2))/(LN(2)/2)*GH111*GK111*VLOOKUP('Données projet'!$B$17,Paramètres!$A$1:$I$89,3,0)*0.475*44/12</f>
        <v>0</v>
      </c>
      <c r="GO111" s="21">
        <f t="shared" si="81"/>
        <v>54.202783945037204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68.413746007218094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-1.7053025658242404E-13</v>
      </c>
      <c r="GV111" s="17">
        <f>GU111*VLOOKUP('Données projet'!$B$18,Paramètres!$A$1:$I$89,3,0)*VLOOKUP('Données projet'!$B$18,Paramètres!$A$1:$I$89,5,0)</f>
        <v>-1.1173142411280423E-13</v>
      </c>
      <c r="GW111" s="13" t="e">
        <f t="shared" si="105"/>
        <v>#NUM!</v>
      </c>
      <c r="GX111" s="20" t="e">
        <f t="shared" si="82"/>
        <v>#NUM!</v>
      </c>
      <c r="GY111" s="59" t="e">
        <f t="shared" si="83"/>
        <v>#NUM!</v>
      </c>
      <c r="GZ111" s="59">
        <f ca="1">AVERAGE(OFFSET($GY$3,0,0,'Données projet'!$E$18+1,1))-AVERAGE(OFFSET($H$3,0,0,'Données projet'!$E$18+1,1))</f>
        <v>262.62914256200031</v>
      </c>
      <c r="HA111" s="59">
        <f t="shared" si="106"/>
        <v>256.45129229594409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projet'!$B$18,Paramètres!$A$1:$I$89,3,0)*0.475*44/12</f>
        <v>35.33043143760807</v>
      </c>
      <c r="HH111" s="21">
        <f>EXP(-LN(2)/25)*HH110+(1-EXP(-LN(2)/25))/(LN(2)/25)*Calculateur!HC111*Calculateur!HE111*VLOOKUP('Données projet'!$B$18,Paramètres!$A$1:$I$89,3,0)*0.475*44/12</f>
        <v>0</v>
      </c>
      <c r="HI111" s="21">
        <f>EXP(-LN(2)/2)*HI110+(1-EXP(-LN(2)/2))/(LN(2)/2)*HC111*HF111*VLOOKUP('Données projet'!$B$18,Paramètres!$A$1:$I$89,3,0)*0.475*44/12</f>
        <v>0</v>
      </c>
      <c r="HJ111" s="22">
        <f t="shared" si="84"/>
        <v>35.33043143760807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2.1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7.7</v>
      </c>
      <c r="H112" s="67">
        <f t="shared" si="56"/>
        <v>225.86666666666665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68.44126396766022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6.4</v>
      </c>
      <c r="N112" s="13">
        <f>IF('Données projet'!$A$36&gt;35,N111+M112-V111,IF(A112&lt;'Données projet'!$A$36,$K$205^A112,IF(A112='Données projet'!$A$36,'Données projet'!$B$36,N111+M112-V111)))</f>
        <v>411.59999999999997</v>
      </c>
      <c r="O112" s="13">
        <f>N112*VLOOKUP('Données projet'!$B$9,Paramètres!$A$1:$I$89,3,0)*VLOOKUP('Données projet'!$B$9,Paramètres!$A$1:$I$89,5,0)</f>
        <v>353.15280000000001</v>
      </c>
      <c r="P112" s="13">
        <f t="shared" si="87"/>
        <v>82.211366286790636</v>
      </c>
      <c r="Q112" s="20">
        <f t="shared" si="107"/>
        <v>758.25925628282687</v>
      </c>
      <c r="R112" s="59">
        <f t="shared" si="55"/>
        <v>1045.8772241642478</v>
      </c>
      <c r="S112" s="59">
        <f ca="1">AVERAGE(OFFSET($R$3,0,0,'Données projet'!$E$9+1,1))-AVERAGE(OFFSET($H$3,0,0,'Données projet'!$E$9+1,1))</f>
        <v>476.79071915271794</v>
      </c>
      <c r="T112" s="59">
        <f t="shared" si="88"/>
        <v>264.79929759351762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48.882172484357419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48.882172484357419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68.44126396766022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2.4</v>
      </c>
      <c r="AI112" s="13">
        <f>IF('Données projet'!$A$62&gt;35,AI111+AH112-AQ111,IF(A112&lt;'Données projet'!$A$62,$AF$205^A112,IF(A112='Données projet'!$A$62,'Données projet'!$B$62,AI111+AH112-AQ111)))</f>
        <v>282.59999999999974</v>
      </c>
      <c r="AJ112" s="13">
        <f>AI112*VLOOKUP('Données projet'!$B$10,Paramètres!$A$1:$I$89,3,0)*VLOOKUP('Données projet'!$B$10,Paramètres!$A$1:$I$89,5,0)</f>
        <v>238.0622399999998</v>
      </c>
      <c r="AK112" s="13">
        <f t="shared" si="89"/>
        <v>58.02241547461805</v>
      </c>
      <c r="AL112" s="20">
        <f t="shared" si="58"/>
        <v>515.68077495162606</v>
      </c>
      <c r="AM112" s="59">
        <f t="shared" si="59"/>
        <v>803.29874283304684</v>
      </c>
      <c r="AN112" s="59">
        <f ca="1">AVERAGE(OFFSET($AM$3,0,0,'Données projet'!$E$10+1,1))-AVERAGE(OFFSET($H$3,0,0,'Données projet'!$E$10+1,1))</f>
        <v>365.104658862176</v>
      </c>
      <c r="AO112" s="59">
        <f t="shared" si="90"/>
        <v>226.29232910286325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28.725600715683175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28.725600715683175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68.44126396766022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2.4</v>
      </c>
      <c r="BD112" s="12">
        <f>IF('Données projet'!$A$88&gt;35,BD111+BC112-BL111,IF(A112&lt;'Données projet'!$A$88,$BA$205^A112,IF(A112='Données projet'!$A$88,'Données projet'!$B$88,BD111+BC112-BL111)))</f>
        <v>282.59999999999974</v>
      </c>
      <c r="BE112" s="13">
        <f>BD112*VLOOKUP('Données projet'!$B$11,Paramètres!$A$1:$I$89,3,0)*VLOOKUP('Données projet'!$B$11,Paramètres!$A$1:$I$89,5,0)</f>
        <v>255.69647999999978</v>
      </c>
      <c r="BF112" s="13">
        <f t="shared" si="91"/>
        <v>61.80415221549498</v>
      </c>
      <c r="BG112" s="20">
        <f t="shared" si="61"/>
        <v>552.98026777532004</v>
      </c>
      <c r="BH112" s="59">
        <f t="shared" si="62"/>
        <v>840.59823565674083</v>
      </c>
      <c r="BI112" s="59">
        <f ca="1">AVERAGE(OFFSET($BH$3,0,0,'Données projet'!$E$11+1,1))-AVERAGE(OFFSET($H$3,0,0,'Données projet'!$E$11+1,1))</f>
        <v>388.12494342575195</v>
      </c>
      <c r="BJ112" s="59">
        <f t="shared" si="92"/>
        <v>239.39471445648454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30.853422990918965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30.853422990918965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68.44126396766022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2.4</v>
      </c>
      <c r="BY112" s="12">
        <f>IF('Données projet'!$A$114&gt;35,BY111+BX112-CG111,IF(A112&lt;'Données projet'!$A$114,$BV$205^A112,IF(A112='Données projet'!$A$114,'Données projet'!$B$114,BY111+BX112-CG111)))</f>
        <v>282.59999999999974</v>
      </c>
      <c r="BZ112" s="13">
        <f>BY112*VLOOKUP('Données projet'!$B$12,Paramètres!$A$1:$I$89,3,0)*VLOOKUP('Données projet'!$B$12,Paramètres!$A$1:$I$89,5,0)</f>
        <v>286.55639999999971</v>
      </c>
      <c r="CA112" s="13">
        <f t="shared" si="93"/>
        <v>68.350692700046267</v>
      </c>
      <c r="CB112" s="20">
        <f t="shared" si="64"/>
        <v>618.12985311924672</v>
      </c>
      <c r="CC112" s="59">
        <f t="shared" si="65"/>
        <v>905.7478210006675</v>
      </c>
      <c r="CD112" s="59">
        <f ca="1">AVERAGE(OFFSET($CC$3,0,0,'Données projet'!$E$12+1,1))-AVERAGE(OFFSET($H$3,0,0,'Données projet'!$E$12+1,1))</f>
        <v>428.33148932885132</v>
      </c>
      <c r="CE112" s="59">
        <f t="shared" si="94"/>
        <v>262.27548054534373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34.577111972581598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34.577111972581598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68.44126396766022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3</v>
      </c>
      <c r="CT112" s="12">
        <f>IF('Données projet'!$A$140&gt;35,CT111+CS112-DB111,IF(A112&lt;'Données projet'!$A$140,$CQ$205^A112,IF(A112='Données projet'!$A$140,'Données projet'!$B$140,CT111+CS112-DB111)))</f>
        <v>215.99999999999991</v>
      </c>
      <c r="CU112" s="17">
        <f>CT112*VLOOKUP('Données projet'!$B$13,Paramètres!$A$1:$I$89,3,0)*VLOOKUP('Données projet'!$B$13,Paramètres!$A$1:$I$89,5,0)</f>
        <v>205.54559999999989</v>
      </c>
      <c r="CV112" s="13">
        <f t="shared" si="95"/>
        <v>50.960975968608096</v>
      </c>
      <c r="CW112" s="20">
        <f t="shared" si="67"/>
        <v>446.74895314532552</v>
      </c>
      <c r="CX112" s="59">
        <f t="shared" si="68"/>
        <v>734.36692102674635</v>
      </c>
      <c r="CY112" s="59">
        <f ca="1">AVERAGE(OFFSET($CX$3,0,0,'Données projet'!$E$13+1,1))-AVERAGE(OFFSET($H$3,0,0,'Données projet'!$E$13+1,1))</f>
        <v>307.62549820830162</v>
      </c>
      <c r="CZ112" s="59">
        <f t="shared" si="96"/>
        <v>160.26466014910304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24.20758864616538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24.20758864616538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68.44126396766022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-1.7053025658242404E-13</v>
      </c>
      <c r="DP112" s="17">
        <f>DO112*VLOOKUP('Données projet'!$B$14,Paramètres!$A$1:$I$89,3,0)*VLOOKUP('Données projet'!$B$14,Paramètres!$A$1:$I$89,5,0)</f>
        <v>-1.3567387213697657E-13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309.14579005132464</v>
      </c>
      <c r="DU112" s="59">
        <f t="shared" si="98"/>
        <v>300.60311050289533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51.841359679606782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51.841359679606782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68.44126396766022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>
        <f>EJ112*VLOOKUP('Données projet'!$B$15,Paramètres!$A$1:$I$89,3,0)*VLOOKUP('Données projet'!$B$15,Paramètres!$A$1:$I$89,5,0)</f>
        <v>0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338.59243085476896</v>
      </c>
      <c r="EP112" s="59">
        <f t="shared" si="100"/>
        <v>329.8393445823275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48.030294603432935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48.030294603432935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68.44126396766022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>
        <f>FE112*VLOOKUP('Données projet'!$B$16,Paramètres!$A$1:$I$89,3,0)*VLOOKUP('Données projet'!$B$16,Paramètres!$A$1:$I$89,5,0)</f>
        <v>0</v>
      </c>
      <c r="FG112" s="13" t="e">
        <f t="shared" si="101"/>
        <v>#NUM!</v>
      </c>
      <c r="FH112" s="20" t="e">
        <f t="shared" si="76"/>
        <v>#NUM!</v>
      </c>
      <c r="FI112" s="59" t="e">
        <f t="shared" si="77"/>
        <v>#NUM!</v>
      </c>
      <c r="FJ112" s="59">
        <f ca="1">AVERAGE(OFFSET($FI$3,0,0,'Données projet'!$E$16+1,1))-AVERAGE(OFFSET($H$3,0,0,'Données projet'!$E$16+1,1))</f>
        <v>307.50573770128085</v>
      </c>
      <c r="FK112" s="59">
        <f t="shared" si="102"/>
        <v>300.2007312562655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42.920688794557087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42.920688794557087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68.44126396766022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>
        <f>FZ112*VLOOKUP('Données projet'!$B$17,Paramètres!$A$1:$I$89,3,0)*VLOOKUP('Données projet'!$B$17,Paramètres!$A$1:$I$89,5,0)</f>
        <v>0</v>
      </c>
      <c r="GB112" s="13" t="e">
        <f t="shared" si="103"/>
        <v>#NUM!</v>
      </c>
      <c r="GC112" s="20" t="e">
        <f t="shared" si="79"/>
        <v>#NUM!</v>
      </c>
      <c r="GD112" s="59" t="e">
        <f t="shared" si="80"/>
        <v>#NUM!</v>
      </c>
      <c r="GE112" s="59">
        <f ca="1">AVERAGE(OFFSET($GD$3,0,0,'Données projet'!$E$17+1,1))-AVERAGE(OFFSET($H$3,0,0,'Données projet'!$E$17+1,1))</f>
        <v>369.60865427618342</v>
      </c>
      <c r="GF112" s="59">
        <f t="shared" si="104"/>
        <v>359.40898775279197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53.139900412308783</v>
      </c>
      <c r="GM112" s="21">
        <f>EXP(-LN(2)/25)*GM111+(1-EXP(-LN(2)/25))/(LN(2)/25)*Calculateur!GH112*Calculateur!GJ112*VLOOKUP('Données projet'!$B$17,Paramètres!$A$1:$I$89,3,0)*0.475*44/12</f>
        <v>0</v>
      </c>
      <c r="GN112" s="21">
        <f>EXP(-LN(2)/2)*GN111+(1-EXP(-LN(2)/2))/(LN(2)/2)*GH112*GK112*VLOOKUP('Données projet'!$B$17,Paramètres!$A$1:$I$89,3,0)*0.475*44/12</f>
        <v>0</v>
      </c>
      <c r="GO112" s="21">
        <f t="shared" si="81"/>
        <v>53.139900412308783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68.44126396766022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-1.7053025658242404E-13</v>
      </c>
      <c r="GV112" s="17">
        <f>GU112*VLOOKUP('Données projet'!$B$18,Paramètres!$A$1:$I$89,3,0)*VLOOKUP('Données projet'!$B$18,Paramètres!$A$1:$I$89,5,0)</f>
        <v>-1.1173142411280423E-13</v>
      </c>
      <c r="GW112" s="13" t="e">
        <f t="shared" si="105"/>
        <v>#NUM!</v>
      </c>
      <c r="GX112" s="20" t="e">
        <f t="shared" si="82"/>
        <v>#NUM!</v>
      </c>
      <c r="GY112" s="59" t="e">
        <f t="shared" si="83"/>
        <v>#NUM!</v>
      </c>
      <c r="GZ112" s="59">
        <f ca="1">AVERAGE(OFFSET($GY$3,0,0,'Données projet'!$E$18+1,1))-AVERAGE(OFFSET($H$3,0,0,'Données projet'!$E$18+1,1))</f>
        <v>262.62914256200031</v>
      </c>
      <c r="HA112" s="59">
        <f t="shared" si="106"/>
        <v>256.45129229594409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projet'!$B$18,Paramètres!$A$1:$I$89,3,0)*0.475*44/12</f>
        <v>34.637623226551923</v>
      </c>
      <c r="HH112" s="21">
        <f>EXP(-LN(2)/25)*HH111+(1-EXP(-LN(2)/25))/(LN(2)/25)*Calculateur!HC112*Calculateur!HE112*VLOOKUP('Données projet'!$B$18,Paramètres!$A$1:$I$89,3,0)*0.475*44/12</f>
        <v>0</v>
      </c>
      <c r="HI112" s="21">
        <f>EXP(-LN(2)/2)*HI111+(1-EXP(-LN(2)/2))/(LN(2)/2)*HC112*HF112*VLOOKUP('Données projet'!$B$18,Paramètres!$A$1:$I$89,3,0)*0.475*44/12</f>
        <v>0</v>
      </c>
      <c r="HJ112" s="22">
        <f t="shared" si="84"/>
        <v>34.637623226551923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2.1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7.7</v>
      </c>
      <c r="H113" s="67">
        <f t="shared" si="56"/>
        <v>225.86666666666665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68.468304553009602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418</v>
      </c>
      <c r="L113" s="12">
        <f>VLOOKUP(A113,'Données projet'!$A$35:$I$55,9,0)</f>
        <v>6.4</v>
      </c>
      <c r="M113" s="12">
        <f t="array" ref="M113">INDEX(L:L,MIN(IF(ISNUMBER(L113:L309),ROW(L113:L309),"")))</f>
        <v>6.4</v>
      </c>
      <c r="N113" s="13">
        <f>IF('Données projet'!$A$36&gt;35,N112+M113-V112,IF(A113&lt;'Données projet'!$A$36,$K$205^A113,IF(A113='Données projet'!$A$36,'Données projet'!$B$36,N112+M113-V112)))</f>
        <v>417.99999999999994</v>
      </c>
      <c r="O113" s="13">
        <f>N113*VLOOKUP('Données projet'!$B$9,Paramètres!$A$1:$I$89,3,0)*VLOOKUP('Données projet'!$B$9,Paramètres!$A$1:$I$89,5,0)</f>
        <v>358.64399999999995</v>
      </c>
      <c r="P113" s="13">
        <f t="shared" si="87"/>
        <v>83.339865454638698</v>
      </c>
      <c r="Q113" s="20">
        <f t="shared" si="107"/>
        <v>769.78856566682896</v>
      </c>
      <c r="R113" s="59">
        <f t="shared" si="55"/>
        <v>1057.5056823611976</v>
      </c>
      <c r="S113" s="59">
        <f ca="1">AVERAGE(OFFSET($R$3,0,0,'Données projet'!$E$9+1,1))-AVERAGE(OFFSET($H$3,0,0,'Données projet'!$E$9+1,1))</f>
        <v>476.79071915271794</v>
      </c>
      <c r="T113" s="59">
        <f t="shared" si="88"/>
        <v>264.79929759351762</v>
      </c>
      <c r="U113" s="15">
        <f>IF(ISNA(VLOOKUP(A113,'Données projet'!$A$35:$I$55,3,0)),0,VLOOKUP(A113,'Données projet'!$A$35:$I$55,3,0))</f>
        <v>19</v>
      </c>
      <c r="V113" s="15">
        <f>IF(ISNA(VLOOKUP(A113,'Données projet'!$A$35:$I$55,4,0)),0,VLOOKUP(A113,'Données projet'!$A$35:$I$55,4,0))</f>
        <v>22</v>
      </c>
      <c r="W113" s="16">
        <f>IF(ISNA(VLOOKUP(A113,'Données projet'!$A$35:$I$55,5,0)),0%,VLOOKUP(A113,'Données projet'!$A$35:$I$55,5,0)*VLOOKUP('Données projet'!$B$9,Paramètres!$A$1:$I$89,7,0))</f>
        <v>0.42400000000000004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56.771171063963507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56.771171063963507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68.468304553009602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285</v>
      </c>
      <c r="AG113" s="12">
        <f>VLOOKUP(A113,'Données projet'!$A$61:$I$81,9,0)</f>
        <v>2.4</v>
      </c>
      <c r="AH113" s="12">
        <f t="array" ref="AH113">INDEX(AG:AG,MIN(IF(ISNUMBER(AG113:AG309),ROW(AG113:AG309),"")))</f>
        <v>2.4</v>
      </c>
      <c r="AI113" s="13">
        <f>IF('Données projet'!$A$62&gt;35,AI112+AH113-AQ112,IF(A113&lt;'Données projet'!$A$62,$AF$205^A113,IF(A113='Données projet'!$A$62,'Données projet'!$B$62,AI112+AH113-AQ112)))</f>
        <v>284.99999999999972</v>
      </c>
      <c r="AJ113" s="13">
        <f>AI113*VLOOKUP('Données projet'!$B$10,Paramètres!$A$1:$I$89,3,0)*VLOOKUP('Données projet'!$B$10,Paramètres!$A$1:$I$89,5,0)</f>
        <v>240.0839999999998</v>
      </c>
      <c r="AK113" s="13">
        <f t="shared" si="89"/>
        <v>58.457603123312154</v>
      </c>
      <c r="AL113" s="20">
        <f t="shared" si="58"/>
        <v>519.95995877310168</v>
      </c>
      <c r="AM113" s="59">
        <f t="shared" si="59"/>
        <v>807.67707546747022</v>
      </c>
      <c r="AN113" s="59">
        <f ca="1">AVERAGE(OFFSET($AM$3,0,0,'Données projet'!$E$10+1,1))-AVERAGE(OFFSET($H$3,0,0,'Données projet'!$E$10+1,1))</f>
        <v>365.104658862176</v>
      </c>
      <c r="AO113" s="59">
        <f t="shared" si="90"/>
        <v>226.29232910286325</v>
      </c>
      <c r="AP113" s="15">
        <f>IF(ISNA(VLOOKUP(A113,'Données projet'!$A$61:$I$81,3,0)),0,VLOOKUP(A113,'Données projet'!$A$61:$I$81,3,0))</f>
        <v>19</v>
      </c>
      <c r="AQ113" s="15">
        <f>IF(ISNA(VLOOKUP(A113,'Données projet'!$A$61:$I$81,4,0)),0,VLOOKUP(A113,'Données projet'!$A$61:$I$81,4,0))</f>
        <v>39</v>
      </c>
      <c r="AR113" s="16">
        <f>IF(ISNA(VLOOKUP(A113,'Données projet'!$A$61:$I$81,5,0)),0%,VLOOKUP(A113,'Données projet'!$A$61:$I$81,5,0)*VLOOKUP('Données projet'!$B$10,Paramètres!$A$1:$I$89,7,0))</f>
        <v>0.34400000000000003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40.655935697927184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40.655935697927184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68.468304553009602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285</v>
      </c>
      <c r="BB113" s="12">
        <f>VLOOKUP(A113,'Données projet'!$A$87:$I$107,9,0)</f>
        <v>2.4</v>
      </c>
      <c r="BC113" s="12">
        <f t="array" ref="BC113">INDEX(BB:BB,MIN(IF(ISNUMBER(BB113:BB309),ROW(BB113:BB309),"")))</f>
        <v>2.4</v>
      </c>
      <c r="BD113" s="12">
        <f>IF('Données projet'!$A$88&gt;35,BD112+BC113-BL112,IF(A113&lt;'Données projet'!$A$88,$BA$205^A113,IF(A113='Données projet'!$A$88,'Données projet'!$B$88,BD112+BC113-BL112)))</f>
        <v>284.99999999999972</v>
      </c>
      <c r="BE113" s="13">
        <f>BD113*VLOOKUP('Données projet'!$B$11,Paramètres!$A$1:$I$89,3,0)*VLOOKUP('Données projet'!$B$11,Paramètres!$A$1:$I$89,5,0)</f>
        <v>257.86799999999971</v>
      </c>
      <c r="BF113" s="13">
        <f t="shared" si="91"/>
        <v>62.267704162827471</v>
      </c>
      <c r="BG113" s="20">
        <f t="shared" si="61"/>
        <v>557.56968475025735</v>
      </c>
      <c r="BH113" s="59">
        <f t="shared" si="62"/>
        <v>845.28680144462589</v>
      </c>
      <c r="BI113" s="59">
        <f ca="1">AVERAGE(OFFSET($BH$3,0,0,'Données projet'!$E$11+1,1))-AVERAGE(OFFSET($H$3,0,0,'Données projet'!$E$11+1,1))</f>
        <v>388.12494342575195</v>
      </c>
      <c r="BJ113" s="59">
        <f t="shared" si="92"/>
        <v>239.39471445648454</v>
      </c>
      <c r="BK113" s="15">
        <f>IF(ISNA(VLOOKUP(A113,'Données projet'!$A$87:$I$107,3,0)),0,VLOOKUP(A113,'Données projet'!$A$87:$I$107,3,0))</f>
        <v>19</v>
      </c>
      <c r="BL113" s="15">
        <f>IF(ISNA(VLOOKUP(A113,'Données projet'!$A$87:$I$107,4,0)),0,VLOOKUP(A113,'Données projet'!$A$87:$I$107,4,0))</f>
        <v>39</v>
      </c>
      <c r="BM113" s="16">
        <f>IF(ISNA(VLOOKUP(A113,'Données projet'!$A$87:$I$107,5,0)),0%,VLOOKUP(A113,'Données projet'!$A$87:$I$107,5,0)*VLOOKUP('Données projet'!$B$11,Paramètres!$A$1:$I$89,7,0))</f>
        <v>0.34400000000000003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43.667486490366237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43.667486490366237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68.468304553009602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285</v>
      </c>
      <c r="BW113" s="12">
        <f>VLOOKUP(A113,'Données projet'!$A$113:$I$133,9,0)</f>
        <v>2.4</v>
      </c>
      <c r="BX113" s="12">
        <f t="array" ref="BX113">INDEX(BW:BW,MIN(IF(ISNUMBER(BW113:BW309),ROW(BW113:BW309),"")))</f>
        <v>2.4</v>
      </c>
      <c r="BY113" s="12">
        <f>IF('Données projet'!$A$114&gt;35,BY112+BX113-CG112,IF(A113&lt;'Données projet'!$A$114,$BV$205^A113,IF(A113='Données projet'!$A$114,'Données projet'!$B$114,BY112+BX113-CG112)))</f>
        <v>284.99999999999972</v>
      </c>
      <c r="BZ113" s="13">
        <f>BY113*VLOOKUP('Données projet'!$B$12,Paramètres!$A$1:$I$89,3,0)*VLOOKUP('Données projet'!$B$12,Paramètres!$A$1:$I$89,5,0)</f>
        <v>288.98999999999972</v>
      </c>
      <c r="CA113" s="13">
        <f t="shared" si="93"/>
        <v>68.863345904836791</v>
      </c>
      <c r="CB113" s="20">
        <f t="shared" si="64"/>
        <v>623.26124411759019</v>
      </c>
      <c r="CC113" s="59">
        <f t="shared" si="65"/>
        <v>910.97836081195874</v>
      </c>
      <c r="CD113" s="59">
        <f ca="1">AVERAGE(OFFSET($CC$3,0,0,'Données projet'!$E$12+1,1))-AVERAGE(OFFSET($H$3,0,0,'Données projet'!$E$12+1,1))</f>
        <v>428.33148932885132</v>
      </c>
      <c r="CE113" s="59">
        <f t="shared" si="94"/>
        <v>262.27548054534373</v>
      </c>
      <c r="CF113" s="15">
        <f>IF(ISNA(VLOOKUP(A113,'Données projet'!$A$113:$I$133,3,0)),0,VLOOKUP(A113,'Données projet'!$A$113:$I$133,3,0))</f>
        <v>19</v>
      </c>
      <c r="CG113" s="15">
        <f>IF(ISNA(VLOOKUP(A113,'Données projet'!$A$113:$I$133,4,0)),0,VLOOKUP(A113,'Données projet'!$A$113:$I$133,4,0))</f>
        <v>39</v>
      </c>
      <c r="CH113" s="16">
        <f>IF(ISNA(VLOOKUP(A113,'Données projet'!$A$113:$I$133,5,0)),0%,VLOOKUP(A113,'Données projet'!$A$113:$I$133,5,0)*VLOOKUP('Données projet'!$B$12,Paramètres!$A$1:$I$89,7,0))</f>
        <v>0.34400000000000003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48.937700377134576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48.937700377134576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68.468304553009602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>
        <f>VLOOKUP(A113,'Données projet'!$A$139:$I$159,2,0)</f>
        <v>219</v>
      </c>
      <c r="CR113" s="12">
        <f>VLOOKUP(A113,'Données projet'!$A$139:$I$159,9,0)</f>
        <v>3</v>
      </c>
      <c r="CS113" s="12">
        <f t="array" ref="CS113">INDEX(CR:CR,MIN(IF(ISNUMBER(CR113:CR309),ROW(CR113:CR309),"")))</f>
        <v>3</v>
      </c>
      <c r="CT113" s="12">
        <f>IF('Données projet'!$A$140&gt;35,CT112+CS113-DB112,IF(A113&lt;'Données projet'!$A$140,$CQ$205^A113,IF(A113='Données projet'!$A$140,'Données projet'!$B$140,CT112+CS113-DB112)))</f>
        <v>218.99999999999991</v>
      </c>
      <c r="CU113" s="17">
        <f>CT113*VLOOKUP('Données projet'!$B$13,Paramètres!$A$1:$I$89,3,0)*VLOOKUP('Données projet'!$B$13,Paramètres!$A$1:$I$89,5,0)</f>
        <v>208.40039999999993</v>
      </c>
      <c r="CV113" s="13">
        <f t="shared" si="95"/>
        <v>51.585877448947201</v>
      </c>
      <c r="CW113" s="20">
        <f t="shared" si="67"/>
        <v>452.80943322358286</v>
      </c>
      <c r="CX113" s="59">
        <f t="shared" si="68"/>
        <v>740.52654991795134</v>
      </c>
      <c r="CY113" s="59">
        <f ca="1">AVERAGE(OFFSET($CX$3,0,0,'Données projet'!$E$13+1,1))-AVERAGE(OFFSET($H$3,0,0,'Données projet'!$E$13+1,1))</f>
        <v>307.62549820830162</v>
      </c>
      <c r="CZ113" s="59">
        <f t="shared" si="96"/>
        <v>160.26466014910304</v>
      </c>
      <c r="DA113" s="15">
        <f>IF(ISNA(VLOOKUP(A113,'Données projet'!$A$139:$I$159,3,0)),0,VLOOKUP(A113,'Données projet'!$A$139:$I$159,3,0))</f>
        <v>18</v>
      </c>
      <c r="DB113" s="15">
        <f>IF(ISNA(VLOOKUP(A113,'Données projet'!$A$139:$I$159,4,0)),0,VLOOKUP(A113,'Données projet'!$A$139:$I$159,4,0))</f>
        <v>13</v>
      </c>
      <c r="DC113" s="16">
        <f>IF(ISNA(VLOOKUP(A113,'Données projet'!$A$139:$I$159,5,0)),0%,VLOOKUP(A113,'Données projet'!$A$139:$I$159,5,0)*VLOOKUP('Données projet'!$B$13,Paramètres!$A$1:$I$89,7,0))</f>
        <v>0.30099999999999999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27.849234042294206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27.849234042294206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68.468304553009602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-1.7053025658242404E-13</v>
      </c>
      <c r="DP113" s="17">
        <f>DO113*VLOOKUP('Données projet'!$B$14,Paramètres!$A$1:$I$89,3,0)*VLOOKUP('Données projet'!$B$14,Paramètres!$A$1:$I$89,5,0)</f>
        <v>-1.3567387213697657E-13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309.14579005132464</v>
      </c>
      <c r="DU113" s="59">
        <f t="shared" si="98"/>
        <v>300.60311050289533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50.824782236396871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50.824782236396871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68.468304553009602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>
        <f>EJ113*VLOOKUP('Données projet'!$B$15,Paramètres!$A$1:$I$89,3,0)*VLOOKUP('Données projet'!$B$15,Paramètres!$A$1:$I$89,5,0)</f>
        <v>0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338.59243085476896</v>
      </c>
      <c r="EP113" s="59">
        <f t="shared" si="100"/>
        <v>329.8393445823275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47.088449821846623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47.088449821846623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68.468304553009602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>
        <f>FE113*VLOOKUP('Données projet'!$B$16,Paramètres!$A$1:$I$89,3,0)*VLOOKUP('Données projet'!$B$16,Paramètres!$A$1:$I$89,5,0)</f>
        <v>0</v>
      </c>
      <c r="FG113" s="13" t="e">
        <f t="shared" si="101"/>
        <v>#NUM!</v>
      </c>
      <c r="FH113" s="20" t="e">
        <f t="shared" si="76"/>
        <v>#NUM!</v>
      </c>
      <c r="FI113" s="59" t="e">
        <f t="shared" si="77"/>
        <v>#NUM!</v>
      </c>
      <c r="FJ113" s="59">
        <f ca="1">AVERAGE(OFFSET($FI$3,0,0,'Données projet'!$E$16+1,1))-AVERAGE(OFFSET($H$3,0,0,'Données projet'!$E$16+1,1))</f>
        <v>307.50573770128085</v>
      </c>
      <c r="FK113" s="59">
        <f t="shared" si="102"/>
        <v>300.2007312562655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42.07904026633102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42.07904026633102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68.468304553009602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>
        <f>FZ113*VLOOKUP('Données projet'!$B$17,Paramètres!$A$1:$I$89,3,0)*VLOOKUP('Données projet'!$B$17,Paramètres!$A$1:$I$89,5,0)</f>
        <v>0</v>
      </c>
      <c r="GB113" s="13" t="e">
        <f t="shared" si="103"/>
        <v>#NUM!</v>
      </c>
      <c r="GC113" s="20" t="e">
        <f t="shared" si="79"/>
        <v>#NUM!</v>
      </c>
      <c r="GD113" s="59" t="e">
        <f t="shared" si="80"/>
        <v>#NUM!</v>
      </c>
      <c r="GE113" s="59">
        <f ca="1">AVERAGE(OFFSET($GD$3,0,0,'Données projet'!$E$17+1,1))-AVERAGE(OFFSET($H$3,0,0,'Données projet'!$E$17+1,1))</f>
        <v>369.60865427618342</v>
      </c>
      <c r="GF113" s="59">
        <f t="shared" si="104"/>
        <v>359.40898775279197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52.097859377362226</v>
      </c>
      <c r="GM113" s="21">
        <f>EXP(-LN(2)/25)*GM112+(1-EXP(-LN(2)/25))/(LN(2)/25)*Calculateur!GH113*Calculateur!GJ113*VLOOKUP('Données projet'!$B$17,Paramètres!$A$1:$I$89,3,0)*0.475*44/12</f>
        <v>0</v>
      </c>
      <c r="GN113" s="21">
        <f>EXP(-LN(2)/2)*GN112+(1-EXP(-LN(2)/2))/(LN(2)/2)*GH113*GK113*VLOOKUP('Données projet'!$B$17,Paramètres!$A$1:$I$89,3,0)*0.475*44/12</f>
        <v>0</v>
      </c>
      <c r="GO113" s="21">
        <f t="shared" si="81"/>
        <v>52.097859377362226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68.468304553009602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-1.7053025658242404E-13</v>
      </c>
      <c r="GV113" s="17">
        <f>GU113*VLOOKUP('Données projet'!$B$18,Paramètres!$A$1:$I$89,3,0)*VLOOKUP('Données projet'!$B$18,Paramètres!$A$1:$I$89,5,0)</f>
        <v>-1.1173142411280423E-13</v>
      </c>
      <c r="GW113" s="13" t="e">
        <f t="shared" si="105"/>
        <v>#NUM!</v>
      </c>
      <c r="GX113" s="20" t="e">
        <f t="shared" si="82"/>
        <v>#NUM!</v>
      </c>
      <c r="GY113" s="59" t="e">
        <f t="shared" si="83"/>
        <v>#NUM!</v>
      </c>
      <c r="GZ113" s="59">
        <f ca="1">AVERAGE(OFFSET($GY$3,0,0,'Données projet'!$E$18+1,1))-AVERAGE(OFFSET($H$3,0,0,'Données projet'!$E$18+1,1))</f>
        <v>262.62914256200031</v>
      </c>
      <c r="HA113" s="59">
        <f t="shared" si="106"/>
        <v>256.45129229594409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projet'!$B$18,Paramètres!$A$1:$I$89,3,0)*0.475*44/12</f>
        <v>33.958400561943307</v>
      </c>
      <c r="HH113" s="21">
        <f>EXP(-LN(2)/25)*HH112+(1-EXP(-LN(2)/25))/(LN(2)/25)*Calculateur!HC113*Calculateur!HE113*VLOOKUP('Données projet'!$B$18,Paramètres!$A$1:$I$89,3,0)*0.475*44/12</f>
        <v>0</v>
      </c>
      <c r="HI113" s="21">
        <f>EXP(-LN(2)/2)*HI112+(1-EXP(-LN(2)/2))/(LN(2)/2)*HC113*HF113*VLOOKUP('Données projet'!$B$18,Paramètres!$A$1:$I$89,3,0)*0.475*44/12</f>
        <v>0</v>
      </c>
      <c r="HJ113" s="22">
        <f t="shared" si="84"/>
        <v>33.958400561943307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2.1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7.7</v>
      </c>
      <c r="H114" s="67">
        <f t="shared" si="56"/>
        <v>225.86666666666665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68.494876044656877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6</v>
      </c>
      <c r="N114" s="13">
        <f>IF('Données projet'!$A$36&gt;35,N113+M114-V113,IF(A114&lt;'Données projet'!$A$36,$K$205^A114,IF(A114='Données projet'!$A$36,'Données projet'!$B$36,N113+M114-V113)))</f>
        <v>401.99999999999994</v>
      </c>
      <c r="O114" s="13">
        <f>N114*VLOOKUP('Données projet'!$B$9,Paramètres!$A$1:$I$89,3,0)*VLOOKUP('Données projet'!$B$9,Paramètres!$A$1:$I$89,5,0)</f>
        <v>344.916</v>
      </c>
      <c r="P114" s="13">
        <f t="shared" si="87"/>
        <v>80.514773015069281</v>
      </c>
      <c r="Q114" s="20">
        <f t="shared" si="107"/>
        <v>740.95859633457894</v>
      </c>
      <c r="R114" s="59">
        <f t="shared" si="55"/>
        <v>1028.7731418316541</v>
      </c>
      <c r="S114" s="59">
        <f ca="1">AVERAGE(OFFSET($R$3,0,0,'Données projet'!$E$9+1,1))-AVERAGE(OFFSET($H$3,0,0,'Données projet'!$E$9+1,1))</f>
        <v>476.79071915271794</v>
      </c>
      <c r="T114" s="59">
        <f t="shared" si="88"/>
        <v>264.79929759351762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55.6579230263944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55.6579230263944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68.494876044656877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7.8</v>
      </c>
      <c r="AI114" s="13">
        <f>IF('Données projet'!$A$62&gt;35,AI113+AH114-AQ113,IF(A114&lt;'Données projet'!$A$62,$AF$205^A114,IF(A114='Données projet'!$A$62,'Données projet'!$B$62,AI113+AH114-AQ113)))</f>
        <v>253.79999999999973</v>
      </c>
      <c r="AJ114" s="13">
        <f>AI114*VLOOKUP('Données projet'!$B$10,Paramètres!$A$1:$I$89,3,0)*VLOOKUP('Données projet'!$B$10,Paramètres!$A$1:$I$89,5,0)</f>
        <v>213.80111999999977</v>
      </c>
      <c r="AK114" s="13">
        <f t="shared" si="89"/>
        <v>52.765356850602828</v>
      </c>
      <c r="AL114" s="20">
        <f t="shared" si="58"/>
        <v>464.26994718146619</v>
      </c>
      <c r="AM114" s="59">
        <f t="shared" si="59"/>
        <v>752.08449267854144</v>
      </c>
      <c r="AN114" s="59">
        <f ca="1">AVERAGE(OFFSET($AM$3,0,0,'Données projet'!$E$10+1,1))-AVERAGE(OFFSET($H$3,0,0,'Données projet'!$E$10+1,1))</f>
        <v>365.104658862176</v>
      </c>
      <c r="AO114" s="59">
        <f t="shared" si="90"/>
        <v>226.29232910286325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39.85869759656304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39.85869759656304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68.494876044656877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7.8</v>
      </c>
      <c r="BD114" s="12">
        <f>IF('Données projet'!$A$88&gt;35,BD113+BC114-BL113,IF(A114&lt;'Données projet'!$A$88,$BA$205^A114,IF(A114='Données projet'!$A$88,'Données projet'!$B$88,BD113+BC114-BL113)))</f>
        <v>253.79999999999973</v>
      </c>
      <c r="BE114" s="13">
        <f>BD114*VLOOKUP('Données projet'!$B$11,Paramètres!$A$1:$I$89,3,0)*VLOOKUP('Données projet'!$B$11,Paramètres!$A$1:$I$89,5,0)</f>
        <v>229.63823999999974</v>
      </c>
      <c r="BF114" s="13">
        <f t="shared" si="91"/>
        <v>56.204453396569583</v>
      </c>
      <c r="BG114" s="20">
        <f t="shared" si="61"/>
        <v>497.8426909990248</v>
      </c>
      <c r="BH114" s="59">
        <f t="shared" si="62"/>
        <v>785.65723649610004</v>
      </c>
      <c r="BI114" s="59">
        <f ca="1">AVERAGE(OFFSET($BH$3,0,0,'Données projet'!$E$11+1,1))-AVERAGE(OFFSET($H$3,0,0,'Données projet'!$E$11+1,1))</f>
        <v>388.12494342575195</v>
      </c>
      <c r="BJ114" s="59">
        <f t="shared" si="92"/>
        <v>239.39471445648454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42.81119371482697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42.81119371482697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68.494876044656877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7.8</v>
      </c>
      <c r="BY114" s="12">
        <f>IF('Données projet'!$A$114&gt;35,BY113+BX114-CG113,IF(A114&lt;'Données projet'!$A$114,$BV$205^A114,IF(A114='Données projet'!$A$114,'Données projet'!$B$114,BY113+BX114-CG113)))</f>
        <v>253.79999999999973</v>
      </c>
      <c r="BZ114" s="13">
        <f>BY114*VLOOKUP('Données projet'!$B$12,Paramètres!$A$1:$I$89,3,0)*VLOOKUP('Données projet'!$B$12,Paramètres!$A$1:$I$89,5,0)</f>
        <v>257.35319999999973</v>
      </c>
      <c r="CA114" s="13">
        <f t="shared" si="93"/>
        <v>62.157851613080908</v>
      </c>
      <c r="CB114" s="20">
        <f t="shared" si="64"/>
        <v>556.48174822611543</v>
      </c>
      <c r="CC114" s="59">
        <f t="shared" si="65"/>
        <v>844.29629372319073</v>
      </c>
      <c r="CD114" s="59">
        <f ca="1">AVERAGE(OFFSET($CC$3,0,0,'Données projet'!$E$12+1,1))-AVERAGE(OFFSET($H$3,0,0,'Données projet'!$E$12+1,1))</f>
        <v>428.33148932885132</v>
      </c>
      <c r="CE114" s="59">
        <f t="shared" si="94"/>
        <v>262.27548054534373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47.97806192178885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47.97806192178885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68.494876044656877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2.6</v>
      </c>
      <c r="CT114" s="12">
        <f>IF('Données projet'!$A$140&gt;35,CT113+CS114-DB113,IF(A114&lt;'Données projet'!$A$140,$CQ$205^A114,IF(A114='Données projet'!$A$140,'Données projet'!$B$140,CT113+CS114-DB113)))</f>
        <v>208.59999999999991</v>
      </c>
      <c r="CU114" s="17">
        <f>CT114*VLOOKUP('Données projet'!$B$13,Paramètres!$A$1:$I$89,3,0)*VLOOKUP('Données projet'!$B$13,Paramètres!$A$1:$I$89,5,0)</f>
        <v>198.50375999999991</v>
      </c>
      <c r="CV114" s="13">
        <f t="shared" si="95"/>
        <v>49.415195886134661</v>
      </c>
      <c r="CW114" s="20">
        <f t="shared" si="67"/>
        <v>431.79218150168435</v>
      </c>
      <c r="CX114" s="59">
        <f t="shared" si="68"/>
        <v>719.60672699875954</v>
      </c>
      <c r="CY114" s="59">
        <f ca="1">AVERAGE(OFFSET($CX$3,0,0,'Données projet'!$E$13+1,1))-AVERAGE(OFFSET($H$3,0,0,'Données projet'!$E$13+1,1))</f>
        <v>307.62549820830162</v>
      </c>
      <c r="CZ114" s="59">
        <f t="shared" si="96"/>
        <v>160.26466014910304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27.303127549080319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27.303127549080319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68.494876044656877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-1.7053025658242404E-13</v>
      </c>
      <c r="DP114" s="17">
        <f>DO114*VLOOKUP('Données projet'!$B$14,Paramètres!$A$1:$I$89,3,0)*VLOOKUP('Données projet'!$B$14,Paramètres!$A$1:$I$89,5,0)</f>
        <v>-1.3567387213697657E-13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309.14579005132464</v>
      </c>
      <c r="DU114" s="59">
        <f t="shared" si="98"/>
        <v>300.60311050289533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49.828139256797293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49.828139256797293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68.494876044656877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>
        <f>EJ114*VLOOKUP('Données projet'!$B$15,Paramètres!$A$1:$I$89,3,0)*VLOOKUP('Données projet'!$B$15,Paramètres!$A$1:$I$89,5,0)</f>
        <v>0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338.59243085476896</v>
      </c>
      <c r="EP114" s="59">
        <f t="shared" si="100"/>
        <v>329.8393445823275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46.165074041958626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46.165074041958626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68.494876044656877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>
        <f>FE114*VLOOKUP('Données projet'!$B$16,Paramètres!$A$1:$I$89,3,0)*VLOOKUP('Données projet'!$B$16,Paramètres!$A$1:$I$89,5,0)</f>
        <v>0</v>
      </c>
      <c r="FG114" s="13" t="e">
        <f t="shared" si="101"/>
        <v>#NUM!</v>
      </c>
      <c r="FH114" s="20" t="e">
        <f t="shared" si="76"/>
        <v>#NUM!</v>
      </c>
      <c r="FI114" s="59" t="e">
        <f t="shared" si="77"/>
        <v>#NUM!</v>
      </c>
      <c r="FJ114" s="59">
        <f ca="1">AVERAGE(OFFSET($FI$3,0,0,'Données projet'!$E$16+1,1))-AVERAGE(OFFSET($H$3,0,0,'Données projet'!$E$16+1,1))</f>
        <v>307.50573770128085</v>
      </c>
      <c r="FK114" s="59">
        <f t="shared" si="102"/>
        <v>300.2007312562655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41.253895952388554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41.253895952388554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68.494876044656877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>
        <f>FZ114*VLOOKUP('Données projet'!$B$17,Paramètres!$A$1:$I$89,3,0)*VLOOKUP('Données projet'!$B$17,Paramètres!$A$1:$I$89,5,0)</f>
        <v>0</v>
      </c>
      <c r="GB114" s="13" t="e">
        <f t="shared" si="103"/>
        <v>#NUM!</v>
      </c>
      <c r="GC114" s="20" t="e">
        <f t="shared" si="79"/>
        <v>#NUM!</v>
      </c>
      <c r="GD114" s="59" t="e">
        <f t="shared" si="80"/>
        <v>#NUM!</v>
      </c>
      <c r="GE114" s="59">
        <f ca="1">AVERAGE(OFFSET($GD$3,0,0,'Données projet'!$E$17+1,1))-AVERAGE(OFFSET($H$3,0,0,'Données projet'!$E$17+1,1))</f>
        <v>369.60865427618342</v>
      </c>
      <c r="GF114" s="59">
        <f t="shared" si="104"/>
        <v>359.40898775279197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51.076252131528697</v>
      </c>
      <c r="GM114" s="21">
        <f>EXP(-LN(2)/25)*GM113+(1-EXP(-LN(2)/25))/(LN(2)/25)*Calculateur!GH114*Calculateur!GJ114*VLOOKUP('Données projet'!$B$17,Paramètres!$A$1:$I$89,3,0)*0.475*44/12</f>
        <v>0</v>
      </c>
      <c r="GN114" s="21">
        <f>EXP(-LN(2)/2)*GN113+(1-EXP(-LN(2)/2))/(LN(2)/2)*GH114*GK114*VLOOKUP('Données projet'!$B$17,Paramètres!$A$1:$I$89,3,0)*0.475*44/12</f>
        <v>0</v>
      </c>
      <c r="GO114" s="21">
        <f t="shared" si="81"/>
        <v>51.076252131528697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68.494876044656877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-1.7053025658242404E-13</v>
      </c>
      <c r="GV114" s="17">
        <f>GU114*VLOOKUP('Données projet'!$B$18,Paramètres!$A$1:$I$89,3,0)*VLOOKUP('Données projet'!$B$18,Paramètres!$A$1:$I$89,5,0)</f>
        <v>-1.1173142411280423E-13</v>
      </c>
      <c r="GW114" s="13" t="e">
        <f t="shared" si="105"/>
        <v>#NUM!</v>
      </c>
      <c r="GX114" s="20" t="e">
        <f t="shared" si="82"/>
        <v>#NUM!</v>
      </c>
      <c r="GY114" s="59" t="e">
        <f t="shared" si="83"/>
        <v>#NUM!</v>
      </c>
      <c r="GZ114" s="59">
        <f ca="1">AVERAGE(OFFSET($GY$3,0,0,'Données projet'!$E$18+1,1))-AVERAGE(OFFSET($H$3,0,0,'Données projet'!$E$18+1,1))</f>
        <v>262.62914256200031</v>
      </c>
      <c r="HA114" s="59">
        <f t="shared" si="106"/>
        <v>256.45129229594409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projet'!$B$18,Paramètres!$A$1:$I$89,3,0)*0.475*44/12</f>
        <v>33.292497039502742</v>
      </c>
      <c r="HH114" s="21">
        <f>EXP(-LN(2)/25)*HH113+(1-EXP(-LN(2)/25))/(LN(2)/25)*Calculateur!HC114*Calculateur!HE114*VLOOKUP('Données projet'!$B$18,Paramètres!$A$1:$I$89,3,0)*0.475*44/12</f>
        <v>0</v>
      </c>
      <c r="HI114" s="21">
        <f>EXP(-LN(2)/2)*HI113+(1-EXP(-LN(2)/2))/(LN(2)/2)*HC114*HF114*VLOOKUP('Données projet'!$B$18,Paramètres!$A$1:$I$89,3,0)*0.475*44/12</f>
        <v>0</v>
      </c>
      <c r="HJ114" s="22">
        <f t="shared" si="84"/>
        <v>33.292497039502742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2.1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7.7</v>
      </c>
      <c r="H115" s="67">
        <f t="shared" si="56"/>
        <v>225.86666666666665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68.520986580329023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6</v>
      </c>
      <c r="N115" s="13">
        <f>IF('Données projet'!$A$36&gt;35,N114+M115-V114,IF(A115&lt;'Données projet'!$A$36,$K$205^A115,IF(A115='Données projet'!$A$36,'Données projet'!$B$36,N114+M115-V114)))</f>
        <v>407.99999999999994</v>
      </c>
      <c r="O115" s="13">
        <f>N115*VLOOKUP('Données projet'!$B$9,Paramètres!$A$1:$I$89,3,0)*VLOOKUP('Données projet'!$B$9,Paramètres!$A$1:$I$89,5,0)</f>
        <v>350.06399999999996</v>
      </c>
      <c r="P115" s="13">
        <f t="shared" si="87"/>
        <v>81.575689362490522</v>
      </c>
      <c r="Q115" s="20">
        <f t="shared" si="107"/>
        <v>751.77245897300418</v>
      </c>
      <c r="R115" s="59">
        <f t="shared" si="55"/>
        <v>1039.6827431008774</v>
      </c>
      <c r="S115" s="59">
        <f ca="1">AVERAGE(OFFSET($R$3,0,0,'Données projet'!$E$9+1,1))-AVERAGE(OFFSET($H$3,0,0,'Données projet'!$E$9+1,1))</f>
        <v>476.79071915271794</v>
      </c>
      <c r="T115" s="59">
        <f t="shared" si="88"/>
        <v>264.79929759351762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54.566505103827765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54.566505103827765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68.520986580329023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7.8</v>
      </c>
      <c r="AI115" s="13">
        <f>IF('Données projet'!$A$62&gt;35,AI114+AH115-AQ114,IF(A115&lt;'Données projet'!$A$62,$AF$205^A115,IF(A115='Données projet'!$A$62,'Données projet'!$B$62,AI114+AH115-AQ114)))</f>
        <v>261.59999999999974</v>
      </c>
      <c r="AJ115" s="13">
        <f>AI115*VLOOKUP('Données projet'!$B$10,Paramètres!$A$1:$I$89,3,0)*VLOOKUP('Données projet'!$B$10,Paramètres!$A$1:$I$89,5,0)</f>
        <v>220.37183999999979</v>
      </c>
      <c r="AK115" s="13">
        <f t="shared" si="89"/>
        <v>54.195695362491143</v>
      </c>
      <c r="AL115" s="20">
        <f t="shared" si="58"/>
        <v>478.2051240896717</v>
      </c>
      <c r="AM115" s="59">
        <f t="shared" si="59"/>
        <v>766.11540821754477</v>
      </c>
      <c r="AN115" s="59">
        <f ca="1">AVERAGE(OFFSET($AM$3,0,0,'Données projet'!$E$10+1,1))-AVERAGE(OFFSET($H$3,0,0,'Données projet'!$E$10+1,1))</f>
        <v>365.104658862176</v>
      </c>
      <c r="AO115" s="59">
        <f t="shared" si="90"/>
        <v>226.29232910286325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39.077092848099419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39.077092848099419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68.520986580329023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7.8</v>
      </c>
      <c r="BD115" s="12">
        <f>IF('Données projet'!$A$88&gt;35,BD114+BC115-BL114,IF(A115&lt;'Données projet'!$A$88,$BA$205^A115,IF(A115='Données projet'!$A$88,'Données projet'!$B$88,BD114+BC115-BL114)))</f>
        <v>261.59999999999974</v>
      </c>
      <c r="BE115" s="13">
        <f>BD115*VLOOKUP('Données projet'!$B$11,Paramètres!$A$1:$I$89,3,0)*VLOOKUP('Données projet'!$B$11,Paramètres!$A$1:$I$89,5,0)</f>
        <v>236.69567999999975</v>
      </c>
      <c r="BF115" s="13">
        <f t="shared" si="91"/>
        <v>57.72801732243029</v>
      </c>
      <c r="BG115" s="20">
        <f t="shared" si="61"/>
        <v>512.78793950323222</v>
      </c>
      <c r="BH115" s="59">
        <f t="shared" si="62"/>
        <v>800.69822363110529</v>
      </c>
      <c r="BI115" s="59">
        <f ca="1">AVERAGE(OFFSET($BH$3,0,0,'Données projet'!$E$11+1,1))-AVERAGE(OFFSET($H$3,0,0,'Données projet'!$E$11+1,1))</f>
        <v>388.12494342575195</v>
      </c>
      <c r="BJ115" s="59">
        <f t="shared" si="92"/>
        <v>239.39471445648454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41.971692318329012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41.971692318329012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68.520986580329023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7.8</v>
      </c>
      <c r="BY115" s="12">
        <f>IF('Données projet'!$A$114&gt;35,BY114+BX115-CG114,IF(A115&lt;'Données projet'!$A$114,$BV$205^A115,IF(A115='Données projet'!$A$114,'Données projet'!$B$114,BY114+BX115-CG114)))</f>
        <v>261.59999999999974</v>
      </c>
      <c r="BZ115" s="13">
        <f>BY115*VLOOKUP('Données projet'!$B$12,Paramètres!$A$1:$I$89,3,0)*VLOOKUP('Données projet'!$B$12,Paramètres!$A$1:$I$89,5,0)</f>
        <v>265.26239999999979</v>
      </c>
      <c r="CA115" s="13">
        <f t="shared" si="93"/>
        <v>63.842797461739757</v>
      </c>
      <c r="CB115" s="20">
        <f t="shared" si="64"/>
        <v>573.19155224586291</v>
      </c>
      <c r="CC115" s="59">
        <f t="shared" si="65"/>
        <v>861.10183637373598</v>
      </c>
      <c r="CD115" s="59">
        <f ca="1">AVERAGE(OFFSET($CC$3,0,0,'Données projet'!$E$12+1,1))-AVERAGE(OFFSET($H$3,0,0,'Données projet'!$E$12+1,1))</f>
        <v>428.33148932885132</v>
      </c>
      <c r="CE115" s="59">
        <f t="shared" si="94"/>
        <v>262.27548054534373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47.037241391230786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47.037241391230786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68.520986580329023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2.6</v>
      </c>
      <c r="CT115" s="12">
        <f>IF('Données projet'!$A$140&gt;35,CT114+CS115-DB114,IF(A115&lt;'Données projet'!$A$140,$CQ$205^A115,IF(A115='Données projet'!$A$140,'Données projet'!$B$140,CT114+CS115-DB114)))</f>
        <v>211.1999999999999</v>
      </c>
      <c r="CU115" s="17">
        <f>CT115*VLOOKUP('Données projet'!$B$13,Paramètres!$A$1:$I$89,3,0)*VLOOKUP('Données projet'!$B$13,Paramètres!$A$1:$I$89,5,0)</f>
        <v>200.9779199999999</v>
      </c>
      <c r="CV115" s="13">
        <f t="shared" si="95"/>
        <v>49.959023893680744</v>
      </c>
      <c r="CW115" s="20">
        <f t="shared" si="67"/>
        <v>437.04851061482714</v>
      </c>
      <c r="CX115" s="59">
        <f t="shared" si="68"/>
        <v>724.95879474270021</v>
      </c>
      <c r="CY115" s="59">
        <f ca="1">AVERAGE(OFFSET($CX$3,0,0,'Données projet'!$E$13+1,1))-AVERAGE(OFFSET($H$3,0,0,'Données projet'!$E$13+1,1))</f>
        <v>307.62549820830162</v>
      </c>
      <c r="CZ115" s="59">
        <f t="shared" si="96"/>
        <v>160.26466014910304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26.767729871106287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26.767729871106287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68.520986580329023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-1.7053025658242404E-13</v>
      </c>
      <c r="DP115" s="17">
        <f>DO115*VLOOKUP('Données projet'!$B$14,Paramètres!$A$1:$I$89,3,0)*VLOOKUP('Données projet'!$B$14,Paramètres!$A$1:$I$89,5,0)</f>
        <v>-1.3567387213697657E-13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309.14579005132464</v>
      </c>
      <c r="DU115" s="59">
        <f t="shared" si="98"/>
        <v>300.60311050289533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48.85103983813547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48.85103983813547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68.520986580329023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>
        <f>EJ115*VLOOKUP('Données projet'!$B$15,Paramètres!$A$1:$I$89,3,0)*VLOOKUP('Données projet'!$B$15,Paramètres!$A$1:$I$89,5,0)</f>
        <v>0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338.59243085476896</v>
      </c>
      <c r="EP115" s="59">
        <f t="shared" si="100"/>
        <v>329.8393445823275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45.259805097910622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45.259805097910622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68.520986580329023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>
        <f>FE115*VLOOKUP('Données projet'!$B$16,Paramètres!$A$1:$I$89,3,0)*VLOOKUP('Données projet'!$B$16,Paramètres!$A$1:$I$89,5,0)</f>
        <v>0</v>
      </c>
      <c r="FG115" s="13" t="e">
        <f t="shared" si="101"/>
        <v>#NUM!</v>
      </c>
      <c r="FH115" s="20" t="e">
        <f t="shared" si="76"/>
        <v>#NUM!</v>
      </c>
      <c r="FI115" s="59" t="e">
        <f t="shared" si="77"/>
        <v>#NUM!</v>
      </c>
      <c r="FJ115" s="59">
        <f ca="1">AVERAGE(OFFSET($FI$3,0,0,'Données projet'!$E$16+1,1))-AVERAGE(OFFSET($H$3,0,0,'Données projet'!$E$16+1,1))</f>
        <v>307.50573770128085</v>
      </c>
      <c r="FK115" s="59">
        <f t="shared" si="102"/>
        <v>300.2007312562655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40.444932215154168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40.444932215154168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68.520986580329023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>
        <f>FZ115*VLOOKUP('Données projet'!$B$17,Paramètres!$A$1:$I$89,3,0)*VLOOKUP('Données projet'!$B$17,Paramètres!$A$1:$I$89,5,0)</f>
        <v>0</v>
      </c>
      <c r="GB115" s="13" t="e">
        <f t="shared" si="103"/>
        <v>#NUM!</v>
      </c>
      <c r="GC115" s="20" t="e">
        <f t="shared" si="79"/>
        <v>#NUM!</v>
      </c>
      <c r="GD115" s="59" t="e">
        <f t="shared" si="80"/>
        <v>#NUM!</v>
      </c>
      <c r="GE115" s="59">
        <f ca="1">AVERAGE(OFFSET($GD$3,0,0,'Données projet'!$E$17+1,1))-AVERAGE(OFFSET($H$3,0,0,'Données projet'!$E$17+1,1))</f>
        <v>369.60865427618342</v>
      </c>
      <c r="GF115" s="59">
        <f t="shared" si="104"/>
        <v>359.40898775279197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50.074677980667076</v>
      </c>
      <c r="GM115" s="21">
        <f>EXP(-LN(2)/25)*GM114+(1-EXP(-LN(2)/25))/(LN(2)/25)*Calculateur!GH115*Calculateur!GJ115*VLOOKUP('Données projet'!$B$17,Paramètres!$A$1:$I$89,3,0)*0.475*44/12</f>
        <v>0</v>
      </c>
      <c r="GN115" s="21">
        <f>EXP(-LN(2)/2)*GN114+(1-EXP(-LN(2)/2))/(LN(2)/2)*GH115*GK115*VLOOKUP('Données projet'!$B$17,Paramètres!$A$1:$I$89,3,0)*0.475*44/12</f>
        <v>0</v>
      </c>
      <c r="GO115" s="21">
        <f t="shared" si="81"/>
        <v>50.074677980667076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68.520986580329023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-1.7053025658242404E-13</v>
      </c>
      <c r="GV115" s="17">
        <f>GU115*VLOOKUP('Données projet'!$B$18,Paramètres!$A$1:$I$89,3,0)*VLOOKUP('Données projet'!$B$18,Paramètres!$A$1:$I$89,5,0)</f>
        <v>-1.1173142411280423E-13</v>
      </c>
      <c r="GW115" s="13" t="e">
        <f t="shared" si="105"/>
        <v>#NUM!</v>
      </c>
      <c r="GX115" s="20" t="e">
        <f t="shared" si="82"/>
        <v>#NUM!</v>
      </c>
      <c r="GY115" s="59" t="e">
        <f t="shared" si="83"/>
        <v>#NUM!</v>
      </c>
      <c r="GZ115" s="59">
        <f ca="1">AVERAGE(OFFSET($GY$3,0,0,'Données projet'!$E$18+1,1))-AVERAGE(OFFSET($H$3,0,0,'Données projet'!$E$18+1,1))</f>
        <v>262.62914256200031</v>
      </c>
      <c r="HA115" s="59">
        <f t="shared" si="106"/>
        <v>256.45129229594409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projet'!$B$18,Paramètres!$A$1:$I$89,3,0)*0.475*44/12</f>
        <v>32.639651478976198</v>
      </c>
      <c r="HH115" s="21">
        <f>EXP(-LN(2)/25)*HH114+(1-EXP(-LN(2)/25))/(LN(2)/25)*Calculateur!HC115*Calculateur!HE115*VLOOKUP('Données projet'!$B$18,Paramètres!$A$1:$I$89,3,0)*0.475*44/12</f>
        <v>0</v>
      </c>
      <c r="HI115" s="21">
        <f>EXP(-LN(2)/2)*HI114+(1-EXP(-LN(2)/2))/(LN(2)/2)*HC115*HF115*VLOOKUP('Données projet'!$B$18,Paramètres!$A$1:$I$89,3,0)*0.475*44/12</f>
        <v>0</v>
      </c>
      <c r="HJ115" s="22">
        <f t="shared" si="84"/>
        <v>32.639651478976198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2.1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7.7</v>
      </c>
      <c r="H116" s="67">
        <f t="shared" si="56"/>
        <v>225.86666666666665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68.546644156581664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6</v>
      </c>
      <c r="N116" s="13">
        <f>IF('Données projet'!$A$36&gt;35,N115+M116-V115,IF(A116&lt;'Données projet'!$A$36,$K$205^A116,IF(A116='Données projet'!$A$36,'Données projet'!$B$36,N115+M116-V115)))</f>
        <v>413.99999999999994</v>
      </c>
      <c r="O116" s="13">
        <f>N116*VLOOKUP('Données projet'!$B$9,Paramètres!$A$1:$I$89,3,0)*VLOOKUP('Données projet'!$B$9,Paramètres!$A$1:$I$89,5,0)</f>
        <v>355.21199999999999</v>
      </c>
      <c r="P116" s="13">
        <f t="shared" si="87"/>
        <v>82.634791155027401</v>
      </c>
      <c r="Q116" s="20">
        <f t="shared" si="107"/>
        <v>762.58316126167267</v>
      </c>
      <c r="R116" s="59">
        <f t="shared" si="55"/>
        <v>1050.5875231691389</v>
      </c>
      <c r="S116" s="59">
        <f ca="1">AVERAGE(OFFSET($R$3,0,0,'Données projet'!$E$9+1,1))-AVERAGE(OFFSET($H$3,0,0,'Données projet'!$E$9+1,1))</f>
        <v>476.79071915271794</v>
      </c>
      <c r="T116" s="59">
        <f t="shared" si="88"/>
        <v>264.79929759351762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53.496489221023467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53.496489221023467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68.546644156581664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7.8</v>
      </c>
      <c r="AI116" s="13">
        <f>IF('Données projet'!$A$62&gt;35,AI115+AH116-AQ115,IF(A116&lt;'Données projet'!$A$62,$AF$205^A116,IF(A116='Données projet'!$A$62,'Données projet'!$B$62,AI115+AH116-AQ115)))</f>
        <v>269.39999999999975</v>
      </c>
      <c r="AJ116" s="13">
        <f>AI116*VLOOKUP('Données projet'!$B$10,Paramètres!$A$1:$I$89,3,0)*VLOOKUP('Données projet'!$B$10,Paramètres!$A$1:$I$89,5,0)</f>
        <v>226.94255999999982</v>
      </c>
      <c r="AK116" s="13">
        <f t="shared" si="89"/>
        <v>55.621077509739976</v>
      </c>
      <c r="AL116" s="20">
        <f t="shared" si="58"/>
        <v>492.13166866279676</v>
      </c>
      <c r="AM116" s="59">
        <f t="shared" si="59"/>
        <v>780.13603057026285</v>
      </c>
      <c r="AN116" s="59">
        <f ca="1">AVERAGE(OFFSET($AM$3,0,0,'Données projet'!$E$10+1,1))-AVERAGE(OFFSET($H$3,0,0,'Données projet'!$E$10+1,1))</f>
        <v>365.104658862176</v>
      </c>
      <c r="AO116" s="59">
        <f t="shared" si="90"/>
        <v>226.29232910286325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38.310814892021348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38.310814892021348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68.546644156581664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7.8</v>
      </c>
      <c r="BD116" s="12">
        <f>IF('Données projet'!$A$88&gt;35,BD115+BC116-BL115,IF(A116&lt;'Données projet'!$A$88,$BA$205^A116,IF(A116='Données projet'!$A$88,'Données projet'!$B$88,BD115+BC116-BL115)))</f>
        <v>269.39999999999975</v>
      </c>
      <c r="BE116" s="13">
        <f>BD116*VLOOKUP('Données projet'!$B$11,Paramètres!$A$1:$I$89,3,0)*VLOOKUP('Données projet'!$B$11,Paramètres!$A$1:$I$89,5,0)</f>
        <v>243.75311999999977</v>
      </c>
      <c r="BF116" s="13">
        <f t="shared" si="91"/>
        <v>59.246301841839099</v>
      </c>
      <c r="BG116" s="20">
        <f t="shared" si="61"/>
        <v>527.72399304120256</v>
      </c>
      <c r="BH116" s="59">
        <f t="shared" si="62"/>
        <v>815.72835494866865</v>
      </c>
      <c r="BI116" s="59">
        <f ca="1">AVERAGE(OFFSET($BH$3,0,0,'Données projet'!$E$11+1,1))-AVERAGE(OFFSET($H$3,0,0,'Données projet'!$E$11+1,1))</f>
        <v>388.12494342575195</v>
      </c>
      <c r="BJ116" s="59">
        <f t="shared" si="92"/>
        <v>239.39471445648454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41.148653032171083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41.148653032171083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68.546644156581664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7.8</v>
      </c>
      <c r="BY116" s="12">
        <f>IF('Données projet'!$A$114&gt;35,BY115+BX116-CG115,IF(A116&lt;'Données projet'!$A$114,$BV$205^A116,IF(A116='Données projet'!$A$114,'Données projet'!$B$114,BY115+BX116-CG115)))</f>
        <v>269.39999999999975</v>
      </c>
      <c r="BZ116" s="13">
        <f>BY116*VLOOKUP('Données projet'!$B$12,Paramètres!$A$1:$I$89,3,0)*VLOOKUP('Données projet'!$B$12,Paramètres!$A$1:$I$89,5,0)</f>
        <v>273.17159999999978</v>
      </c>
      <c r="CA116" s="13">
        <f t="shared" si="93"/>
        <v>65.521904688314265</v>
      </c>
      <c r="CB116" s="20">
        <f t="shared" si="64"/>
        <v>589.89118733214707</v>
      </c>
      <c r="CC116" s="59">
        <f t="shared" si="65"/>
        <v>877.89554923961316</v>
      </c>
      <c r="CD116" s="59">
        <f ca="1">AVERAGE(OFFSET($CC$3,0,0,'Données projet'!$E$12+1,1))-AVERAGE(OFFSET($H$3,0,0,'Données projet'!$E$12+1,1))</f>
        <v>428.33148932885132</v>
      </c>
      <c r="CE116" s="59">
        <f t="shared" si="94"/>
        <v>262.27548054534373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46.114869777433107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46.114869777433107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68.546644156581664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2.6</v>
      </c>
      <c r="CT116" s="12">
        <f>IF('Données projet'!$A$140&gt;35,CT115+CS116-DB115,IF(A116&lt;'Données projet'!$A$140,$CQ$205^A116,IF(A116='Données projet'!$A$140,'Données projet'!$B$140,CT115+CS116-DB115)))</f>
        <v>213.7999999999999</v>
      </c>
      <c r="CU116" s="17">
        <f>CT116*VLOOKUP('Données projet'!$B$13,Paramètres!$A$1:$I$89,3,0)*VLOOKUP('Données projet'!$B$13,Paramètres!$A$1:$I$89,5,0)</f>
        <v>203.45207999999988</v>
      </c>
      <c r="CV116" s="13">
        <f t="shared" si="95"/>
        <v>50.502073157681352</v>
      </c>
      <c r="CW116" s="20">
        <f t="shared" si="67"/>
        <v>442.30348341629474</v>
      </c>
      <c r="CX116" s="59">
        <f t="shared" si="68"/>
        <v>730.30784532376083</v>
      </c>
      <c r="CY116" s="59">
        <f ca="1">AVERAGE(OFFSET($CX$3,0,0,'Données projet'!$E$13+1,1))-AVERAGE(OFFSET($H$3,0,0,'Données projet'!$E$13+1,1))</f>
        <v>307.62549820830162</v>
      </c>
      <c r="CZ116" s="59">
        <f t="shared" si="96"/>
        <v>160.26466014910304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26.242831015036987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26.242831015036987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68.546644156581664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-1.7053025658242404E-13</v>
      </c>
      <c r="DP116" s="17">
        <f>DO116*VLOOKUP('Données projet'!$B$14,Paramètres!$A$1:$I$89,3,0)*VLOOKUP('Données projet'!$B$14,Paramètres!$A$1:$I$89,5,0)</f>
        <v>-1.3567387213697657E-13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309.14579005132464</v>
      </c>
      <c r="DU116" s="59">
        <f t="shared" si="98"/>
        <v>300.60311050289533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47.893100743101805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47.893100743101805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68.546644156581664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>
        <f>EJ116*VLOOKUP('Données projet'!$B$15,Paramètres!$A$1:$I$89,3,0)*VLOOKUP('Données projet'!$B$15,Paramètres!$A$1:$I$89,5,0)</f>
        <v>0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338.59243085476896</v>
      </c>
      <c r="EP116" s="59">
        <f t="shared" si="100"/>
        <v>329.8393445823275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44.372287925695865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44.372287925695865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68.546644156581664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>
        <f>FE116*VLOOKUP('Données projet'!$B$16,Paramètres!$A$1:$I$89,3,0)*VLOOKUP('Données projet'!$B$16,Paramètres!$A$1:$I$89,5,0)</f>
        <v>0</v>
      </c>
      <c r="FG116" s="13" t="e">
        <f t="shared" si="101"/>
        <v>#NUM!</v>
      </c>
      <c r="FH116" s="20" t="e">
        <f t="shared" si="76"/>
        <v>#NUM!</v>
      </c>
      <c r="FI116" s="59" t="e">
        <f t="shared" si="77"/>
        <v>#NUM!</v>
      </c>
      <c r="FJ116" s="59">
        <f ca="1">AVERAGE(OFFSET($FI$3,0,0,'Données projet'!$E$16+1,1))-AVERAGE(OFFSET($H$3,0,0,'Données projet'!$E$16+1,1))</f>
        <v>307.50573770128085</v>
      </c>
      <c r="FK116" s="59">
        <f t="shared" si="102"/>
        <v>300.2007312562655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39.65183176338779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39.65183176338779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68.546644156581664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>
        <f>FZ116*VLOOKUP('Données projet'!$B$17,Paramètres!$A$1:$I$89,3,0)*VLOOKUP('Données projet'!$B$17,Paramètres!$A$1:$I$89,5,0)</f>
        <v>0</v>
      </c>
      <c r="GB116" s="13" t="e">
        <f t="shared" si="103"/>
        <v>#NUM!</v>
      </c>
      <c r="GC116" s="20" t="e">
        <f t="shared" si="79"/>
        <v>#NUM!</v>
      </c>
      <c r="GD116" s="59" t="e">
        <f t="shared" si="80"/>
        <v>#NUM!</v>
      </c>
      <c r="GE116" s="59">
        <f ca="1">AVERAGE(OFFSET($GD$3,0,0,'Données projet'!$E$17+1,1))-AVERAGE(OFFSET($H$3,0,0,'Données projet'!$E$17+1,1))</f>
        <v>369.60865427618342</v>
      </c>
      <c r="GF116" s="59">
        <f t="shared" si="104"/>
        <v>359.40898775279197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49.09274408800394</v>
      </c>
      <c r="GM116" s="21">
        <f>EXP(-LN(2)/25)*GM115+(1-EXP(-LN(2)/25))/(LN(2)/25)*Calculateur!GH116*Calculateur!GJ116*VLOOKUP('Données projet'!$B$17,Paramètres!$A$1:$I$89,3,0)*0.475*44/12</f>
        <v>0</v>
      </c>
      <c r="GN116" s="21">
        <f>EXP(-LN(2)/2)*GN115+(1-EXP(-LN(2)/2))/(LN(2)/2)*GH116*GK116*VLOOKUP('Données projet'!$B$17,Paramètres!$A$1:$I$89,3,0)*0.475*44/12</f>
        <v>0</v>
      </c>
      <c r="GO116" s="21">
        <f t="shared" si="81"/>
        <v>49.09274408800394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68.546644156581664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-1.7053025658242404E-13</v>
      </c>
      <c r="GV116" s="17">
        <f>GU116*VLOOKUP('Données projet'!$B$18,Paramètres!$A$1:$I$89,3,0)*VLOOKUP('Données projet'!$B$18,Paramètres!$A$1:$I$89,5,0)</f>
        <v>-1.1173142411280423E-13</v>
      </c>
      <c r="GW116" s="13" t="e">
        <f t="shared" si="105"/>
        <v>#NUM!</v>
      </c>
      <c r="GX116" s="20" t="e">
        <f t="shared" si="82"/>
        <v>#NUM!</v>
      </c>
      <c r="GY116" s="59" t="e">
        <f t="shared" si="83"/>
        <v>#NUM!</v>
      </c>
      <c r="GZ116" s="59">
        <f ca="1">AVERAGE(OFFSET($GY$3,0,0,'Données projet'!$E$18+1,1))-AVERAGE(OFFSET($H$3,0,0,'Données projet'!$E$18+1,1))</f>
        <v>262.62914256200031</v>
      </c>
      <c r="HA116" s="59">
        <f t="shared" si="106"/>
        <v>256.45129229594409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projet'!$B$18,Paramètres!$A$1:$I$89,3,0)*0.475*44/12</f>
        <v>31.999607821695104</v>
      </c>
      <c r="HH116" s="21">
        <f>EXP(-LN(2)/25)*HH115+(1-EXP(-LN(2)/25))/(LN(2)/25)*Calculateur!HC116*Calculateur!HE116*VLOOKUP('Données projet'!$B$18,Paramètres!$A$1:$I$89,3,0)*0.475*44/12</f>
        <v>0</v>
      </c>
      <c r="HI116" s="21">
        <f>EXP(-LN(2)/2)*HI115+(1-EXP(-LN(2)/2))/(LN(2)/2)*HC116*HF116*VLOOKUP('Données projet'!$B$18,Paramètres!$A$1:$I$89,3,0)*0.475*44/12</f>
        <v>0</v>
      </c>
      <c r="HJ116" s="22">
        <f t="shared" si="84"/>
        <v>31.999607821695104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2.1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7.7</v>
      </c>
      <c r="H117" s="67">
        <f t="shared" si="56"/>
        <v>225.86666666666665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68.571856631248068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6</v>
      </c>
      <c r="N117" s="13">
        <f>IF('Données projet'!$A$36&gt;35,N116+M117-V116,IF(A117&lt;'Données projet'!$A$36,$K$205^A117,IF(A117='Données projet'!$A$36,'Données projet'!$B$36,N116+M117-V116)))</f>
        <v>419.99999999999994</v>
      </c>
      <c r="O117" s="13">
        <f>N117*VLOOKUP('Données projet'!$B$9,Paramètres!$A$1:$I$89,3,0)*VLOOKUP('Données projet'!$B$9,Paramètres!$A$1:$I$89,5,0)</f>
        <v>360.36</v>
      </c>
      <c r="P117" s="13">
        <f t="shared" si="87"/>
        <v>83.692107728969603</v>
      </c>
      <c r="Q117" s="20">
        <f t="shared" si="107"/>
        <v>773.39075429462207</v>
      </c>
      <c r="R117" s="59">
        <f t="shared" si="55"/>
        <v>1061.4875619425316</v>
      </c>
      <c r="S117" s="59">
        <f ca="1">AVERAGE(OFFSET($R$3,0,0,'Données projet'!$E$9+1,1))-AVERAGE(OFFSET($H$3,0,0,'Données projet'!$E$9+1,1))</f>
        <v>476.79071915271794</v>
      </c>
      <c r="T117" s="59">
        <f t="shared" si="88"/>
        <v>264.79929759351762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52.447455697035714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52.447455697035714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68.571856631248068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7.8</v>
      </c>
      <c r="AI117" s="13">
        <f>IF('Données projet'!$A$62&gt;35,AI116+AH117-AQ116,IF(A117&lt;'Données projet'!$A$62,$AF$205^A117,IF(A117='Données projet'!$A$62,'Données projet'!$B$62,AI116+AH117-AQ116)))</f>
        <v>277.19999999999976</v>
      </c>
      <c r="AJ117" s="13">
        <f>AI117*VLOOKUP('Données projet'!$B$10,Paramètres!$A$1:$I$89,3,0)*VLOOKUP('Données projet'!$B$10,Paramètres!$A$1:$I$89,5,0)</f>
        <v>233.51327999999981</v>
      </c>
      <c r="AK117" s="13">
        <f t="shared" si="89"/>
        <v>57.041663274479838</v>
      </c>
      <c r="AL117" s="20">
        <f t="shared" si="58"/>
        <v>506.04985953638538</v>
      </c>
      <c r="AM117" s="59">
        <f t="shared" si="59"/>
        <v>794.14666718429498</v>
      </c>
      <c r="AN117" s="59">
        <f ca="1">AVERAGE(OFFSET($AM$3,0,0,'Données projet'!$E$10+1,1))-AVERAGE(OFFSET($H$3,0,0,'Données projet'!$E$10+1,1))</f>
        <v>365.104658862176</v>
      </c>
      <c r="AO117" s="59">
        <f t="shared" si="90"/>
        <v>226.29232910286325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37.559563179278562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37.559563179278562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68.571856631248068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7.8</v>
      </c>
      <c r="BD117" s="12">
        <f>IF('Données projet'!$A$88&gt;35,BD116+BC117-BL116,IF(A117&lt;'Données projet'!$A$88,$BA$205^A117,IF(A117='Données projet'!$A$88,'Données projet'!$B$88,BD116+BC117-BL116)))</f>
        <v>277.19999999999976</v>
      </c>
      <c r="BE117" s="13">
        <f>BD117*VLOOKUP('Données projet'!$B$11,Paramètres!$A$1:$I$89,3,0)*VLOOKUP('Données projet'!$B$11,Paramètres!$A$1:$I$89,5,0)</f>
        <v>250.81055999999975</v>
      </c>
      <c r="BF117" s="13">
        <f t="shared" si="91"/>
        <v>60.759477364108633</v>
      </c>
      <c r="BG117" s="20">
        <f t="shared" si="61"/>
        <v>542.65114840915544</v>
      </c>
      <c r="BH117" s="59">
        <f t="shared" si="62"/>
        <v>830.74795605706504</v>
      </c>
      <c r="BI117" s="59">
        <f ca="1">AVERAGE(OFFSET($BH$3,0,0,'Données projet'!$E$11+1,1))-AVERAGE(OFFSET($H$3,0,0,'Données projet'!$E$11+1,1))</f>
        <v>388.12494342575195</v>
      </c>
      <c r="BJ117" s="59">
        <f t="shared" si="92"/>
        <v>239.39471445648454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40.341753044410318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40.341753044410318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68.571856631248068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7.8</v>
      </c>
      <c r="BY117" s="12">
        <f>IF('Données projet'!$A$114&gt;35,BY116+BX117-CG116,IF(A117&lt;'Données projet'!$A$114,$BV$205^A117,IF(A117='Données projet'!$A$114,'Données projet'!$B$114,BY116+BX117-CG116)))</f>
        <v>277.19999999999976</v>
      </c>
      <c r="BZ117" s="13">
        <f>BY117*VLOOKUP('Données projet'!$B$12,Paramètres!$A$1:$I$89,3,0)*VLOOKUP('Données projet'!$B$12,Paramètres!$A$1:$I$89,5,0)</f>
        <v>281.08079999999978</v>
      </c>
      <c r="CA117" s="13">
        <f t="shared" si="93"/>
        <v>67.195361752546063</v>
      </c>
      <c r="CB117" s="20">
        <f t="shared" si="64"/>
        <v>606.58098171901725</v>
      </c>
      <c r="CC117" s="59">
        <f t="shared" si="65"/>
        <v>894.67778936692685</v>
      </c>
      <c r="CD117" s="59">
        <f ca="1">AVERAGE(OFFSET($CC$3,0,0,'Données projet'!$E$12+1,1))-AVERAGE(OFFSET($H$3,0,0,'Données projet'!$E$12+1,1))</f>
        <v>428.33148932885132</v>
      </c>
      <c r="CE117" s="59">
        <f t="shared" si="94"/>
        <v>262.27548054534373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45.210585308390868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45.210585308390868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68.571856631248068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2.6</v>
      </c>
      <c r="CT117" s="12">
        <f>IF('Données projet'!$A$140&gt;35,CT116+CS117-DB116,IF(A117&lt;'Données projet'!$A$140,$CQ$205^A117,IF(A117='Données projet'!$A$140,'Données projet'!$B$140,CT116+CS117-DB116)))</f>
        <v>216.39999999999989</v>
      </c>
      <c r="CU117" s="17">
        <f>CT117*VLOOKUP('Données projet'!$B$13,Paramètres!$A$1:$I$89,3,0)*VLOOKUP('Données projet'!$B$13,Paramètres!$A$1:$I$89,5,0)</f>
        <v>205.92623999999989</v>
      </c>
      <c r="CV117" s="13">
        <f t="shared" si="95"/>
        <v>51.044354243735398</v>
      </c>
      <c r="CW117" s="20">
        <f t="shared" si="67"/>
        <v>447.55711830783889</v>
      </c>
      <c r="CX117" s="59">
        <f t="shared" si="68"/>
        <v>735.65392595574849</v>
      </c>
      <c r="CY117" s="59">
        <f ca="1">AVERAGE(OFFSET($CX$3,0,0,'Données projet'!$E$13+1,1))-AVERAGE(OFFSET($H$3,0,0,'Données projet'!$E$13+1,1))</f>
        <v>307.62549820830162</v>
      </c>
      <c r="CZ117" s="59">
        <f t="shared" si="96"/>
        <v>160.26466014910304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25.728225105378517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25.728225105378517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68.571856631248068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-1.7053025658242404E-13</v>
      </c>
      <c r="DP117" s="17">
        <f>DO117*VLOOKUP('Données projet'!$B$14,Paramètres!$A$1:$I$89,3,0)*VLOOKUP('Données projet'!$B$14,Paramètres!$A$1:$I$89,5,0)</f>
        <v>-1.3567387213697657E-13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309.14579005132464</v>
      </c>
      <c r="DU117" s="59">
        <f t="shared" si="98"/>
        <v>300.60311050289533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46.953946249436598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46.953946249436598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68.571856631248068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>
        <f>EJ117*VLOOKUP('Données projet'!$B$15,Paramètres!$A$1:$I$89,3,0)*VLOOKUP('Données projet'!$B$15,Paramètres!$A$1:$I$89,5,0)</f>
        <v>0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338.59243085476896</v>
      </c>
      <c r="EP117" s="59">
        <f t="shared" si="100"/>
        <v>329.8393445823275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43.502174423896214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43.502174423896214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68.571856631248068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>
        <f>FE117*VLOOKUP('Données projet'!$B$16,Paramètres!$A$1:$I$89,3,0)*VLOOKUP('Données projet'!$B$16,Paramètres!$A$1:$I$89,5,0)</f>
        <v>0</v>
      </c>
      <c r="FG117" s="13" t="e">
        <f t="shared" si="101"/>
        <v>#NUM!</v>
      </c>
      <c r="FH117" s="20" t="e">
        <f t="shared" si="76"/>
        <v>#NUM!</v>
      </c>
      <c r="FI117" s="59" t="e">
        <f t="shared" si="77"/>
        <v>#NUM!</v>
      </c>
      <c r="FJ117" s="59">
        <f ca="1">AVERAGE(OFFSET($FI$3,0,0,'Données projet'!$E$16+1,1))-AVERAGE(OFFSET($H$3,0,0,'Données projet'!$E$16+1,1))</f>
        <v>307.50573770128085</v>
      </c>
      <c r="FK117" s="59">
        <f t="shared" si="102"/>
        <v>300.2007312562655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38.874283527737035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38.874283527737035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68.571856631248068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>
        <f>FZ117*VLOOKUP('Données projet'!$B$17,Paramètres!$A$1:$I$89,3,0)*VLOOKUP('Données projet'!$B$17,Paramètres!$A$1:$I$89,5,0)</f>
        <v>0</v>
      </c>
      <c r="GB117" s="13" t="e">
        <f t="shared" si="103"/>
        <v>#NUM!</v>
      </c>
      <c r="GC117" s="20" t="e">
        <f t="shared" si="79"/>
        <v>#NUM!</v>
      </c>
      <c r="GD117" s="59" t="e">
        <f t="shared" si="80"/>
        <v>#NUM!</v>
      </c>
      <c r="GE117" s="59">
        <f ca="1">AVERAGE(OFFSET($GD$3,0,0,'Données projet'!$E$17+1,1))-AVERAGE(OFFSET($H$3,0,0,'Données projet'!$E$17+1,1))</f>
        <v>369.60865427618342</v>
      </c>
      <c r="GF117" s="59">
        <f t="shared" si="104"/>
        <v>359.40898775279197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48.130065320055387</v>
      </c>
      <c r="GM117" s="21">
        <f>EXP(-LN(2)/25)*GM116+(1-EXP(-LN(2)/25))/(LN(2)/25)*Calculateur!GH117*Calculateur!GJ117*VLOOKUP('Données projet'!$B$17,Paramètres!$A$1:$I$89,3,0)*0.475*44/12</f>
        <v>0</v>
      </c>
      <c r="GN117" s="21">
        <f>EXP(-LN(2)/2)*GN116+(1-EXP(-LN(2)/2))/(LN(2)/2)*GH117*GK117*VLOOKUP('Données projet'!$B$17,Paramètres!$A$1:$I$89,3,0)*0.475*44/12</f>
        <v>0</v>
      </c>
      <c r="GO117" s="21">
        <f t="shared" si="81"/>
        <v>48.130065320055387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68.571856631248068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-1.7053025658242404E-13</v>
      </c>
      <c r="GV117" s="17">
        <f>GU117*VLOOKUP('Données projet'!$B$18,Paramètres!$A$1:$I$89,3,0)*VLOOKUP('Données projet'!$B$18,Paramètres!$A$1:$I$89,5,0)</f>
        <v>-1.1173142411280423E-13</v>
      </c>
      <c r="GW117" s="13" t="e">
        <f t="shared" si="105"/>
        <v>#NUM!</v>
      </c>
      <c r="GX117" s="20" t="e">
        <f t="shared" si="82"/>
        <v>#NUM!</v>
      </c>
      <c r="GY117" s="59" t="e">
        <f t="shared" si="83"/>
        <v>#NUM!</v>
      </c>
      <c r="GZ117" s="59">
        <f ca="1">AVERAGE(OFFSET($GY$3,0,0,'Données projet'!$E$18+1,1))-AVERAGE(OFFSET($H$3,0,0,'Données projet'!$E$18+1,1))</f>
        <v>262.62914256200031</v>
      </c>
      <c r="HA117" s="59">
        <f t="shared" si="106"/>
        <v>256.45129229594409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projet'!$B$18,Paramètres!$A$1:$I$89,3,0)*0.475*44/12</f>
        <v>31.37211503014521</v>
      </c>
      <c r="HH117" s="21">
        <f>EXP(-LN(2)/25)*HH116+(1-EXP(-LN(2)/25))/(LN(2)/25)*Calculateur!HC117*Calculateur!HE117*VLOOKUP('Données projet'!$B$18,Paramètres!$A$1:$I$89,3,0)*0.475*44/12</f>
        <v>0</v>
      </c>
      <c r="HI117" s="21">
        <f>EXP(-LN(2)/2)*HI116+(1-EXP(-LN(2)/2))/(LN(2)/2)*HC117*HF117*VLOOKUP('Données projet'!$B$18,Paramètres!$A$1:$I$89,3,0)*0.475*44/12</f>
        <v>0</v>
      </c>
      <c r="HJ117" s="22">
        <f t="shared" si="84"/>
        <v>31.37211503014521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2.1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7.7</v>
      </c>
      <c r="H118" s="67">
        <f t="shared" si="56"/>
        <v>225.86666666666665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68.596631725845668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>
        <f>VLOOKUP(A118,'Données projet'!$A$35:$I$55,2,0)</f>
        <v>426</v>
      </c>
      <c r="L118" s="12">
        <f>VLOOKUP(A118,'Données projet'!$A$35:$I$55,9,0)</f>
        <v>6</v>
      </c>
      <c r="M118" s="12">
        <f t="array" ref="M118">INDEX(L:L,MIN(IF(ISNUMBER(L118:L314),ROW(L118:L314),"")))</f>
        <v>6</v>
      </c>
      <c r="N118" s="13">
        <f>IF('Données projet'!$A$36&gt;35,N117+M118-V117,IF(A118&lt;'Données projet'!$A$36,$K$205^A118,IF(A118='Données projet'!$A$36,'Données projet'!$B$36,N117+M118-V117)))</f>
        <v>425.99999999999994</v>
      </c>
      <c r="O118" s="13">
        <f>N118*VLOOKUP('Données projet'!$B$9,Paramètres!$A$1:$I$89,3,0)*VLOOKUP('Données projet'!$B$9,Paramètres!$A$1:$I$89,5,0)</f>
        <v>365.50799999999998</v>
      </c>
      <c r="P118" s="13">
        <f t="shared" si="87"/>
        <v>84.747667534292106</v>
      </c>
      <c r="Q118" s="20">
        <f t="shared" si="107"/>
        <v>784.19528762222535</v>
      </c>
      <c r="R118" s="59">
        <f t="shared" si="55"/>
        <v>1072.3829372836594</v>
      </c>
      <c r="S118" s="59">
        <f ca="1">AVERAGE(OFFSET($R$3,0,0,'Données projet'!$E$9+1,1))-AVERAGE(OFFSET($H$3,0,0,'Données projet'!$E$9+1,1))</f>
        <v>476.79071915271794</v>
      </c>
      <c r="T118" s="59">
        <f t="shared" si="88"/>
        <v>264.79929759351762</v>
      </c>
      <c r="U118" s="15">
        <f>IF(ISNA(VLOOKUP(A118,'Données projet'!$A$35:$I$55,3,0)),0,VLOOKUP(A118,'Données projet'!$A$35:$I$55,3,0))</f>
        <v>20</v>
      </c>
      <c r="V118" s="15">
        <f>IF(ISNA(VLOOKUP(A118,'Données projet'!$A$35:$I$55,4,0)),0,VLOOKUP(A118,'Données projet'!$A$35:$I$55,4,0))</f>
        <v>22</v>
      </c>
      <c r="W118" s="16">
        <f>IF(ISNA(VLOOKUP(A118,'Données projet'!$A$35:$I$55,5,0)),0%,VLOOKUP(A118,'Données projet'!$A$35:$I$55,5,0)*VLOOKUP('Données projet'!$B$9,Paramètres!$A$1:$I$89,7,0))</f>
        <v>0.42400000000000004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60.266541247449211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60.266541247449211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68.596631725845668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>
        <f>VLOOKUP(A118,'Données projet'!$A$61:$I$81,2,0)</f>
        <v>285</v>
      </c>
      <c r="AG118" s="12">
        <f>VLOOKUP(A118,'Données projet'!$A$61:$I$81,9,0)</f>
        <v>7.8</v>
      </c>
      <c r="AH118" s="12">
        <f t="array" ref="AH118">INDEX(AG:AG,MIN(IF(ISNUMBER(AG118:AG314),ROW(AG118:AG314),"")))</f>
        <v>7.8</v>
      </c>
      <c r="AI118" s="13">
        <f>IF('Données projet'!$A$62&gt;35,AI117+AH118-AQ117,IF(A118&lt;'Données projet'!$A$62,$AF$205^A118,IF(A118='Données projet'!$A$62,'Données projet'!$B$62,AI117+AH118-AQ117)))</f>
        <v>284.99999999999977</v>
      </c>
      <c r="AJ118" s="13">
        <f>AI118*VLOOKUP('Données projet'!$B$10,Paramètres!$A$1:$I$89,3,0)*VLOOKUP('Données projet'!$B$10,Paramètres!$A$1:$I$89,5,0)</f>
        <v>240.08399999999983</v>
      </c>
      <c r="AK118" s="13">
        <f t="shared" si="89"/>
        <v>58.457603123312154</v>
      </c>
      <c r="AL118" s="20">
        <f t="shared" si="58"/>
        <v>519.95995877310168</v>
      </c>
      <c r="AM118" s="59">
        <f t="shared" si="59"/>
        <v>808.14760843453587</v>
      </c>
      <c r="AN118" s="59">
        <f ca="1">AVERAGE(OFFSET($AM$3,0,0,'Données projet'!$E$10+1,1))-AVERAGE(OFFSET($H$3,0,0,'Données projet'!$E$10+1,1))</f>
        <v>365.104658862176</v>
      </c>
      <c r="AO118" s="59">
        <f t="shared" si="90"/>
        <v>226.29232910286325</v>
      </c>
      <c r="AP118" s="15">
        <f>IF(ISNA(VLOOKUP(A118,'Données projet'!$A$61:$I$81,3,0)),0,VLOOKUP(A118,'Données projet'!$A$61:$I$81,3,0))</f>
        <v>20</v>
      </c>
      <c r="AQ118" s="15">
        <f>IF(ISNA(VLOOKUP(A118,'Données projet'!$A$61:$I$81,4,0)),0,VLOOKUP(A118,'Données projet'!$A$61:$I$81,4,0))</f>
        <v>18</v>
      </c>
      <c r="AR118" s="16">
        <f>IF(ISNA(VLOOKUP(A118,'Données projet'!$A$61:$I$81,5,0)),0%,VLOOKUP(A118,'Données projet'!$A$61:$I$81,5,0)*VLOOKUP('Données projet'!$B$10,Paramètres!$A$1:$I$89,7,0))</f>
        <v>0.34400000000000003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42.589332204277675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42.589332204277675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68.596631725845668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>
        <f>VLOOKUP(A118,'Données projet'!$A$87:$I$107,2,0)</f>
        <v>285</v>
      </c>
      <c r="BB118" s="12">
        <f>VLOOKUP(A118,'Données projet'!$A$87:$I$107,9,0)</f>
        <v>7.8</v>
      </c>
      <c r="BC118" s="12">
        <f t="array" ref="BC118">INDEX(BB:BB,MIN(IF(ISNUMBER(BB118:BB314),ROW(BB118:BB314),"")))</f>
        <v>7.8</v>
      </c>
      <c r="BD118" s="12">
        <f>IF('Données projet'!$A$88&gt;35,BD117+BC118-BL117,IF(A118&lt;'Données projet'!$A$88,$BA$205^A118,IF(A118='Données projet'!$A$88,'Données projet'!$B$88,BD117+BC118-BL117)))</f>
        <v>284.99999999999977</v>
      </c>
      <c r="BE118" s="13">
        <f>BD118*VLOOKUP('Données projet'!$B$11,Paramètres!$A$1:$I$89,3,0)*VLOOKUP('Données projet'!$B$11,Paramètres!$A$1:$I$89,5,0)</f>
        <v>257.86799999999982</v>
      </c>
      <c r="BF118" s="13">
        <f t="shared" si="91"/>
        <v>62.267704162827471</v>
      </c>
      <c r="BG118" s="20">
        <f t="shared" si="61"/>
        <v>557.56968475025758</v>
      </c>
      <c r="BH118" s="59">
        <f t="shared" si="62"/>
        <v>845.75733441169177</v>
      </c>
      <c r="BI118" s="59">
        <f ca="1">AVERAGE(OFFSET($BH$3,0,0,'Données projet'!$E$11+1,1))-AVERAGE(OFFSET($H$3,0,0,'Données projet'!$E$11+1,1))</f>
        <v>388.12494342575195</v>
      </c>
      <c r="BJ118" s="59">
        <f t="shared" si="92"/>
        <v>239.39471445648454</v>
      </c>
      <c r="BK118" s="15">
        <f>IF(ISNA(VLOOKUP(A118,'Données projet'!$A$87:$I$107,3,0)),0,VLOOKUP(A118,'Données projet'!$A$87:$I$107,3,0))</f>
        <v>20</v>
      </c>
      <c r="BL118" s="15">
        <f>IF(ISNA(VLOOKUP(A118,'Données projet'!$A$87:$I$107,4,0)),0,VLOOKUP(A118,'Données projet'!$A$87:$I$107,4,0))</f>
        <v>18</v>
      </c>
      <c r="BM118" s="16">
        <f>IF(ISNA(VLOOKUP(A118,'Données projet'!$A$87:$I$107,5,0)),0%,VLOOKUP(A118,'Données projet'!$A$87:$I$107,5,0)*VLOOKUP('Données projet'!$B$11,Paramètres!$A$1:$I$89,7,0))</f>
        <v>0.34400000000000003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45.744097552742694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45.744097552742694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68.596631725845668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>
        <f>VLOOKUP(A118,'Données projet'!$A$113:$I$133,2,0)</f>
        <v>285</v>
      </c>
      <c r="BW118" s="12">
        <f>VLOOKUP(A118,'Données projet'!$A$113:$I$133,9,0)</f>
        <v>7.8</v>
      </c>
      <c r="BX118" s="12">
        <f t="array" ref="BX118">INDEX(BW:BW,MIN(IF(ISNUMBER(BW118:BW314),ROW(BW118:BW314),"")))</f>
        <v>7.8</v>
      </c>
      <c r="BY118" s="12">
        <f>IF('Données projet'!$A$114&gt;35,BY117+BX118-CG117,IF(A118&lt;'Données projet'!$A$114,$BV$205^A118,IF(A118='Données projet'!$A$114,'Données projet'!$B$114,BY117+BX118-CG117)))</f>
        <v>284.99999999999977</v>
      </c>
      <c r="BZ118" s="13">
        <f>BY118*VLOOKUP('Données projet'!$B$12,Paramètres!$A$1:$I$89,3,0)*VLOOKUP('Données projet'!$B$12,Paramètres!$A$1:$I$89,5,0)</f>
        <v>288.98999999999978</v>
      </c>
      <c r="CA118" s="13">
        <f t="shared" si="93"/>
        <v>68.863345904836791</v>
      </c>
      <c r="CB118" s="20">
        <f t="shared" si="64"/>
        <v>623.26124411759042</v>
      </c>
      <c r="CC118" s="59">
        <f t="shared" si="65"/>
        <v>911.4488937790245</v>
      </c>
      <c r="CD118" s="59">
        <f ca="1">AVERAGE(OFFSET($CC$3,0,0,'Données projet'!$E$12+1,1))-AVERAGE(OFFSET($H$3,0,0,'Données projet'!$E$12+1,1))</f>
        <v>428.33148932885132</v>
      </c>
      <c r="CE118" s="59">
        <f t="shared" si="94"/>
        <v>262.27548054534373</v>
      </c>
      <c r="CF118" s="15">
        <f>IF(ISNA(VLOOKUP(A118,'Données projet'!$A$113:$I$133,3,0)),0,VLOOKUP(A118,'Données projet'!$A$113:$I$133,3,0))</f>
        <v>20</v>
      </c>
      <c r="CG118" s="15">
        <f>IF(ISNA(VLOOKUP(A118,'Données projet'!$A$113:$I$133,4,0)),0,VLOOKUP(A118,'Données projet'!$A$113:$I$133,4,0))</f>
        <v>18</v>
      </c>
      <c r="CH118" s="16">
        <f>IF(ISNA(VLOOKUP(A118,'Données projet'!$A$113:$I$133,5,0)),0%,VLOOKUP(A118,'Données projet'!$A$113:$I$133,5,0)*VLOOKUP('Données projet'!$B$12,Paramètres!$A$1:$I$89,7,0))</f>
        <v>0.34400000000000003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51.264936912556465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51.264936912556465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68.596631725845668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>
        <f>VLOOKUP(A118,'Données projet'!$A$139:$I$159,2,0)</f>
        <v>219</v>
      </c>
      <c r="CR118" s="12">
        <f>VLOOKUP(A118,'Données projet'!$A$139:$I$159,9,0)</f>
        <v>2.6</v>
      </c>
      <c r="CS118" s="12">
        <f t="array" ref="CS118">INDEX(CR:CR,MIN(IF(ISNUMBER(CR118:CR314),ROW(CR118:CR314),"")))</f>
        <v>2.6</v>
      </c>
      <c r="CT118" s="12">
        <f>IF('Données projet'!$A$140&gt;35,CT117+CS118-DB117,IF(A118&lt;'Données projet'!$A$140,$CQ$205^A118,IF(A118='Données projet'!$A$140,'Données projet'!$B$140,CT117+CS118-DB117)))</f>
        <v>218.99999999999989</v>
      </c>
      <c r="CU118" s="17">
        <f>CT118*VLOOKUP('Données projet'!$B$13,Paramètres!$A$1:$I$89,3,0)*VLOOKUP('Données projet'!$B$13,Paramètres!$A$1:$I$89,5,0)</f>
        <v>208.40039999999988</v>
      </c>
      <c r="CV118" s="13">
        <f t="shared" si="95"/>
        <v>51.585877448947201</v>
      </c>
      <c r="CW118" s="20">
        <f t="shared" si="67"/>
        <v>452.8094332235828</v>
      </c>
      <c r="CX118" s="59">
        <f t="shared" si="68"/>
        <v>740.99708288501688</v>
      </c>
      <c r="CY118" s="59">
        <f ca="1">AVERAGE(OFFSET($CX$3,0,0,'Données projet'!$E$13+1,1))-AVERAGE(OFFSET($H$3,0,0,'Données projet'!$E$13+1,1))</f>
        <v>307.62549820830162</v>
      </c>
      <c r="CZ118" s="59">
        <f t="shared" si="96"/>
        <v>160.26466014910304</v>
      </c>
      <c r="DA118" s="15">
        <f>IF(ISNA(VLOOKUP(A118,'Données projet'!$A$139:$I$159,3,0)),0,VLOOKUP(A118,'Données projet'!$A$139:$I$159,3,0))</f>
        <v>19</v>
      </c>
      <c r="DB118" s="15">
        <f>IF(ISNA(VLOOKUP(A118,'Données projet'!$A$139:$I$159,4,0)),0,VLOOKUP(A118,'Données projet'!$A$139:$I$159,4,0))</f>
        <v>13</v>
      </c>
      <c r="DC118" s="16">
        <f>IF(ISNA(VLOOKUP(A118,'Données projet'!$A$139:$I$159,5,0)),0%,VLOOKUP(A118,'Données projet'!$A$139:$I$159,5,0)*VLOOKUP('Données projet'!$B$13,Paramètres!$A$1:$I$89,7,0))</f>
        <v>0.30099999999999999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29.340051748038828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29.340051748038828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68.596631725845668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-1.7053025658242404E-13</v>
      </c>
      <c r="DP118" s="17">
        <f>DO118*VLOOKUP('Données projet'!$B$14,Paramètres!$A$1:$I$89,3,0)*VLOOKUP('Données projet'!$B$14,Paramètres!$A$1:$I$89,5,0)</f>
        <v>-1.3567387213697657E-13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309.14579005132464</v>
      </c>
      <c r="DU118" s="59">
        <f t="shared" si="98"/>
        <v>300.60311050289533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46.033208002564486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46.033208002564486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68.596631725845668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>
        <f>EJ118*VLOOKUP('Données projet'!$B$15,Paramètres!$A$1:$I$89,3,0)*VLOOKUP('Données projet'!$B$15,Paramètres!$A$1:$I$89,5,0)</f>
        <v>0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338.59243085476896</v>
      </c>
      <c r="EP118" s="59">
        <f t="shared" si="100"/>
        <v>329.8393445823275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42.649123317150021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42.649123317150021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68.596631725845668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>
        <f>FE118*VLOOKUP('Données projet'!$B$16,Paramètres!$A$1:$I$89,3,0)*VLOOKUP('Données projet'!$B$16,Paramètres!$A$1:$I$89,5,0)</f>
        <v>0</v>
      </c>
      <c r="FG118" s="13" t="e">
        <f t="shared" si="101"/>
        <v>#NUM!</v>
      </c>
      <c r="FH118" s="20" t="e">
        <f t="shared" si="76"/>
        <v>#NUM!</v>
      </c>
      <c r="FI118" s="59" t="e">
        <f t="shared" si="77"/>
        <v>#NUM!</v>
      </c>
      <c r="FJ118" s="59">
        <f ca="1">AVERAGE(OFFSET($FI$3,0,0,'Données projet'!$E$16+1,1))-AVERAGE(OFFSET($H$3,0,0,'Données projet'!$E$16+1,1))</f>
        <v>307.50573770128085</v>
      </c>
      <c r="FK118" s="59">
        <f t="shared" si="102"/>
        <v>300.2007312562655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38.111982538729798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38.111982538729798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68.596631725845668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>
        <f>FZ118*VLOOKUP('Données projet'!$B$17,Paramètres!$A$1:$I$89,3,0)*VLOOKUP('Données projet'!$B$17,Paramètres!$A$1:$I$89,5,0)</f>
        <v>0</v>
      </c>
      <c r="GB118" s="13" t="e">
        <f t="shared" si="103"/>
        <v>#NUM!</v>
      </c>
      <c r="GC118" s="20" t="e">
        <f t="shared" si="79"/>
        <v>#NUM!</v>
      </c>
      <c r="GD118" s="59" t="e">
        <f t="shared" si="80"/>
        <v>#NUM!</v>
      </c>
      <c r="GE118" s="59">
        <f ca="1">AVERAGE(OFFSET($GD$3,0,0,'Données projet'!$E$17+1,1))-AVERAGE(OFFSET($H$3,0,0,'Données projet'!$E$17+1,1))</f>
        <v>369.60865427618342</v>
      </c>
      <c r="GF118" s="59">
        <f t="shared" si="104"/>
        <v>359.40898775279197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47.186264095570237</v>
      </c>
      <c r="GM118" s="21">
        <f>EXP(-LN(2)/25)*GM117+(1-EXP(-LN(2)/25))/(LN(2)/25)*Calculateur!GH118*Calculateur!GJ118*VLOOKUP('Données projet'!$B$17,Paramètres!$A$1:$I$89,3,0)*0.475*44/12</f>
        <v>0</v>
      </c>
      <c r="GN118" s="21">
        <f>EXP(-LN(2)/2)*GN117+(1-EXP(-LN(2)/2))/(LN(2)/2)*GH118*GK118*VLOOKUP('Données projet'!$B$17,Paramètres!$A$1:$I$89,3,0)*0.475*44/12</f>
        <v>0</v>
      </c>
      <c r="GO118" s="21">
        <f t="shared" si="81"/>
        <v>47.186264095570237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68.596631725845668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-1.7053025658242404E-13</v>
      </c>
      <c r="GV118" s="17">
        <f>GU118*VLOOKUP('Données projet'!$B$18,Paramètres!$A$1:$I$89,3,0)*VLOOKUP('Données projet'!$B$18,Paramètres!$A$1:$I$89,5,0)</f>
        <v>-1.1173142411280423E-13</v>
      </c>
      <c r="GW118" s="13" t="e">
        <f t="shared" si="105"/>
        <v>#NUM!</v>
      </c>
      <c r="GX118" s="20" t="e">
        <f t="shared" si="82"/>
        <v>#NUM!</v>
      </c>
      <c r="GY118" s="59" t="e">
        <f t="shared" si="83"/>
        <v>#NUM!</v>
      </c>
      <c r="GZ118" s="59">
        <f ca="1">AVERAGE(OFFSET($GY$3,0,0,'Données projet'!$E$18+1,1))-AVERAGE(OFFSET($H$3,0,0,'Données projet'!$E$18+1,1))</f>
        <v>262.62914256200031</v>
      </c>
      <c r="HA118" s="59">
        <f t="shared" si="106"/>
        <v>256.45129229594409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projet'!$B$18,Paramètres!$A$1:$I$89,3,0)*0.475*44/12</f>
        <v>30.756926989504798</v>
      </c>
      <c r="HH118" s="21">
        <f>EXP(-LN(2)/25)*HH117+(1-EXP(-LN(2)/25))/(LN(2)/25)*Calculateur!HC118*Calculateur!HE118*VLOOKUP('Données projet'!$B$18,Paramètres!$A$1:$I$89,3,0)*0.475*44/12</f>
        <v>0</v>
      </c>
      <c r="HI118" s="21">
        <f>EXP(-LN(2)/2)*HI117+(1-EXP(-LN(2)/2))/(LN(2)/2)*HC118*HF118*VLOOKUP('Données projet'!$B$18,Paramètres!$A$1:$I$89,3,0)*0.475*44/12</f>
        <v>0</v>
      </c>
      <c r="HJ118" s="22">
        <f t="shared" si="84"/>
        <v>30.756926989504798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2.1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7.7</v>
      </c>
      <c r="H119" s="67">
        <f t="shared" si="56"/>
        <v>225.86666666666665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68.620977027940825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5.6</v>
      </c>
      <c r="N119" s="13">
        <f>IF('Données projet'!$A$36&gt;35,N118+M119-V118,IF(A119&lt;'Données projet'!$A$36,$K$205^A119,IF(A119='Données projet'!$A$36,'Données projet'!$B$36,N118+M119-V118)))</f>
        <v>409.59999999999997</v>
      </c>
      <c r="O119" s="13">
        <f>N119*VLOOKUP('Données projet'!$B$9,Paramètres!$A$1:$I$89,3,0)*VLOOKUP('Données projet'!$B$9,Paramètres!$A$1:$I$89,5,0)</f>
        <v>351.43680000000001</v>
      </c>
      <c r="P119" s="13">
        <f t="shared" si="87"/>
        <v>81.858292702943075</v>
      </c>
      <c r="Q119" s="20">
        <f t="shared" si="107"/>
        <v>754.65561979095912</v>
      </c>
      <c r="R119" s="59">
        <f t="shared" si="55"/>
        <v>1042.9325355600754</v>
      </c>
      <c r="S119" s="59">
        <f ca="1">AVERAGE(OFFSET($R$3,0,0,'Données projet'!$E$9+1,1))-AVERAGE(OFFSET($H$3,0,0,'Données projet'!$E$9+1,1))</f>
        <v>476.79071915271794</v>
      </c>
      <c r="T119" s="59">
        <f t="shared" si="88"/>
        <v>264.79929759351762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59.084751132547247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59.084751132547247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68.620977027940825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3.6</v>
      </c>
      <c r="AI119" s="13">
        <f>IF('Données projet'!$A$62&gt;35,AI118+AH119-AQ118,IF(A119&lt;'Données projet'!$A$62,$AF$205^A119,IF(A119='Données projet'!$A$62,'Données projet'!$B$62,AI118+AH119-AQ118)))</f>
        <v>270.5999999999998</v>
      </c>
      <c r="AJ119" s="13">
        <f>AI119*VLOOKUP('Données projet'!$B$10,Paramètres!$A$1:$I$89,3,0)*VLOOKUP('Données projet'!$B$10,Paramètres!$A$1:$I$89,5,0)</f>
        <v>227.95343999999986</v>
      </c>
      <c r="AK119" s="13">
        <f t="shared" si="89"/>
        <v>55.839937483946905</v>
      </c>
      <c r="AL119" s="20">
        <f t="shared" si="58"/>
        <v>494.27346578454058</v>
      </c>
      <c r="AM119" s="59">
        <f t="shared" si="59"/>
        <v>782.55038155365696</v>
      </c>
      <c r="AN119" s="59">
        <f ca="1">AVERAGE(OFFSET($AM$3,0,0,'Données projet'!$E$10+1,1))-AVERAGE(OFFSET($H$3,0,0,'Données projet'!$E$10+1,1))</f>
        <v>365.104658862176</v>
      </c>
      <c r="AO119" s="59">
        <f t="shared" si="90"/>
        <v>226.29232910286325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41.754181376679426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41.754181376679426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68.620977027940825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3.6</v>
      </c>
      <c r="BD119" s="12">
        <f>IF('Données projet'!$A$88&gt;35,BD118+BC119-BL118,IF(A119&lt;'Données projet'!$A$88,$BA$205^A119,IF(A119='Données projet'!$A$88,'Données projet'!$B$88,BD118+BC119-BL118)))</f>
        <v>270.5999999999998</v>
      </c>
      <c r="BE119" s="13">
        <f>BD119*VLOOKUP('Données projet'!$B$11,Paramètres!$A$1:$I$89,3,0)*VLOOKUP('Données projet'!$B$11,Paramètres!$A$1:$I$89,5,0)</f>
        <v>244.83887999999979</v>
      </c>
      <c r="BF119" s="13">
        <f t="shared" si="91"/>
        <v>59.47942648942773</v>
      </c>
      <c r="BG119" s="20">
        <f t="shared" si="61"/>
        <v>530.02105046908628</v>
      </c>
      <c r="BH119" s="59">
        <f t="shared" si="62"/>
        <v>818.29796623820266</v>
      </c>
      <c r="BI119" s="59">
        <f ca="1">AVERAGE(OFFSET($BH$3,0,0,'Données projet'!$E$11+1,1))-AVERAGE(OFFSET($H$3,0,0,'Données projet'!$E$11+1,1))</f>
        <v>388.12494342575195</v>
      </c>
      <c r="BJ119" s="59">
        <f t="shared" si="92"/>
        <v>239.39471445648454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44.84708370087791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44.84708370087791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68.620977027940825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3.6</v>
      </c>
      <c r="BY119" s="12">
        <f>IF('Données projet'!$A$114&gt;35,BY118+BX119-CG118,IF(A119&lt;'Données projet'!$A$114,$BV$205^A119,IF(A119='Données projet'!$A$114,'Données projet'!$B$114,BY118+BX119-CG118)))</f>
        <v>270.5999999999998</v>
      </c>
      <c r="BZ119" s="13">
        <f>BY119*VLOOKUP('Données projet'!$B$12,Paramètres!$A$1:$I$89,3,0)*VLOOKUP('Données projet'!$B$12,Paramètres!$A$1:$I$89,5,0)</f>
        <v>274.38839999999982</v>
      </c>
      <c r="CA119" s="13">
        <f t="shared" si="93"/>
        <v>65.77972282151319</v>
      </c>
      <c r="CB119" s="20">
        <f t="shared" si="64"/>
        <v>592.45948058080182</v>
      </c>
      <c r="CC119" s="59">
        <f t="shared" si="65"/>
        <v>880.7363963499181</v>
      </c>
      <c r="CD119" s="59">
        <f ca="1">AVERAGE(OFFSET($CC$3,0,0,'Données projet'!$E$12+1,1))-AVERAGE(OFFSET($H$3,0,0,'Données projet'!$E$12+1,1))</f>
        <v>428.33148932885132</v>
      </c>
      <c r="CE119" s="59">
        <f t="shared" si="94"/>
        <v>262.27548054534373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50.25966276822524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50.25966276822524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68.620977027940825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3</v>
      </c>
      <c r="CT119" s="12">
        <f>IF('Données projet'!$A$140&gt;35,CT118+CS119-DB118,IF(A119&lt;'Données projet'!$A$140,$CQ$205^A119,IF(A119='Données projet'!$A$140,'Données projet'!$B$140,CT118+CS119-DB118)))</f>
        <v>208.99999999999989</v>
      </c>
      <c r="CU119" s="17">
        <f>CT119*VLOOKUP('Données projet'!$B$13,Paramètres!$A$1:$I$89,3,0)*VLOOKUP('Données projet'!$B$13,Paramètres!$A$1:$I$89,5,0)</f>
        <v>198.88439999999989</v>
      </c>
      <c r="CV119" s="13">
        <f t="shared" si="95"/>
        <v>49.498912851978972</v>
      </c>
      <c r="CW119" s="20">
        <f t="shared" si="67"/>
        <v>432.60093655052987</v>
      </c>
      <c r="CX119" s="59">
        <f t="shared" si="68"/>
        <v>720.87785231964619</v>
      </c>
      <c r="CY119" s="59">
        <f ca="1">AVERAGE(OFFSET($CX$3,0,0,'Données projet'!$E$13+1,1))-AVERAGE(OFFSET($H$3,0,0,'Données projet'!$E$13+1,1))</f>
        <v>307.62549820830162</v>
      </c>
      <c r="CZ119" s="59">
        <f t="shared" si="96"/>
        <v>160.26466014910304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28.764711228924302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28.764711228924302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68.620977027940825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-1.7053025658242404E-13</v>
      </c>
      <c r="DP119" s="17">
        <f>DO119*VLOOKUP('Données projet'!$B$14,Paramètres!$A$1:$I$89,3,0)*VLOOKUP('Données projet'!$B$14,Paramètres!$A$1:$I$89,5,0)</f>
        <v>-1.3567387213697657E-13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309.14579005132464</v>
      </c>
      <c r="DU119" s="59">
        <f t="shared" si="98"/>
        <v>300.60311050289533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45.130524871118659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45.130524871118659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68.620977027940825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>
        <f>EJ119*VLOOKUP('Données projet'!$B$15,Paramètres!$A$1:$I$89,3,0)*VLOOKUP('Données projet'!$B$15,Paramètres!$A$1:$I$89,5,0)</f>
        <v>0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338.59243085476896</v>
      </c>
      <c r="EP119" s="59">
        <f t="shared" si="100"/>
        <v>329.8393445823275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41.812800022297324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41.812800022297324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68.620977027940825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>
        <f>FE119*VLOOKUP('Données projet'!$B$16,Paramètres!$A$1:$I$89,3,0)*VLOOKUP('Données projet'!$B$16,Paramètres!$A$1:$I$89,5,0)</f>
        <v>0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307.50573770128085</v>
      </c>
      <c r="FK119" s="59">
        <f t="shared" si="102"/>
        <v>300.2007312562655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37.364629807159304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37.364629807159304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68.620977027940825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>
        <f>FZ119*VLOOKUP('Données projet'!$B$17,Paramètres!$A$1:$I$89,3,0)*VLOOKUP('Données projet'!$B$17,Paramètres!$A$1:$I$89,5,0)</f>
        <v>0</v>
      </c>
      <c r="GB119" s="13" t="e">
        <f t="shared" si="103"/>
        <v>#NUM!</v>
      </c>
      <c r="GC119" s="20" t="e">
        <f t="shared" si="79"/>
        <v>#NUM!</v>
      </c>
      <c r="GD119" s="59" t="e">
        <f t="shared" si="80"/>
        <v>#NUM!</v>
      </c>
      <c r="GE119" s="59">
        <f ca="1">AVERAGE(OFFSET($GD$3,0,0,'Données projet'!$E$17+1,1))-AVERAGE(OFFSET($H$3,0,0,'Données projet'!$E$17+1,1))</f>
        <v>369.60865427618342</v>
      </c>
      <c r="GF119" s="59">
        <f t="shared" si="104"/>
        <v>359.40898775279197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46.260970237435338</v>
      </c>
      <c r="GM119" s="21">
        <f>EXP(-LN(2)/25)*GM118+(1-EXP(-LN(2)/25))/(LN(2)/25)*Calculateur!GH119*Calculateur!GJ119*VLOOKUP('Données projet'!$B$17,Paramètres!$A$1:$I$89,3,0)*0.475*44/12</f>
        <v>0</v>
      </c>
      <c r="GN119" s="21">
        <f>EXP(-LN(2)/2)*GN118+(1-EXP(-LN(2)/2))/(LN(2)/2)*GH119*GK119*VLOOKUP('Données projet'!$B$17,Paramètres!$A$1:$I$89,3,0)*0.475*44/12</f>
        <v>0</v>
      </c>
      <c r="GO119" s="21">
        <f t="shared" si="81"/>
        <v>46.260970237435338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68.620977027940825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-1.7053025658242404E-13</v>
      </c>
      <c r="GV119" s="17">
        <f>GU119*VLOOKUP('Données projet'!$B$18,Paramètres!$A$1:$I$89,3,0)*VLOOKUP('Données projet'!$B$18,Paramètres!$A$1:$I$89,5,0)</f>
        <v>-1.1173142411280423E-13</v>
      </c>
      <c r="GW119" s="13" t="e">
        <f t="shared" si="105"/>
        <v>#NUM!</v>
      </c>
      <c r="GX119" s="20" t="e">
        <f t="shared" si="82"/>
        <v>#NUM!</v>
      </c>
      <c r="GY119" s="59" t="e">
        <f t="shared" si="83"/>
        <v>#NUM!</v>
      </c>
      <c r="GZ119" s="59">
        <f ca="1">AVERAGE(OFFSET($GY$3,0,0,'Données projet'!$E$18+1,1))-AVERAGE(OFFSET($H$3,0,0,'Données projet'!$E$18+1,1))</f>
        <v>262.62914256200031</v>
      </c>
      <c r="HA119" s="59">
        <f t="shared" si="106"/>
        <v>256.45129229594409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projet'!$B$18,Paramètres!$A$1:$I$89,3,0)*0.475*44/12</f>
        <v>30.153802411113688</v>
      </c>
      <c r="HH119" s="21">
        <f>EXP(-LN(2)/25)*HH118+(1-EXP(-LN(2)/25))/(LN(2)/25)*Calculateur!HC119*Calculateur!HE119*VLOOKUP('Données projet'!$B$18,Paramètres!$A$1:$I$89,3,0)*0.475*44/12</f>
        <v>0</v>
      </c>
      <c r="HI119" s="21">
        <f>EXP(-LN(2)/2)*HI118+(1-EXP(-LN(2)/2))/(LN(2)/2)*HC119*HF119*VLOOKUP('Données projet'!$B$18,Paramètres!$A$1:$I$89,3,0)*0.475*44/12</f>
        <v>0</v>
      </c>
      <c r="HJ119" s="22">
        <f t="shared" si="84"/>
        <v>30.153802411113688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2.1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7.7</v>
      </c>
      <c r="H120" s="67">
        <f t="shared" si="56"/>
        <v>225.86666666666665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68.644899993472549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5.6</v>
      </c>
      <c r="N120" s="13">
        <f>IF('Données projet'!$A$36&gt;35,N119+M120-V119,IF(A120&lt;'Données projet'!$A$36,$K$205^A120,IF(A120='Données projet'!$A$36,'Données projet'!$B$36,N119+M120-V119)))</f>
        <v>415.2</v>
      </c>
      <c r="O120" s="13">
        <f>N120*VLOOKUP('Données projet'!$B$9,Paramètres!$A$1:$I$89,3,0)*VLOOKUP('Données projet'!$B$9,Paramètres!$A$1:$I$89,5,0)</f>
        <v>356.24160000000001</v>
      </c>
      <c r="P120" s="13">
        <f t="shared" si="87"/>
        <v>82.846396364394451</v>
      </c>
      <c r="Q120" s="20">
        <f t="shared" si="107"/>
        <v>764.74492700132032</v>
      </c>
      <c r="R120" s="59">
        <f t="shared" si="55"/>
        <v>1053.1095603107196</v>
      </c>
      <c r="S120" s="59">
        <f ca="1">AVERAGE(OFFSET($R$3,0,0,'Données projet'!$E$9+1,1))-AVERAGE(OFFSET($H$3,0,0,'Données projet'!$E$9+1,1))</f>
        <v>476.79071915271794</v>
      </c>
      <c r="T120" s="59">
        <f t="shared" si="88"/>
        <v>264.79929759351762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57.926135200977718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57.926135200977718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68.644899993472549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3.6</v>
      </c>
      <c r="AI120" s="13">
        <f>IF('Données projet'!$A$62&gt;35,AI119+AH120-AQ119,IF(A120&lt;'Données projet'!$A$62,$AF$205^A120,IF(A120='Données projet'!$A$62,'Données projet'!$B$62,AI119+AH120-AQ119)))</f>
        <v>274.19999999999982</v>
      </c>
      <c r="AJ120" s="13">
        <f>AI120*VLOOKUP('Données projet'!$B$10,Paramètres!$A$1:$I$89,3,0)*VLOOKUP('Données projet'!$B$10,Paramètres!$A$1:$I$89,5,0)</f>
        <v>230.98607999999984</v>
      </c>
      <c r="AK120" s="13">
        <f t="shared" si="89"/>
        <v>56.495841965100745</v>
      </c>
      <c r="AL120" s="20">
        <f t="shared" si="58"/>
        <v>500.69768075588348</v>
      </c>
      <c r="AM120" s="59">
        <f t="shared" si="59"/>
        <v>789.06231406528286</v>
      </c>
      <c r="AN120" s="59">
        <f ca="1">AVERAGE(OFFSET($AM$3,0,0,'Données projet'!$E$10+1,1))-AVERAGE(OFFSET($H$3,0,0,'Données projet'!$E$10+1,1))</f>
        <v>365.104658862176</v>
      </c>
      <c r="AO120" s="59">
        <f t="shared" si="90"/>
        <v>226.29232910286325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40.935407347418675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40.935407347418675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68.644899993472549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3.6</v>
      </c>
      <c r="BD120" s="12">
        <f>IF('Données projet'!$A$88&gt;35,BD119+BC120-BL119,IF(A120&lt;'Données projet'!$A$88,$BA$205^A120,IF(A120='Données projet'!$A$88,'Données projet'!$B$88,BD119+BC120-BL119)))</f>
        <v>274.19999999999982</v>
      </c>
      <c r="BE120" s="13">
        <f>BD120*VLOOKUP('Données projet'!$B$11,Paramètres!$A$1:$I$89,3,0)*VLOOKUP('Données projet'!$B$11,Paramètres!$A$1:$I$89,5,0)</f>
        <v>248.09615999999983</v>
      </c>
      <c r="BF120" s="13">
        <f t="shared" si="91"/>
        <v>60.178080967364686</v>
      </c>
      <c r="BG120" s="20">
        <f t="shared" si="61"/>
        <v>536.91096968482657</v>
      </c>
      <c r="BH120" s="59">
        <f t="shared" si="62"/>
        <v>825.27560299422589</v>
      </c>
      <c r="BI120" s="59">
        <f ca="1">AVERAGE(OFFSET($BH$3,0,0,'Données projet'!$E$11+1,1))-AVERAGE(OFFSET($H$3,0,0,'Données projet'!$E$11+1,1))</f>
        <v>388.12494342575195</v>
      </c>
      <c r="BJ120" s="59">
        <f t="shared" si="92"/>
        <v>239.39471445648454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43.967659743523768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43.967659743523768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68.644899993472549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3.6</v>
      </c>
      <c r="BY120" s="12">
        <f>IF('Données projet'!$A$114&gt;35,BY119+BX120-CG119,IF(A120&lt;'Données projet'!$A$114,$BV$205^A120,IF(A120='Données projet'!$A$114,'Données projet'!$B$114,BY119+BX120-CG119)))</f>
        <v>274.19999999999982</v>
      </c>
      <c r="BZ120" s="13">
        <f>BY120*VLOOKUP('Données projet'!$B$12,Paramètres!$A$1:$I$89,3,0)*VLOOKUP('Données projet'!$B$12,Paramètres!$A$1:$I$89,5,0)</f>
        <v>278.03879999999981</v>
      </c>
      <c r="CA120" s="13">
        <f t="shared" si="93"/>
        <v>66.552381547717744</v>
      </c>
      <c r="CB120" s="20">
        <f t="shared" si="64"/>
        <v>600.16297452894139</v>
      </c>
      <c r="CC120" s="59">
        <f t="shared" si="65"/>
        <v>888.52760783834083</v>
      </c>
      <c r="CD120" s="59">
        <f ca="1">AVERAGE(OFFSET($CC$3,0,0,'Données projet'!$E$12+1,1))-AVERAGE(OFFSET($H$3,0,0,'Données projet'!$E$12+1,1))</f>
        <v>428.33148932885132</v>
      </c>
      <c r="CE120" s="59">
        <f t="shared" si="94"/>
        <v>262.27548054534373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49.274101436707667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49.274101436707667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68.644899993472549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3</v>
      </c>
      <c r="CT120" s="12">
        <f>IF('Données projet'!$A$140&gt;35,CT119+CS120-DB119,IF(A120&lt;'Données projet'!$A$140,$CQ$205^A120,IF(A120='Données projet'!$A$140,'Données projet'!$B$140,CT119+CS120-DB119)))</f>
        <v>211.99999999999989</v>
      </c>
      <c r="CU120" s="17">
        <f>CT120*VLOOKUP('Données projet'!$B$13,Paramètres!$A$1:$I$89,3,0)*VLOOKUP('Données projet'!$B$13,Paramètres!$A$1:$I$89,5,0)</f>
        <v>201.7391999999999</v>
      </c>
      <c r="CV120" s="13">
        <f t="shared" si="95"/>
        <v>50.126198422100671</v>
      </c>
      <c r="CW120" s="20">
        <f t="shared" si="67"/>
        <v>438.66556891849177</v>
      </c>
      <c r="CX120" s="59">
        <f t="shared" si="68"/>
        <v>727.0302022278911</v>
      </c>
      <c r="CY120" s="59">
        <f ca="1">AVERAGE(OFFSET($CX$3,0,0,'Données projet'!$E$13+1,1))-AVERAGE(OFFSET($H$3,0,0,'Données projet'!$E$13+1,1))</f>
        <v>307.62549820830162</v>
      </c>
      <c r="CZ120" s="59">
        <f t="shared" si="96"/>
        <v>160.26466014910304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28.200652786466545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28.200652786466545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68.644899993472549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-1.7053025658242404E-13</v>
      </c>
      <c r="DP120" s="17">
        <f>DO120*VLOOKUP('Données projet'!$B$14,Paramètres!$A$1:$I$89,3,0)*VLOOKUP('Données projet'!$B$14,Paramètres!$A$1:$I$89,5,0)</f>
        <v>-1.3567387213697657E-13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309.14579005132464</v>
      </c>
      <c r="DU120" s="59">
        <f t="shared" si="98"/>
        <v>300.60311050289533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44.245542805298136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44.245542805298136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68.644899993472549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>
        <f>EJ120*VLOOKUP('Données projet'!$B$15,Paramètres!$A$1:$I$89,3,0)*VLOOKUP('Données projet'!$B$15,Paramètres!$A$1:$I$89,5,0)</f>
        <v>0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338.59243085476896</v>
      </c>
      <c r="EP120" s="59">
        <f t="shared" si="100"/>
        <v>329.8393445823275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40.992876517149845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40.992876517149845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68.644899993472549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>
        <f>FE120*VLOOKUP('Données projet'!$B$16,Paramètres!$A$1:$I$89,3,0)*VLOOKUP('Données projet'!$B$16,Paramètres!$A$1:$I$89,5,0)</f>
        <v>0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307.50573770128085</v>
      </c>
      <c r="FK120" s="59">
        <f t="shared" si="102"/>
        <v>300.2007312562655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36.631932206814753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36.631932206814753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68.644899993472549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>
        <f>FZ120*VLOOKUP('Données projet'!$B$17,Paramètres!$A$1:$I$89,3,0)*VLOOKUP('Données projet'!$B$17,Paramètres!$A$1:$I$89,5,0)</f>
        <v>0</v>
      </c>
      <c r="GB120" s="13" t="e">
        <f t="shared" si="103"/>
        <v>#NUM!</v>
      </c>
      <c r="GC120" s="20" t="e">
        <f t="shared" si="79"/>
        <v>#NUM!</v>
      </c>
      <c r="GD120" s="59" t="e">
        <f t="shared" si="80"/>
        <v>#NUM!</v>
      </c>
      <c r="GE120" s="59">
        <f ca="1">AVERAGE(OFFSET($GD$3,0,0,'Données projet'!$E$17+1,1))-AVERAGE(OFFSET($H$3,0,0,'Données projet'!$E$17+1,1))</f>
        <v>369.60865427618342</v>
      </c>
      <c r="GF120" s="59">
        <f t="shared" si="104"/>
        <v>359.40898775279197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45.353820827484938</v>
      </c>
      <c r="GM120" s="21">
        <f>EXP(-LN(2)/25)*GM119+(1-EXP(-LN(2)/25))/(LN(2)/25)*Calculateur!GH120*Calculateur!GJ120*VLOOKUP('Données projet'!$B$17,Paramètres!$A$1:$I$89,3,0)*0.475*44/12</f>
        <v>0</v>
      </c>
      <c r="GN120" s="21">
        <f>EXP(-LN(2)/2)*GN119+(1-EXP(-LN(2)/2))/(LN(2)/2)*GH120*GK120*VLOOKUP('Données projet'!$B$17,Paramètres!$A$1:$I$89,3,0)*0.475*44/12</f>
        <v>0</v>
      </c>
      <c r="GO120" s="21">
        <f t="shared" si="81"/>
        <v>45.353820827484938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68.644899993472549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-1.7053025658242404E-13</v>
      </c>
      <c r="GV120" s="17">
        <f>GU120*VLOOKUP('Données projet'!$B$18,Paramètres!$A$1:$I$89,3,0)*VLOOKUP('Données projet'!$B$18,Paramètres!$A$1:$I$89,5,0)</f>
        <v>-1.1173142411280423E-13</v>
      </c>
      <c r="GW120" s="13" t="e">
        <f t="shared" si="105"/>
        <v>#NUM!</v>
      </c>
      <c r="GX120" s="20" t="e">
        <f t="shared" si="82"/>
        <v>#NUM!</v>
      </c>
      <c r="GY120" s="59" t="e">
        <f t="shared" si="83"/>
        <v>#NUM!</v>
      </c>
      <c r="GZ120" s="59">
        <f ca="1">AVERAGE(OFFSET($GY$3,0,0,'Données projet'!$E$18+1,1))-AVERAGE(OFFSET($H$3,0,0,'Données projet'!$E$18+1,1))</f>
        <v>262.62914256200031</v>
      </c>
      <c r="HA120" s="59">
        <f t="shared" si="106"/>
        <v>256.45129229594409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projet'!$B$18,Paramètres!$A$1:$I$89,3,0)*0.475*44/12</f>
        <v>29.562504737835159</v>
      </c>
      <c r="HH120" s="21">
        <f>EXP(-LN(2)/25)*HH119+(1-EXP(-LN(2)/25))/(LN(2)/25)*Calculateur!HC120*Calculateur!HE120*VLOOKUP('Données projet'!$B$18,Paramètres!$A$1:$I$89,3,0)*0.475*44/12</f>
        <v>0</v>
      </c>
      <c r="HI120" s="21">
        <f>EXP(-LN(2)/2)*HI119+(1-EXP(-LN(2)/2))/(LN(2)/2)*HC120*HF120*VLOOKUP('Données projet'!$B$18,Paramètres!$A$1:$I$89,3,0)*0.475*44/12</f>
        <v>0</v>
      </c>
      <c r="HJ120" s="22">
        <f t="shared" si="84"/>
        <v>29.562504737835159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2.1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7.7</v>
      </c>
      <c r="H121" s="67">
        <f t="shared" si="56"/>
        <v>225.86666666666665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68.668407949036038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5.6</v>
      </c>
      <c r="N121" s="13">
        <f>IF('Données projet'!$A$36&gt;35,N120+M121-V120,IF(A121&lt;'Données projet'!$A$36,$K$205^A121,IF(A121='Données projet'!$A$36,'Données projet'!$B$36,N120+M121-V120)))</f>
        <v>420.8</v>
      </c>
      <c r="O121" s="13">
        <f>N121*VLOOKUP('Données projet'!$B$9,Paramètres!$A$1:$I$89,3,0)*VLOOKUP('Données projet'!$B$9,Paramètres!$A$1:$I$89,5,0)</f>
        <v>361.04640000000006</v>
      </c>
      <c r="P121" s="13">
        <f t="shared" si="87"/>
        <v>83.832949927579534</v>
      </c>
      <c r="Q121" s="20">
        <f t="shared" si="107"/>
        <v>774.83153445720109</v>
      </c>
      <c r="R121" s="59">
        <f t="shared" si="55"/>
        <v>1063.2823636036665</v>
      </c>
      <c r="S121" s="59">
        <f ca="1">AVERAGE(OFFSET($R$3,0,0,'Données projet'!$E$9+1,1))-AVERAGE(OFFSET($H$3,0,0,'Données projet'!$E$9+1,1))</f>
        <v>476.79071915271794</v>
      </c>
      <c r="T121" s="59">
        <f t="shared" si="88"/>
        <v>264.79929759351762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56.79023902114033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56.79023902114033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68.668407949036038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3.6</v>
      </c>
      <c r="AI121" s="13">
        <f>IF('Données projet'!$A$62&gt;35,AI120+AH121-AQ120,IF(A121&lt;'Données projet'!$A$62,$AF$205^A121,IF(A121='Données projet'!$A$62,'Données projet'!$B$62,AI120+AH121-AQ120)))</f>
        <v>277.79999999999984</v>
      </c>
      <c r="AJ121" s="13">
        <f>AI121*VLOOKUP('Données projet'!$B$10,Paramètres!$A$1:$I$89,3,0)*VLOOKUP('Données projet'!$B$10,Paramètres!$A$1:$I$89,5,0)</f>
        <v>234.01871999999989</v>
      </c>
      <c r="AK121" s="13">
        <f t="shared" si="89"/>
        <v>57.150744810049567</v>
      </c>
      <c r="AL121" s="20">
        <f t="shared" si="58"/>
        <v>507.12015121083613</v>
      </c>
      <c r="AM121" s="59">
        <f t="shared" si="59"/>
        <v>795.57098035730155</v>
      </c>
      <c r="AN121" s="59">
        <f ca="1">AVERAGE(OFFSET($AM$3,0,0,'Données projet'!$E$10+1,1))-AVERAGE(OFFSET($H$3,0,0,'Données projet'!$E$10+1,1))</f>
        <v>365.104658862176</v>
      </c>
      <c r="AO121" s="59">
        <f t="shared" si="90"/>
        <v>226.29232910286325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40.132688977468881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40.132688977468881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68.668407949036038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3.6</v>
      </c>
      <c r="BD121" s="12">
        <f>IF('Données projet'!$A$88&gt;35,BD120+BC121-BL120,IF(A121&lt;'Données projet'!$A$88,$BA$205^A121,IF(A121='Données projet'!$A$88,'Données projet'!$B$88,BD120+BC121-BL120)))</f>
        <v>277.79999999999984</v>
      </c>
      <c r="BE121" s="13">
        <f>BD121*VLOOKUP('Données projet'!$B$11,Paramètres!$A$1:$I$89,3,0)*VLOOKUP('Données projet'!$B$11,Paramètres!$A$1:$I$89,5,0)</f>
        <v>251.35343999999986</v>
      </c>
      <c r="BF121" s="13">
        <f t="shared" si="91"/>
        <v>60.875668525284958</v>
      </c>
      <c r="BG121" s="20">
        <f t="shared" si="61"/>
        <v>543.79903068153772</v>
      </c>
      <c r="BH121" s="59">
        <f t="shared" si="62"/>
        <v>832.2498598280032</v>
      </c>
      <c r="BI121" s="59">
        <f ca="1">AVERAGE(OFFSET($BH$3,0,0,'Données projet'!$E$11+1,1))-AVERAGE(OFFSET($H$3,0,0,'Données projet'!$E$11+1,1))</f>
        <v>388.12494342575195</v>
      </c>
      <c r="BJ121" s="59">
        <f t="shared" si="92"/>
        <v>239.39471445648454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43.105480753577687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43.105480753577687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68.668407949036038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3.6</v>
      </c>
      <c r="BY121" s="12">
        <f>IF('Données projet'!$A$114&gt;35,BY120+BX121-CG120,IF(A121&lt;'Données projet'!$A$114,$BV$205^A121,IF(A121='Données projet'!$A$114,'Données projet'!$B$114,BY120+BX121-CG120)))</f>
        <v>277.79999999999984</v>
      </c>
      <c r="BZ121" s="13">
        <f>BY121*VLOOKUP('Données projet'!$B$12,Paramètres!$A$1:$I$89,3,0)*VLOOKUP('Données projet'!$B$12,Paramètres!$A$1:$I$89,5,0)</f>
        <v>281.68919999999986</v>
      </c>
      <c r="CA121" s="13">
        <f t="shared" si="93"/>
        <v>67.32386034151358</v>
      </c>
      <c r="CB121" s="20">
        <f t="shared" si="64"/>
        <v>607.86441342813589</v>
      </c>
      <c r="CC121" s="59">
        <f t="shared" si="65"/>
        <v>896.31524257460137</v>
      </c>
      <c r="CD121" s="59">
        <f ca="1">AVERAGE(OFFSET($CC$3,0,0,'Données projet'!$E$12+1,1))-AVERAGE(OFFSET($H$3,0,0,'Données projet'!$E$12+1,1))</f>
        <v>428.33148932885132</v>
      </c>
      <c r="CE121" s="59">
        <f t="shared" si="94"/>
        <v>262.27548054534373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48.307866361768099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48.307866361768099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68.668407949036038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3</v>
      </c>
      <c r="CT121" s="12">
        <f>IF('Données projet'!$A$140&gt;35,CT120+CS121-DB120,IF(A121&lt;'Données projet'!$A$140,$CQ$205^A121,IF(A121='Données projet'!$A$140,'Données projet'!$B$140,CT120+CS121-DB120)))</f>
        <v>214.99999999999989</v>
      </c>
      <c r="CU121" s="17">
        <f>CT121*VLOOKUP('Données projet'!$B$13,Paramètres!$A$1:$I$89,3,0)*VLOOKUP('Données projet'!$B$13,Paramètres!$A$1:$I$89,5,0)</f>
        <v>204.59399999999988</v>
      </c>
      <c r="CV121" s="13">
        <f t="shared" si="95"/>
        <v>50.752451560432448</v>
      </c>
      <c r="CW121" s="20">
        <f t="shared" si="67"/>
        <v>444.72840313441958</v>
      </c>
      <c r="CX121" s="59">
        <f t="shared" si="68"/>
        <v>733.17923228088512</v>
      </c>
      <c r="CY121" s="59">
        <f ca="1">AVERAGE(OFFSET($CX$3,0,0,'Données projet'!$E$13+1,1))-AVERAGE(OFFSET($H$3,0,0,'Données projet'!$E$13+1,1))</f>
        <v>307.62549820830162</v>
      </c>
      <c r="CZ121" s="59">
        <f t="shared" si="96"/>
        <v>160.26466014910304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27.647655186023709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27.647655186023709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68.668407949036038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-1.7053025658242404E-13</v>
      </c>
      <c r="DP121" s="17">
        <f>DO121*VLOOKUP('Données projet'!$B$14,Paramètres!$A$1:$I$89,3,0)*VLOOKUP('Données projet'!$B$14,Paramètres!$A$1:$I$89,5,0)</f>
        <v>-1.3567387213697657E-13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309.14579005132464</v>
      </c>
      <c r="DU121" s="59">
        <f t="shared" si="98"/>
        <v>300.60311050289533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43.377914698002591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43.377914698002591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68.668407949036038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>
        <f>EJ121*VLOOKUP('Données projet'!$B$15,Paramètres!$A$1:$I$89,3,0)*VLOOKUP('Données projet'!$B$15,Paramètres!$A$1:$I$89,5,0)</f>
        <v>0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338.59243085476896</v>
      </c>
      <c r="EP121" s="59">
        <f t="shared" si="100"/>
        <v>329.8393445823275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40.189031211834354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40.189031211834354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68.668407949036038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>
        <f>FE121*VLOOKUP('Données projet'!$B$16,Paramètres!$A$1:$I$89,3,0)*VLOOKUP('Données projet'!$B$16,Paramètres!$A$1:$I$89,5,0)</f>
        <v>0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307.50573770128085</v>
      </c>
      <c r="FK121" s="59">
        <f t="shared" si="102"/>
        <v>300.2007312562655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35.913602359511543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35.913602359511543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68.668407949036038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>
        <f>FZ121*VLOOKUP('Données projet'!$B$17,Paramètres!$A$1:$I$89,3,0)*VLOOKUP('Données projet'!$B$17,Paramètres!$A$1:$I$89,5,0)</f>
        <v>0</v>
      </c>
      <c r="GB121" s="13" t="e">
        <f t="shared" si="103"/>
        <v>#NUM!</v>
      </c>
      <c r="GC121" s="20" t="e">
        <f t="shared" si="79"/>
        <v>#NUM!</v>
      </c>
      <c r="GD121" s="59" t="e">
        <f t="shared" si="80"/>
        <v>#NUM!</v>
      </c>
      <c r="GE121" s="59">
        <f ca="1">AVERAGE(OFFSET($GD$3,0,0,'Données projet'!$E$17+1,1))-AVERAGE(OFFSET($H$3,0,0,'Données projet'!$E$17+1,1))</f>
        <v>369.60865427618342</v>
      </c>
      <c r="GF121" s="59">
        <f t="shared" si="104"/>
        <v>359.40898775279197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44.464460064157159</v>
      </c>
      <c r="GM121" s="21">
        <f>EXP(-LN(2)/25)*GM120+(1-EXP(-LN(2)/25))/(LN(2)/25)*Calculateur!GH121*Calculateur!GJ121*VLOOKUP('Données projet'!$B$17,Paramètres!$A$1:$I$89,3,0)*0.475*44/12</f>
        <v>0</v>
      </c>
      <c r="GN121" s="21">
        <f>EXP(-LN(2)/2)*GN120+(1-EXP(-LN(2)/2))/(LN(2)/2)*GH121*GK121*VLOOKUP('Données projet'!$B$17,Paramètres!$A$1:$I$89,3,0)*0.475*44/12</f>
        <v>0</v>
      </c>
      <c r="GO121" s="21">
        <f t="shared" si="81"/>
        <v>44.464460064157159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68.668407949036038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-1.7053025658242404E-13</v>
      </c>
      <c r="GV121" s="17">
        <f>GU121*VLOOKUP('Données projet'!$B$18,Paramètres!$A$1:$I$89,3,0)*VLOOKUP('Données projet'!$B$18,Paramètres!$A$1:$I$89,5,0)</f>
        <v>-1.1173142411280423E-13</v>
      </c>
      <c r="GW121" s="13" t="e">
        <f t="shared" si="105"/>
        <v>#NUM!</v>
      </c>
      <c r="GX121" s="20" t="e">
        <f t="shared" si="82"/>
        <v>#NUM!</v>
      </c>
      <c r="GY121" s="59" t="e">
        <f t="shared" si="83"/>
        <v>#NUM!</v>
      </c>
      <c r="GZ121" s="59">
        <f ca="1">AVERAGE(OFFSET($GY$3,0,0,'Données projet'!$E$18+1,1))-AVERAGE(OFFSET($H$3,0,0,'Données projet'!$E$18+1,1))</f>
        <v>262.62914256200031</v>
      </c>
      <c r="HA121" s="59">
        <f t="shared" si="106"/>
        <v>256.45129229594409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projet'!$B$18,Paramètres!$A$1:$I$89,3,0)*0.475*44/12</f>
        <v>28.982802051273655</v>
      </c>
      <c r="HH121" s="21">
        <f>EXP(-LN(2)/25)*HH120+(1-EXP(-LN(2)/25))/(LN(2)/25)*Calculateur!HC121*Calculateur!HE121*VLOOKUP('Données projet'!$B$18,Paramètres!$A$1:$I$89,3,0)*0.475*44/12</f>
        <v>0</v>
      </c>
      <c r="HI121" s="21">
        <f>EXP(-LN(2)/2)*HI120+(1-EXP(-LN(2)/2))/(LN(2)/2)*HC121*HF121*VLOOKUP('Données projet'!$B$18,Paramètres!$A$1:$I$89,3,0)*0.475*44/12</f>
        <v>0</v>
      </c>
      <c r="HJ121" s="22">
        <f t="shared" si="84"/>
        <v>28.982802051273655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2.1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7.7</v>
      </c>
      <c r="H122" s="67">
        <f t="shared" si="56"/>
        <v>225.86666666666665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68.691508094126419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5.6</v>
      </c>
      <c r="N122" s="13">
        <f>IF('Données projet'!$A$36&gt;35,N121+M122-V121,IF(A122&lt;'Données projet'!$A$36,$K$205^A122,IF(A122='Données projet'!$A$36,'Données projet'!$B$36,N121+M122-V121)))</f>
        <v>426.40000000000003</v>
      </c>
      <c r="O122" s="13">
        <f>N122*VLOOKUP('Données projet'!$B$9,Paramètres!$A$1:$I$89,3,0)*VLOOKUP('Données projet'!$B$9,Paramètres!$A$1:$I$89,5,0)</f>
        <v>365.85120000000006</v>
      </c>
      <c r="P122" s="13">
        <f t="shared" si="87"/>
        <v>84.817976405900239</v>
      </c>
      <c r="Q122" s="20">
        <f t="shared" si="107"/>
        <v>784.91548224027645</v>
      </c>
      <c r="R122" s="59">
        <f t="shared" si="55"/>
        <v>1073.4510119187401</v>
      </c>
      <c r="S122" s="59">
        <f ca="1">AVERAGE(OFFSET($R$3,0,0,'Données projet'!$E$9+1,1))-AVERAGE(OFFSET($H$3,0,0,'Données projet'!$E$9+1,1))</f>
        <v>476.79071915271794</v>
      </c>
      <c r="T122" s="59">
        <f t="shared" si="88"/>
        <v>264.79929759351762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55.676617072561292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55.676617072561292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68.691508094126419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3.6</v>
      </c>
      <c r="AI122" s="13">
        <f>IF('Données projet'!$A$62&gt;35,AI121+AH122-AQ121,IF(A122&lt;'Données projet'!$A$62,$AF$205^A122,IF(A122='Données projet'!$A$62,'Données projet'!$B$62,AI121+AH122-AQ121)))</f>
        <v>281.39999999999986</v>
      </c>
      <c r="AJ122" s="13">
        <f>AI122*VLOOKUP('Données projet'!$B$10,Paramètres!$A$1:$I$89,3,0)*VLOOKUP('Données projet'!$B$10,Paramètres!$A$1:$I$89,5,0)</f>
        <v>237.0513599999999</v>
      </c>
      <c r="AK122" s="13">
        <f t="shared" si="89"/>
        <v>57.804660499742972</v>
      </c>
      <c r="AL122" s="20">
        <f t="shared" si="58"/>
        <v>513.54090237038554</v>
      </c>
      <c r="AM122" s="59">
        <f t="shared" si="59"/>
        <v>802.07643204884903</v>
      </c>
      <c r="AN122" s="59">
        <f ca="1">AVERAGE(OFFSET($AM$3,0,0,'Données projet'!$E$10+1,1))-AVERAGE(OFFSET($H$3,0,0,'Données projet'!$E$10+1,1))</f>
        <v>365.104658862176</v>
      </c>
      <c r="AO122" s="59">
        <f t="shared" si="90"/>
        <v>226.29232910286325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39.345711425143939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39.345711425143939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68.691508094126419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3.6</v>
      </c>
      <c r="BD122" s="12">
        <f>IF('Données projet'!$A$88&gt;35,BD121+BC122-BL121,IF(A122&lt;'Données projet'!$A$88,$BA$205^A122,IF(A122='Données projet'!$A$88,'Données projet'!$B$88,BD121+BC122-BL121)))</f>
        <v>281.39999999999986</v>
      </c>
      <c r="BE122" s="13">
        <f>BD122*VLOOKUP('Données projet'!$B$11,Paramètres!$A$1:$I$89,3,0)*VLOOKUP('Données projet'!$B$11,Paramètres!$A$1:$I$89,5,0)</f>
        <v>254.61071999999987</v>
      </c>
      <c r="BF122" s="13">
        <f t="shared" si="91"/>
        <v>61.572204587965679</v>
      </c>
      <c r="BG122" s="20">
        <f t="shared" si="61"/>
        <v>550.68526032403997</v>
      </c>
      <c r="BH122" s="59">
        <f t="shared" si="62"/>
        <v>839.22079000250346</v>
      </c>
      <c r="BI122" s="59">
        <f ca="1">AVERAGE(OFFSET($BH$3,0,0,'Données projet'!$E$11+1,1))-AVERAGE(OFFSET($H$3,0,0,'Données projet'!$E$11+1,1))</f>
        <v>388.12494342575195</v>
      </c>
      <c r="BJ122" s="59">
        <f t="shared" si="92"/>
        <v>239.39471445648454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42.260208567747192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42.260208567747192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68.691508094126419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3.6</v>
      </c>
      <c r="BY122" s="12">
        <f>IF('Données projet'!$A$114&gt;35,BY121+BX122-CG121,IF(A122&lt;'Données projet'!$A$114,$BV$205^A122,IF(A122='Données projet'!$A$114,'Données projet'!$B$114,BY121+BX122-CG121)))</f>
        <v>281.39999999999986</v>
      </c>
      <c r="BZ122" s="13">
        <f>BY122*VLOOKUP('Données projet'!$B$12,Paramètres!$A$1:$I$89,3,0)*VLOOKUP('Données projet'!$B$12,Paramètres!$A$1:$I$89,5,0)</f>
        <v>285.33959999999985</v>
      </c>
      <c r="CA122" s="13">
        <f t="shared" si="93"/>
        <v>68.094176261531288</v>
      </c>
      <c r="CB122" s="20">
        <f t="shared" si="64"/>
        <v>615.5638269888334</v>
      </c>
      <c r="CC122" s="59">
        <f t="shared" si="65"/>
        <v>904.09935666729689</v>
      </c>
      <c r="CD122" s="59">
        <f ca="1">AVERAGE(OFFSET($CC$3,0,0,'Données projet'!$E$12+1,1))-AVERAGE(OFFSET($H$3,0,0,'Données projet'!$E$12+1,1))</f>
        <v>428.33148932885132</v>
      </c>
      <c r="CE122" s="59">
        <f t="shared" si="94"/>
        <v>262.27548054534373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47.360578567302888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47.360578567302888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68.691508094126419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3</v>
      </c>
      <c r="CT122" s="12">
        <f>IF('Données projet'!$A$140&gt;35,CT121+CS122-DB121,IF(A122&lt;'Données projet'!$A$140,$CQ$205^A122,IF(A122='Données projet'!$A$140,'Données projet'!$B$140,CT121+CS122-DB121)))</f>
        <v>217.99999999999989</v>
      </c>
      <c r="CU122" s="17">
        <f>CT122*VLOOKUP('Données projet'!$B$13,Paramètres!$A$1:$I$89,3,0)*VLOOKUP('Données projet'!$B$13,Paramètres!$A$1:$I$89,5,0)</f>
        <v>207.44879999999989</v>
      </c>
      <c r="CV122" s="13">
        <f t="shared" si="95"/>
        <v>51.377688337856306</v>
      </c>
      <c r="CW122" s="20">
        <f t="shared" si="67"/>
        <v>450.78946718843281</v>
      </c>
      <c r="CX122" s="59">
        <f t="shared" si="68"/>
        <v>739.3249968668963</v>
      </c>
      <c r="CY122" s="59">
        <f ca="1">AVERAGE(OFFSET($CX$3,0,0,'Données projet'!$E$13+1,1))-AVERAGE(OFFSET($H$3,0,0,'Données projet'!$E$13+1,1))</f>
        <v>307.62549820830162</v>
      </c>
      <c r="CZ122" s="59">
        <f t="shared" si="96"/>
        <v>160.26466014910304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27.105501531230324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27.105501531230324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68.691508094126419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-1.7053025658242404E-13</v>
      </c>
      <c r="DP122" s="17">
        <f>DO122*VLOOKUP('Données projet'!$B$14,Paramètres!$A$1:$I$89,3,0)*VLOOKUP('Données projet'!$B$14,Paramètres!$A$1:$I$89,5,0)</f>
        <v>-1.3567387213697657E-13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309.14579005132464</v>
      </c>
      <c r="DU122" s="59">
        <f t="shared" si="98"/>
        <v>300.60311050289533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42.527300248690224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42.527300248690224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68.691508094126419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>
        <f>EJ122*VLOOKUP('Données projet'!$B$15,Paramètres!$A$1:$I$89,3,0)*VLOOKUP('Données projet'!$B$15,Paramètres!$A$1:$I$89,5,0)</f>
        <v>0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338.59243085476896</v>
      </c>
      <c r="EP122" s="59">
        <f t="shared" si="100"/>
        <v>329.8393445823275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39.400948822658876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39.400948822658876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68.691508094126419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>
        <f>FE122*VLOOKUP('Données projet'!$B$16,Paramètres!$A$1:$I$89,3,0)*VLOOKUP('Données projet'!$B$16,Paramètres!$A$1:$I$89,5,0)</f>
        <v>0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307.50573770128085</v>
      </c>
      <c r="FK122" s="59">
        <f t="shared" si="102"/>
        <v>300.2007312562655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35.209358522376007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35.209358522376007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68.691508094126419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>
        <f>FZ122*VLOOKUP('Données projet'!$B$17,Paramètres!$A$1:$I$89,3,0)*VLOOKUP('Données projet'!$B$17,Paramètres!$A$1:$I$89,5,0)</f>
        <v>0</v>
      </c>
      <c r="GB122" s="13" t="e">
        <f t="shared" si="103"/>
        <v>#NUM!</v>
      </c>
      <c r="GC122" s="20" t="e">
        <f t="shared" si="79"/>
        <v>#NUM!</v>
      </c>
      <c r="GD122" s="59" t="e">
        <f t="shared" si="80"/>
        <v>#NUM!</v>
      </c>
      <c r="GE122" s="59">
        <f ca="1">AVERAGE(OFFSET($GD$3,0,0,'Données projet'!$E$17+1,1))-AVERAGE(OFFSET($H$3,0,0,'Données projet'!$E$17+1,1))</f>
        <v>369.60865427618342</v>
      </c>
      <c r="GF122" s="59">
        <f t="shared" si="104"/>
        <v>359.40898775279197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43.592539122941737</v>
      </c>
      <c r="GM122" s="21">
        <f>EXP(-LN(2)/25)*GM121+(1-EXP(-LN(2)/25))/(LN(2)/25)*Calculateur!GH122*Calculateur!GJ122*VLOOKUP('Données projet'!$B$17,Paramètres!$A$1:$I$89,3,0)*0.475*44/12</f>
        <v>0</v>
      </c>
      <c r="GN122" s="21">
        <f>EXP(-LN(2)/2)*GN121+(1-EXP(-LN(2)/2))/(LN(2)/2)*GH122*GK122*VLOOKUP('Données projet'!$B$17,Paramètres!$A$1:$I$89,3,0)*0.475*44/12</f>
        <v>0</v>
      </c>
      <c r="GO122" s="21">
        <f t="shared" si="81"/>
        <v>43.592539122941737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68.691508094126419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-1.7053025658242404E-13</v>
      </c>
      <c r="GV122" s="17">
        <f>GU122*VLOOKUP('Données projet'!$B$18,Paramètres!$A$1:$I$89,3,0)*VLOOKUP('Données projet'!$B$18,Paramètres!$A$1:$I$89,5,0)</f>
        <v>-1.1173142411280423E-13</v>
      </c>
      <c r="GW122" s="13" t="e">
        <f t="shared" si="105"/>
        <v>#NUM!</v>
      </c>
      <c r="GX122" s="20" t="e">
        <f t="shared" si="82"/>
        <v>#NUM!</v>
      </c>
      <c r="GY122" s="59" t="e">
        <f t="shared" si="83"/>
        <v>#NUM!</v>
      </c>
      <c r="GZ122" s="59">
        <f ca="1">AVERAGE(OFFSET($GY$3,0,0,'Données projet'!$E$18+1,1))-AVERAGE(OFFSET($H$3,0,0,'Données projet'!$E$18+1,1))</f>
        <v>262.62914256200031</v>
      </c>
      <c r="HA122" s="59">
        <f t="shared" si="106"/>
        <v>256.45129229594409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projet'!$B$18,Paramètres!$A$1:$I$89,3,0)*0.475*44/12</f>
        <v>28.414466980811895</v>
      </c>
      <c r="HH122" s="21">
        <f>EXP(-LN(2)/25)*HH121+(1-EXP(-LN(2)/25))/(LN(2)/25)*Calculateur!HC122*Calculateur!HE122*VLOOKUP('Données projet'!$B$18,Paramètres!$A$1:$I$89,3,0)*0.475*44/12</f>
        <v>0</v>
      </c>
      <c r="HI122" s="21">
        <f>EXP(-LN(2)/2)*HI121+(1-EXP(-LN(2)/2))/(LN(2)/2)*HC122*HF122*VLOOKUP('Données projet'!$B$18,Paramètres!$A$1:$I$89,3,0)*0.475*44/12</f>
        <v>0</v>
      </c>
      <c r="HJ122" s="22">
        <f t="shared" si="84"/>
        <v>28.414466980811895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2.1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7.7</v>
      </c>
      <c r="H123" s="67">
        <f t="shared" si="56"/>
        <v>225.86666666666665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68.714207503343687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432</v>
      </c>
      <c r="L123" s="12">
        <f>VLOOKUP(A123,'Données projet'!$A$35:$I$55,9,0)</f>
        <v>5.6</v>
      </c>
      <c r="M123" s="12">
        <f t="array" ref="M123">INDEX(L:L,MIN(IF(ISNUMBER(L123:L319),ROW(L123:L319),"")))</f>
        <v>5.6</v>
      </c>
      <c r="N123" s="13">
        <f>IF('Données projet'!$A$36&gt;35,N122+M123-V122,IF(A123&lt;'Données projet'!$A$36,$K$205^A123,IF(A123='Données projet'!$A$36,'Données projet'!$B$36,N122+M123-V122)))</f>
        <v>432.00000000000006</v>
      </c>
      <c r="O123" s="13">
        <f>N123*VLOOKUP('Données projet'!$B$9,Paramètres!$A$1:$I$89,3,0)*VLOOKUP('Données projet'!$B$9,Paramètres!$A$1:$I$89,5,0)</f>
        <v>370.65600000000012</v>
      </c>
      <c r="P123" s="13">
        <f t="shared" si="87"/>
        <v>85.801498173531627</v>
      </c>
      <c r="Q123" s="20">
        <f t="shared" si="107"/>
        <v>794.996809318901</v>
      </c>
      <c r="R123" s="59">
        <f t="shared" si="55"/>
        <v>1083.6155701644946</v>
      </c>
      <c r="S123" s="59">
        <f ca="1">AVERAGE(OFFSET($R$3,0,0,'Données projet'!$E$9+1,1))-AVERAGE(OFFSET($H$3,0,0,'Données projet'!$E$9+1,1))</f>
        <v>476.79071915271794</v>
      </c>
      <c r="T123" s="59">
        <f t="shared" si="88"/>
        <v>264.79929759351762</v>
      </c>
      <c r="U123" s="15">
        <f>IF(ISNA(VLOOKUP(A123,'Données projet'!$A$35:$I$55,3,0)),0,VLOOKUP(A123,'Données projet'!$A$35:$I$55,3,0))</f>
        <v>21</v>
      </c>
      <c r="V123" s="15">
        <f>IF(ISNA(VLOOKUP(A123,'Données projet'!$A$35:$I$55,4,0)),0,VLOOKUP(A123,'Données projet'!$A$35:$I$55,4,0))</f>
        <v>432</v>
      </c>
      <c r="W123" s="16">
        <f>IF(ISNA(VLOOKUP(A123,'Données projet'!$A$35:$I$55,5,0)),0%,VLOOKUP(A123,'Données projet'!$A$35:$I$55,5,0)*VLOOKUP('Données projet'!$B$9,Paramètres!$A$1:$I$89,7,0))</f>
        <v>0.42400000000000004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228.31850566552561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228.31850566552561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68.714207503343687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285</v>
      </c>
      <c r="AG123" s="12">
        <f>VLOOKUP(A123,'Données projet'!$A$61:$I$81,9,0)</f>
        <v>3.6</v>
      </c>
      <c r="AH123" s="12">
        <f t="array" ref="AH123">INDEX(AG:AG,MIN(IF(ISNUMBER(AG123:AG319),ROW(AG123:AG319),"")))</f>
        <v>3.6</v>
      </c>
      <c r="AI123" s="13">
        <f>IF('Données projet'!$A$62&gt;35,AI122+AH123-AQ122,IF(A123&lt;'Données projet'!$A$62,$AF$205^A123,IF(A123='Données projet'!$A$62,'Données projet'!$B$62,AI122+AH123-AQ122)))</f>
        <v>284.99999999999989</v>
      </c>
      <c r="AJ123" s="13">
        <f>AI123*VLOOKUP('Données projet'!$B$10,Paramètres!$A$1:$I$89,3,0)*VLOOKUP('Données projet'!$B$10,Paramètres!$A$1:$I$89,5,0)</f>
        <v>240.08399999999992</v>
      </c>
      <c r="AK123" s="13">
        <f t="shared" si="89"/>
        <v>58.457603123312154</v>
      </c>
      <c r="AL123" s="20">
        <f t="shared" si="58"/>
        <v>519.9599587731019</v>
      </c>
      <c r="AM123" s="59">
        <f t="shared" si="59"/>
        <v>808.57871961869546</v>
      </c>
      <c r="AN123" s="59">
        <f ca="1">AVERAGE(OFFSET($AM$3,0,0,'Données projet'!$E$10+1,1))-AVERAGE(OFFSET($H$3,0,0,'Données projet'!$E$10+1,1))</f>
        <v>365.104658862176</v>
      </c>
      <c r="AO123" s="59">
        <f t="shared" si="90"/>
        <v>226.29232910286325</v>
      </c>
      <c r="AP123" s="15">
        <f>IF(ISNA(VLOOKUP(A123,'Données projet'!$A$61:$I$81,3,0)),0,VLOOKUP(A123,'Données projet'!$A$61:$I$81,3,0))</f>
        <v>21</v>
      </c>
      <c r="AQ123" s="15">
        <f>IF(ISNA(VLOOKUP(A123,'Données projet'!$A$61:$I$81,4,0)),0,VLOOKUP(A123,'Données projet'!$A$61:$I$81,4,0))</f>
        <v>285</v>
      </c>
      <c r="AR123" s="16">
        <f>IF(ISNA(VLOOKUP(A123,'Données projet'!$A$61:$I$81,5,0)),0%,VLOOKUP(A123,'Données projet'!$A$61:$I$81,5,0)*VLOOKUP('Données projet'!$B$10,Paramètres!$A$1:$I$89,7,0))</f>
        <v>0.34400000000000003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129.87374422893853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129.87374422893853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68.714207503343687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285</v>
      </c>
      <c r="BB123" s="12">
        <f>VLOOKUP(A123,'Données projet'!$A$87:$I$107,9,0)</f>
        <v>3.6</v>
      </c>
      <c r="BC123" s="12">
        <f t="array" ref="BC123">INDEX(BB:BB,MIN(IF(ISNUMBER(BB123:BB319),ROW(BB123:BB319),"")))</f>
        <v>3.6</v>
      </c>
      <c r="BD123" s="12">
        <f>IF('Données projet'!$A$88&gt;35,BD122+BC123-BL122,IF(A123&lt;'Données projet'!$A$88,$BA$205^A123,IF(A123='Données projet'!$A$88,'Données projet'!$B$88,BD122+BC123-BL122)))</f>
        <v>284.99999999999989</v>
      </c>
      <c r="BE123" s="13">
        <f>BD123*VLOOKUP('Données projet'!$B$11,Paramètres!$A$1:$I$89,3,0)*VLOOKUP('Données projet'!$B$11,Paramètres!$A$1:$I$89,5,0)</f>
        <v>257.86799999999988</v>
      </c>
      <c r="BF123" s="13">
        <f t="shared" si="91"/>
        <v>62.267704162827471</v>
      </c>
      <c r="BG123" s="20">
        <f t="shared" si="61"/>
        <v>557.56968475025758</v>
      </c>
      <c r="BH123" s="59">
        <f t="shared" si="62"/>
        <v>846.18844559585114</v>
      </c>
      <c r="BI123" s="59">
        <f ca="1">AVERAGE(OFFSET($BH$3,0,0,'Données projet'!$E$11+1,1))-AVERAGE(OFFSET($H$3,0,0,'Données projet'!$E$11+1,1))</f>
        <v>388.12494342575195</v>
      </c>
      <c r="BJ123" s="59">
        <f t="shared" si="92"/>
        <v>239.39471445648454</v>
      </c>
      <c r="BK123" s="15">
        <f>IF(ISNA(VLOOKUP(A123,'Données projet'!$A$87:$I$107,3,0)),0,VLOOKUP(A123,'Données projet'!$A$87:$I$107,3,0))</f>
        <v>21</v>
      </c>
      <c r="BL123" s="15">
        <f>IF(ISNA(VLOOKUP(A123,'Données projet'!$A$87:$I$107,4,0)),0,VLOOKUP(A123,'Données projet'!$A$87:$I$107,4,0))</f>
        <v>285</v>
      </c>
      <c r="BM123" s="16">
        <f>IF(ISNA(VLOOKUP(A123,'Données projet'!$A$87:$I$107,5,0)),0%,VLOOKUP(A123,'Données projet'!$A$87:$I$107,5,0)*VLOOKUP('Données projet'!$B$11,Paramètres!$A$1:$I$89,7,0))</f>
        <v>0.34400000000000003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139.49402157923026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139.49402157923026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68.714207503343687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>
        <f>VLOOKUP(A123,'Données projet'!$A$113:$I$133,2,0)</f>
        <v>285</v>
      </c>
      <c r="BW123" s="12">
        <f>VLOOKUP(A123,'Données projet'!$A$113:$I$133,9,0)</f>
        <v>3.6</v>
      </c>
      <c r="BX123" s="12">
        <f t="array" ref="BX123">INDEX(BW:BW,MIN(IF(ISNUMBER(BW123:BW319),ROW(BW123:BW319),"")))</f>
        <v>3.6</v>
      </c>
      <c r="BY123" s="12">
        <f>IF('Données projet'!$A$114&gt;35,BY122+BX123-CG122,IF(A123&lt;'Données projet'!$A$114,$BV$205^A123,IF(A123='Données projet'!$A$114,'Données projet'!$B$114,BY122+BX123-CG122)))</f>
        <v>284.99999999999989</v>
      </c>
      <c r="BZ123" s="13">
        <f>BY123*VLOOKUP('Données projet'!$B$12,Paramètres!$A$1:$I$89,3,0)*VLOOKUP('Données projet'!$B$12,Paramètres!$A$1:$I$89,5,0)</f>
        <v>288.9899999999999</v>
      </c>
      <c r="CA123" s="13">
        <f t="shared" si="93"/>
        <v>68.863345904836791</v>
      </c>
      <c r="CB123" s="20">
        <f t="shared" si="64"/>
        <v>623.26124411759065</v>
      </c>
      <c r="CC123" s="59">
        <f t="shared" si="65"/>
        <v>911.88000496318409</v>
      </c>
      <c r="CD123" s="59">
        <f ca="1">AVERAGE(OFFSET($CC$3,0,0,'Données projet'!$E$12+1,1))-AVERAGE(OFFSET($H$3,0,0,'Données projet'!$E$12+1,1))</f>
        <v>428.33148932885132</v>
      </c>
      <c r="CE123" s="59">
        <f t="shared" si="94"/>
        <v>262.27548054534373</v>
      </c>
      <c r="CF123" s="15">
        <f>IF(ISNA(VLOOKUP(A123,'Données projet'!$A$113:$I$133,3,0)),0,VLOOKUP(A123,'Données projet'!$A$113:$I$133,3,0))</f>
        <v>21</v>
      </c>
      <c r="CG123" s="15">
        <f>IF(ISNA(VLOOKUP(A123,'Données projet'!$A$113:$I$133,4,0)),0,VLOOKUP(A123,'Données projet'!$A$113:$I$133,4,0))</f>
        <v>285</v>
      </c>
      <c r="CH123" s="16">
        <f>IF(ISNA(VLOOKUP(A123,'Données projet'!$A$113:$I$133,5,0)),0%,VLOOKUP(A123,'Données projet'!$A$113:$I$133,5,0)*VLOOKUP('Données projet'!$B$12,Paramètres!$A$1:$I$89,7,0))</f>
        <v>0.34400000000000003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156.32950694224081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156.32950694224081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68.714207503343687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>
        <f>VLOOKUP(A123,'Données projet'!$A$139:$I$159,2,0)</f>
        <v>221</v>
      </c>
      <c r="CR123" s="12">
        <f>VLOOKUP(A123,'Données projet'!$A$139:$I$159,9,0)</f>
        <v>3</v>
      </c>
      <c r="CS123" s="12">
        <f t="array" ref="CS123">INDEX(CR:CR,MIN(IF(ISNUMBER(CR123:CR319),ROW(CR123:CR319),"")))</f>
        <v>3</v>
      </c>
      <c r="CT123" s="12">
        <f>IF('Données projet'!$A$140&gt;35,CT122+CS123-DB122,IF(A123&lt;'Données projet'!$A$140,$CQ$205^A123,IF(A123='Données projet'!$A$140,'Données projet'!$B$140,CT122+CS123-DB122)))</f>
        <v>220.99999999999989</v>
      </c>
      <c r="CU123" s="17">
        <f>CT123*VLOOKUP('Données projet'!$B$13,Paramètres!$A$1:$I$89,3,0)*VLOOKUP('Données projet'!$B$13,Paramètres!$A$1:$I$89,5,0)</f>
        <v>210.30359999999988</v>
      </c>
      <c r="CV123" s="13">
        <f t="shared" si="95"/>
        <v>52.001924357524459</v>
      </c>
      <c r="CW123" s="20">
        <f t="shared" si="67"/>
        <v>456.84878825602158</v>
      </c>
      <c r="CX123" s="59">
        <f t="shared" si="68"/>
        <v>745.46754910161508</v>
      </c>
      <c r="CY123" s="59">
        <f ca="1">AVERAGE(OFFSET($CX$3,0,0,'Données projet'!$E$13+1,1))-AVERAGE(OFFSET($H$3,0,0,'Données projet'!$E$13+1,1))</f>
        <v>307.62549820830162</v>
      </c>
      <c r="CZ123" s="59">
        <f t="shared" si="96"/>
        <v>160.26466014910304</v>
      </c>
      <c r="DA123" s="15">
        <f>IF(ISNA(VLOOKUP(A123,'Données projet'!$A$139:$I$159,3,0)),0,VLOOKUP(A123,'Données projet'!$A$139:$I$159,3,0))</f>
        <v>20</v>
      </c>
      <c r="DB123" s="15">
        <f>IF(ISNA(VLOOKUP(A123,'Données projet'!$A$139:$I$159,4,0)),0,VLOOKUP(A123,'Données projet'!$A$139:$I$159,4,0))</f>
        <v>221</v>
      </c>
      <c r="DC123" s="16">
        <f>IF(ISNA(VLOOKUP(A123,'Données projet'!$A$139:$I$159,5,0)),0%,VLOOKUP(A123,'Données projet'!$A$139:$I$159,5,0)*VLOOKUP('Données projet'!$B$13,Paramètres!$A$1:$I$89,7,0))</f>
        <v>0.34400000000000003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106.5486129540725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106.5486129540725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68.714207503343687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-1.7053025658242404E-13</v>
      </c>
      <c r="DP123" s="17">
        <f>DO123*VLOOKUP('Données projet'!$B$14,Paramètres!$A$1:$I$89,3,0)*VLOOKUP('Données projet'!$B$14,Paramètres!$A$1:$I$89,5,0)</f>
        <v>-1.3567387213697657E-13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309.14579005132464</v>
      </c>
      <c r="DU123" s="59">
        <f t="shared" si="98"/>
        <v>300.60311050289533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41.693365829905289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41.693365829905289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68.714207503343687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>
        <f>EJ123*VLOOKUP('Données projet'!$B$15,Paramètres!$A$1:$I$89,3,0)*VLOOKUP('Données projet'!$B$15,Paramètres!$A$1:$I$89,5,0)</f>
        <v>0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338.59243085476896</v>
      </c>
      <c r="EP123" s="59">
        <f t="shared" si="100"/>
        <v>329.8393445823275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38.628320248452333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38.628320248452333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68.714207503343687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>
        <f>FE123*VLOOKUP('Données projet'!$B$16,Paramètres!$A$1:$I$89,3,0)*VLOOKUP('Données projet'!$B$16,Paramètres!$A$1:$I$89,5,0)</f>
        <v>0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307.50573770128085</v>
      </c>
      <c r="FK123" s="59">
        <f t="shared" si="102"/>
        <v>300.2007312562655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34.518924477340377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34.518924477340377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68.714207503343687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>
        <f>FZ123*VLOOKUP('Données projet'!$B$17,Paramètres!$A$1:$I$89,3,0)*VLOOKUP('Données projet'!$B$17,Paramètres!$A$1:$I$89,5,0)</f>
        <v>0</v>
      </c>
      <c r="GB123" s="13" t="e">
        <f t="shared" si="103"/>
        <v>#NUM!</v>
      </c>
      <c r="GC123" s="20" t="e">
        <f t="shared" si="79"/>
        <v>#NUM!</v>
      </c>
      <c r="GD123" s="59" t="e">
        <f t="shared" si="80"/>
        <v>#NUM!</v>
      </c>
      <c r="GE123" s="59">
        <f ca="1">AVERAGE(OFFSET($GD$3,0,0,'Données projet'!$E$17+1,1))-AVERAGE(OFFSET($H$3,0,0,'Données projet'!$E$17+1,1))</f>
        <v>369.60865427618342</v>
      </c>
      <c r="GF123" s="59">
        <f t="shared" si="104"/>
        <v>359.40898775279197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42.737716019564289</v>
      </c>
      <c r="GM123" s="21">
        <f>EXP(-LN(2)/25)*GM122+(1-EXP(-LN(2)/25))/(LN(2)/25)*Calculateur!GH123*Calculateur!GJ123*VLOOKUP('Données projet'!$B$17,Paramètres!$A$1:$I$89,3,0)*0.475*44/12</f>
        <v>0</v>
      </c>
      <c r="GN123" s="21">
        <f>EXP(-LN(2)/2)*GN122+(1-EXP(-LN(2)/2))/(LN(2)/2)*GH123*GK123*VLOOKUP('Données projet'!$B$17,Paramètres!$A$1:$I$89,3,0)*0.475*44/12</f>
        <v>0</v>
      </c>
      <c r="GO123" s="21">
        <f t="shared" si="81"/>
        <v>42.737716019564289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68.714207503343687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-1.7053025658242404E-13</v>
      </c>
      <c r="GV123" s="17">
        <f>GU123*VLOOKUP('Données projet'!$B$18,Paramètres!$A$1:$I$89,3,0)*VLOOKUP('Données projet'!$B$18,Paramètres!$A$1:$I$89,5,0)</f>
        <v>-1.1173142411280423E-13</v>
      </c>
      <c r="GW123" s="13" t="e">
        <f t="shared" si="105"/>
        <v>#NUM!</v>
      </c>
      <c r="GX123" s="20" t="e">
        <f t="shared" si="82"/>
        <v>#NUM!</v>
      </c>
      <c r="GY123" s="59" t="e">
        <f t="shared" si="83"/>
        <v>#NUM!</v>
      </c>
      <c r="GZ123" s="59">
        <f ca="1">AVERAGE(OFFSET($GY$3,0,0,'Données projet'!$E$18+1,1))-AVERAGE(OFFSET($H$3,0,0,'Données projet'!$E$18+1,1))</f>
        <v>262.62914256200031</v>
      </c>
      <c r="HA123" s="59">
        <f t="shared" si="106"/>
        <v>256.45129229594409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projet'!$B$18,Paramètres!$A$1:$I$89,3,0)*0.475*44/12</f>
        <v>27.857276614431726</v>
      </c>
      <c r="HH123" s="21">
        <f>EXP(-LN(2)/25)*HH122+(1-EXP(-LN(2)/25))/(LN(2)/25)*Calculateur!HC123*Calculateur!HE123*VLOOKUP('Données projet'!$B$18,Paramètres!$A$1:$I$89,3,0)*0.475*44/12</f>
        <v>0</v>
      </c>
      <c r="HI123" s="21">
        <f>EXP(-LN(2)/2)*HI122+(1-EXP(-LN(2)/2))/(LN(2)/2)*HC123*HF123*VLOOKUP('Données projet'!$B$18,Paramètres!$A$1:$I$89,3,0)*0.475*44/12</f>
        <v>0</v>
      </c>
      <c r="HJ123" s="22">
        <f t="shared" si="84"/>
        <v>27.857276614431726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2.1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7.7</v>
      </c>
      <c r="H124" s="67">
        <f t="shared" si="56"/>
        <v>225.86666666666665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68.736513128559295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5.6843418860808015E-14</v>
      </c>
      <c r="O124" s="13">
        <f>N124*VLOOKUP('Données projet'!$B$9,Paramètres!$A$1:$I$89,3,0)*VLOOKUP('Données projet'!$B$9,Paramètres!$A$1:$I$89,5,0)</f>
        <v>4.8771653382573282E-14</v>
      </c>
      <c r="P124" s="13">
        <f t="shared" si="87"/>
        <v>7.9655698259503351E-13</v>
      </c>
      <c r="Q124" s="20">
        <f t="shared" si="107"/>
        <v>1.4722807076609983E-12</v>
      </c>
      <c r="R124" s="59">
        <f t="shared" si="55"/>
        <v>288.70054813805223</v>
      </c>
      <c r="S124" s="59">
        <f ca="1">AVERAGE(OFFSET($R$3,0,0,'Données projet'!$E$9+1,1))-AVERAGE(OFFSET($H$3,0,0,'Données projet'!$E$9+1,1))</f>
        <v>476.79071915271794</v>
      </c>
      <c r="T124" s="59">
        <f t="shared" si="88"/>
        <v>264.79929759351762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223.84131902996228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223.84131902996228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68.736513128559295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-9.5769792096689348E-14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365.104658862176</v>
      </c>
      <c r="AO124" s="59">
        <f t="shared" si="90"/>
        <v>226.29232910286325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127.32699931977118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127.32699931977118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68.736513128559295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-1.1368683772161603E-13</v>
      </c>
      <c r="BE124" s="13">
        <f>BD124*VLOOKUP('Données projet'!$B$11,Paramètres!$A$1:$I$89,3,0)*VLOOKUP('Données projet'!$B$11,Paramètres!$A$1:$I$89,5,0)</f>
        <v>-1.0286385077051818E-13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388.12494342575195</v>
      </c>
      <c r="BJ124" s="59">
        <f t="shared" si="92"/>
        <v>239.39471445648454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136.75862889901347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136.75862889901347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68.736513128559295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-1.1368683772161603E-13</v>
      </c>
      <c r="BZ124" s="13">
        <f>BY124*VLOOKUP('Données projet'!$B$12,Paramètres!$A$1:$I$89,3,0)*VLOOKUP('Données projet'!$B$12,Paramètres!$A$1:$I$89,5,0)</f>
        <v>-1.1527845344971866E-13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428.33148932885132</v>
      </c>
      <c r="CE124" s="59">
        <f t="shared" si="94"/>
        <v>262.27548054534373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153.26398066268752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153.26398066268752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68.736513128559295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-1.1368683772161603E-13</v>
      </c>
      <c r="CU124" s="17">
        <f>CT124*VLOOKUP('Données projet'!$B$13,Paramètres!$A$1:$I$89,3,0)*VLOOKUP('Données projet'!$B$13,Paramètres!$A$1:$I$89,5,0)</f>
        <v>-1.0818439477588981E-13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307.62549820830162</v>
      </c>
      <c r="CZ124" s="59">
        <f t="shared" si="96"/>
        <v>160.26466014910304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104.45925964227997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104.45925964227997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68.736513128559295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-1.7053025658242404E-13</v>
      </c>
      <c r="DP124" s="17">
        <f>DO124*VLOOKUP('Données projet'!$B$14,Paramètres!$A$1:$I$89,3,0)*VLOOKUP('Données projet'!$B$14,Paramètres!$A$1:$I$89,5,0)</f>
        <v>-1.3567387213697657E-13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309.14579005132464</v>
      </c>
      <c r="DU124" s="59">
        <f t="shared" si="98"/>
        <v>300.60311050289533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40.875784356422955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40.875784356422955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68.736513128559295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>
        <f>EJ124*VLOOKUP('Données projet'!$B$15,Paramètres!$A$1:$I$89,3,0)*VLOOKUP('Données projet'!$B$15,Paramètres!$A$1:$I$89,5,0)</f>
        <v>0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338.59243085476896</v>
      </c>
      <c r="EP124" s="59">
        <f t="shared" si="100"/>
        <v>329.8393445823275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37.870842449329082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37.870842449329082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68.736513128559295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>
        <f>FE124*VLOOKUP('Données projet'!$B$16,Paramètres!$A$1:$I$89,3,0)*VLOOKUP('Données projet'!$B$16,Paramètres!$A$1:$I$89,5,0)</f>
        <v>0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307.50573770128085</v>
      </c>
      <c r="FK124" s="59">
        <f t="shared" si="102"/>
        <v>300.2007312562655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33.842029422804707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33.842029422804707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68.736513128559295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>
        <f>FZ124*VLOOKUP('Données projet'!$B$17,Paramètres!$A$1:$I$89,3,0)*VLOOKUP('Données projet'!$B$17,Paramètres!$A$1:$I$89,5,0)</f>
        <v>0</v>
      </c>
      <c r="GB124" s="13" t="e">
        <f t="shared" si="103"/>
        <v>#NUM!</v>
      </c>
      <c r="GC124" s="20" t="e">
        <f t="shared" si="79"/>
        <v>#NUM!</v>
      </c>
      <c r="GD124" s="59" t="e">
        <f t="shared" si="80"/>
        <v>#NUM!</v>
      </c>
      <c r="GE124" s="59">
        <f ca="1">AVERAGE(OFFSET($GD$3,0,0,'Données projet'!$E$17+1,1))-AVERAGE(OFFSET($H$3,0,0,'Données projet'!$E$17+1,1))</f>
        <v>369.60865427618342</v>
      </c>
      <c r="GF124" s="59">
        <f t="shared" si="104"/>
        <v>359.40898775279197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41.899655475853457</v>
      </c>
      <c r="GM124" s="21">
        <f>EXP(-LN(2)/25)*GM123+(1-EXP(-LN(2)/25))/(LN(2)/25)*Calculateur!GH124*Calculateur!GJ124*VLOOKUP('Données projet'!$B$17,Paramètres!$A$1:$I$89,3,0)*0.475*44/12</f>
        <v>0</v>
      </c>
      <c r="GN124" s="21">
        <f>EXP(-LN(2)/2)*GN123+(1-EXP(-LN(2)/2))/(LN(2)/2)*GH124*GK124*VLOOKUP('Données projet'!$B$17,Paramètres!$A$1:$I$89,3,0)*0.475*44/12</f>
        <v>0</v>
      </c>
      <c r="GO124" s="21">
        <f t="shared" si="81"/>
        <v>41.899655475853457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68.736513128559295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-1.7053025658242404E-13</v>
      </c>
      <c r="GV124" s="17">
        <f>GU124*VLOOKUP('Données projet'!$B$18,Paramètres!$A$1:$I$89,3,0)*VLOOKUP('Données projet'!$B$18,Paramètres!$A$1:$I$89,5,0)</f>
        <v>-1.1173142411280423E-13</v>
      </c>
      <c r="GW124" s="13" t="e">
        <f t="shared" si="105"/>
        <v>#NUM!</v>
      </c>
      <c r="GX124" s="20" t="e">
        <f t="shared" si="82"/>
        <v>#NUM!</v>
      </c>
      <c r="GY124" s="59" t="e">
        <f t="shared" si="83"/>
        <v>#NUM!</v>
      </c>
      <c r="GZ124" s="59">
        <f ca="1">AVERAGE(OFFSET($GY$3,0,0,'Données projet'!$E$18+1,1))-AVERAGE(OFFSET($H$3,0,0,'Données projet'!$E$18+1,1))</f>
        <v>262.62914256200031</v>
      </c>
      <c r="HA124" s="59">
        <f t="shared" si="106"/>
        <v>256.45129229594409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projet'!$B$18,Paramètres!$A$1:$I$89,3,0)*0.475*44/12</f>
        <v>27.311012411283706</v>
      </c>
      <c r="HH124" s="21">
        <f>EXP(-LN(2)/25)*HH123+(1-EXP(-LN(2)/25))/(LN(2)/25)*Calculateur!HC124*Calculateur!HE124*VLOOKUP('Données projet'!$B$18,Paramètres!$A$1:$I$89,3,0)*0.475*44/12</f>
        <v>0</v>
      </c>
      <c r="HI124" s="21">
        <f>EXP(-LN(2)/2)*HI123+(1-EXP(-LN(2)/2))/(LN(2)/2)*HC124*HF124*VLOOKUP('Données projet'!$B$18,Paramètres!$A$1:$I$89,3,0)*0.475*44/12</f>
        <v>0</v>
      </c>
      <c r="HJ124" s="22">
        <f t="shared" si="84"/>
        <v>27.311012411283706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2.1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7.7</v>
      </c>
      <c r="H125" s="67">
        <f t="shared" si="56"/>
        <v>225.86666666666665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68.758431801045319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5.6843418860808015E-14</v>
      </c>
      <c r="O125" s="13">
        <f>N125*VLOOKUP('Données projet'!$B$9,Paramètres!$A$1:$I$89,3,0)*VLOOKUP('Données projet'!$B$9,Paramètres!$A$1:$I$89,5,0)</f>
        <v>4.8771653382573282E-14</v>
      </c>
      <c r="P125" s="13">
        <f t="shared" si="87"/>
        <v>7.9655698259503351E-13</v>
      </c>
      <c r="Q125" s="20">
        <f t="shared" si="107"/>
        <v>1.4722807076609983E-12</v>
      </c>
      <c r="R125" s="59">
        <f t="shared" si="55"/>
        <v>288.78091660383433</v>
      </c>
      <c r="S125" s="59">
        <f ca="1">AVERAGE(OFFSET($R$3,0,0,'Données projet'!$E$9+1,1))-AVERAGE(OFFSET($H$3,0,0,'Données projet'!$E$9+1,1))</f>
        <v>476.79071915271794</v>
      </c>
      <c r="T125" s="59">
        <f t="shared" si="88"/>
        <v>264.79929759351762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219.45192729350813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219.45192729350813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68.758431801045319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-9.5769792096689348E-14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365.104658862176</v>
      </c>
      <c r="AO125" s="59">
        <f t="shared" si="90"/>
        <v>226.29232910286325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124.83019452491158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124.83019452491158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68.758431801045319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-1.1368683772161603E-13</v>
      </c>
      <c r="BE125" s="13">
        <f>BD125*VLOOKUP('Données projet'!$B$11,Paramètres!$A$1:$I$89,3,0)*VLOOKUP('Données projet'!$B$11,Paramètres!$A$1:$I$89,5,0)</f>
        <v>-1.0286385077051818E-13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388.12494342575195</v>
      </c>
      <c r="BJ125" s="59">
        <f t="shared" si="92"/>
        <v>239.39471445648454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134.07687560083096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134.07687560083096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68.758431801045319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-1.1368683772161603E-13</v>
      </c>
      <c r="BZ125" s="13">
        <f>BY125*VLOOKUP('Données projet'!$B$12,Paramètres!$A$1:$I$89,3,0)*VLOOKUP('Données projet'!$B$12,Paramètres!$A$1:$I$89,5,0)</f>
        <v>-1.1527845344971866E-13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428.33148932885132</v>
      </c>
      <c r="CE125" s="59">
        <f t="shared" si="94"/>
        <v>262.27548054534373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150.25856748368986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150.25856748368986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68.758431801045319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-1.1368683772161603E-13</v>
      </c>
      <c r="CU125" s="17">
        <f>CT125*VLOOKUP('Données projet'!$B$13,Paramètres!$A$1:$I$89,3,0)*VLOOKUP('Données projet'!$B$13,Paramètres!$A$1:$I$89,5,0)</f>
        <v>-1.0818439477588981E-13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307.62549820830162</v>
      </c>
      <c r="CZ125" s="59">
        <f t="shared" si="96"/>
        <v>160.26466014910304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102.41087727455202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102.41087727455202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68.758431801045319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-1.7053025658242404E-13</v>
      </c>
      <c r="DP125" s="17">
        <f>DO125*VLOOKUP('Données projet'!$B$14,Paramètres!$A$1:$I$89,3,0)*VLOOKUP('Données projet'!$B$14,Paramètres!$A$1:$I$89,5,0)</f>
        <v>-1.3567387213697657E-13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309.14579005132464</v>
      </c>
      <c r="DU125" s="59">
        <f t="shared" si="98"/>
        <v>300.60311050289533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40.07423515696015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40.07423515696015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68.758431801045319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>
        <f>EJ125*VLOOKUP('Données projet'!$B$15,Paramètres!$A$1:$I$89,3,0)*VLOOKUP('Données projet'!$B$15,Paramètres!$A$1:$I$89,5,0)</f>
        <v>0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338.59243085476896</v>
      </c>
      <c r="EP125" s="59">
        <f t="shared" si="100"/>
        <v>329.8393445823275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37.128218327830801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37.128218327830801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68.758431801045319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>
        <f>FE125*VLOOKUP('Données projet'!$B$16,Paramètres!$A$1:$I$89,3,0)*VLOOKUP('Données projet'!$B$16,Paramètres!$A$1:$I$89,5,0)</f>
        <v>0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307.50573770128085</v>
      </c>
      <c r="FK125" s="59">
        <f t="shared" si="102"/>
        <v>300.2007312562655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33.178407867423267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33.178407867423267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68.758431801045319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>
        <f>FZ125*VLOOKUP('Données projet'!$B$17,Paramètres!$A$1:$I$89,3,0)*VLOOKUP('Données projet'!$B$17,Paramètres!$A$1:$I$89,5,0)</f>
        <v>0</v>
      </c>
      <c r="GB125" s="13" t="e">
        <f t="shared" si="103"/>
        <v>#NUM!</v>
      </c>
      <c r="GC125" s="20" t="e">
        <f t="shared" si="79"/>
        <v>#NUM!</v>
      </c>
      <c r="GD125" s="59" t="e">
        <f t="shared" si="80"/>
        <v>#NUM!</v>
      </c>
      <c r="GE125" s="59">
        <f ca="1">AVERAGE(OFFSET($GD$3,0,0,'Données projet'!$E$17+1,1))-AVERAGE(OFFSET($H$3,0,0,'Données projet'!$E$17+1,1))</f>
        <v>369.60865427618342</v>
      </c>
      <c r="GF125" s="59">
        <f t="shared" si="104"/>
        <v>359.40898775279197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41.078028788238342</v>
      </c>
      <c r="GM125" s="21">
        <f>EXP(-LN(2)/25)*GM124+(1-EXP(-LN(2)/25))/(LN(2)/25)*Calculateur!GH125*Calculateur!GJ125*VLOOKUP('Données projet'!$B$17,Paramètres!$A$1:$I$89,3,0)*0.475*44/12</f>
        <v>0</v>
      </c>
      <c r="GN125" s="21">
        <f>EXP(-LN(2)/2)*GN124+(1-EXP(-LN(2)/2))/(LN(2)/2)*GH125*GK125*VLOOKUP('Données projet'!$B$17,Paramètres!$A$1:$I$89,3,0)*0.475*44/12</f>
        <v>0</v>
      </c>
      <c r="GO125" s="21">
        <f t="shared" si="81"/>
        <v>41.078028788238342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68.758431801045319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-1.7053025658242404E-13</v>
      </c>
      <c r="GV125" s="17">
        <f>GU125*VLOOKUP('Données projet'!$B$18,Paramètres!$A$1:$I$89,3,0)*VLOOKUP('Données projet'!$B$18,Paramètres!$A$1:$I$89,5,0)</f>
        <v>-1.1173142411280423E-13</v>
      </c>
      <c r="GW125" s="13" t="e">
        <f t="shared" si="105"/>
        <v>#NUM!</v>
      </c>
      <c r="GX125" s="20" t="e">
        <f t="shared" si="82"/>
        <v>#NUM!</v>
      </c>
      <c r="GY125" s="59" t="e">
        <f t="shared" si="83"/>
        <v>#NUM!</v>
      </c>
      <c r="GZ125" s="59">
        <f ca="1">AVERAGE(OFFSET($GY$3,0,0,'Données projet'!$E$18+1,1))-AVERAGE(OFFSET($H$3,0,0,'Données projet'!$E$18+1,1))</f>
        <v>262.62914256200031</v>
      </c>
      <c r="HA125" s="59">
        <f t="shared" si="106"/>
        <v>256.45129229594409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projet'!$B$18,Paramètres!$A$1:$I$89,3,0)*0.475*44/12</f>
        <v>26.775460115971153</v>
      </c>
      <c r="HH125" s="21">
        <f>EXP(-LN(2)/25)*HH124+(1-EXP(-LN(2)/25))/(LN(2)/25)*Calculateur!HC125*Calculateur!HE125*VLOOKUP('Données projet'!$B$18,Paramètres!$A$1:$I$89,3,0)*0.475*44/12</f>
        <v>0</v>
      </c>
      <c r="HI125" s="21">
        <f>EXP(-LN(2)/2)*HI124+(1-EXP(-LN(2)/2))/(LN(2)/2)*HC125*HF125*VLOOKUP('Données projet'!$B$18,Paramètres!$A$1:$I$89,3,0)*0.475*44/12</f>
        <v>0</v>
      </c>
      <c r="HJ125" s="22">
        <f t="shared" si="84"/>
        <v>26.775460115971153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2.1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7.7</v>
      </c>
      <c r="H126" s="67">
        <f t="shared" si="56"/>
        <v>225.86666666666665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68.77997023356653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5.6843418860808015E-14</v>
      </c>
      <c r="O126" s="13">
        <f>N126*VLOOKUP('Données projet'!$B$9,Paramètres!$A$1:$I$89,3,0)*VLOOKUP('Données projet'!$B$9,Paramètres!$A$1:$I$89,5,0)</f>
        <v>4.8771653382573282E-14</v>
      </c>
      <c r="P126" s="13">
        <f t="shared" si="87"/>
        <v>7.9655698259503351E-13</v>
      </c>
      <c r="Q126" s="20">
        <f t="shared" si="107"/>
        <v>1.4722807076609983E-12</v>
      </c>
      <c r="R126" s="59">
        <f t="shared" si="55"/>
        <v>288.85989085641211</v>
      </c>
      <c r="S126" s="59">
        <f ca="1">AVERAGE(OFFSET($R$3,0,0,'Données projet'!$E$9+1,1))-AVERAGE(OFFSET($H$3,0,0,'Données projet'!$E$9+1,1))</f>
        <v>476.79071915271794</v>
      </c>
      <c r="T126" s="59">
        <f t="shared" si="88"/>
        <v>264.79929759351762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215.14860885174124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215.14860885174124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68.77997023356653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-9.5769792096689348E-14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365.104658862176</v>
      </c>
      <c r="AO126" s="59">
        <f t="shared" si="90"/>
        <v>226.29232910286325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122.38235054917862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122.38235054917862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68.77997023356653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-1.1368683772161603E-13</v>
      </c>
      <c r="BE126" s="13">
        <f>BD126*VLOOKUP('Données projet'!$B$11,Paramètres!$A$1:$I$89,3,0)*VLOOKUP('Données projet'!$B$11,Paramètres!$A$1:$I$89,5,0)</f>
        <v>-1.0286385077051818E-13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388.12494342575195</v>
      </c>
      <c r="BJ126" s="59">
        <f t="shared" si="92"/>
        <v>239.39471445648454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131.44770984911779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131.44770984911779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68.77997023356653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-1.1368683772161603E-13</v>
      </c>
      <c r="BZ126" s="13">
        <f>BY126*VLOOKUP('Données projet'!$B$12,Paramètres!$A$1:$I$89,3,0)*VLOOKUP('Données projet'!$B$12,Paramètres!$A$1:$I$89,5,0)</f>
        <v>-1.1527845344971866E-13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428.33148932885132</v>
      </c>
      <c r="CE126" s="59">
        <f t="shared" si="94"/>
        <v>262.27548054534373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147.31208862401132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147.31208862401132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68.77997023356653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-1.1368683772161603E-13</v>
      </c>
      <c r="CU126" s="17">
        <f>CT126*VLOOKUP('Données projet'!$B$13,Paramètres!$A$1:$I$89,3,0)*VLOOKUP('Données projet'!$B$13,Paramètres!$A$1:$I$89,5,0)</f>
        <v>-1.0818439477588981E-13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307.62549820830162</v>
      </c>
      <c r="CZ126" s="59">
        <f t="shared" si="96"/>
        <v>160.26466014910304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100.40266243566533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100.40266243566533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68.77997023356653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-1.7053025658242404E-13</v>
      </c>
      <c r="DP126" s="17">
        <f>DO126*VLOOKUP('Données projet'!$B$14,Paramètres!$A$1:$I$89,3,0)*VLOOKUP('Données projet'!$B$14,Paramètres!$A$1:$I$89,5,0)</f>
        <v>-1.3567387213697657E-13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309.14579005132464</v>
      </c>
      <c r="DU126" s="59">
        <f t="shared" si="98"/>
        <v>300.60311050289533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39.288403848402076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39.288403848402076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68.77997023356653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>
        <f>EJ126*VLOOKUP('Données projet'!$B$15,Paramètres!$A$1:$I$89,3,0)*VLOOKUP('Données projet'!$B$15,Paramètres!$A$1:$I$89,5,0)</f>
        <v>0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338.59243085476896</v>
      </c>
      <c r="EP126" s="59">
        <f t="shared" si="100"/>
        <v>329.8393445823275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36.400156612399115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36.400156612399115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68.77997023356653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>
        <f>FE126*VLOOKUP('Données projet'!$B$16,Paramètres!$A$1:$I$89,3,0)*VLOOKUP('Données projet'!$B$16,Paramètres!$A$1:$I$89,5,0)</f>
        <v>0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307.50573770128085</v>
      </c>
      <c r="FK126" s="59">
        <f t="shared" si="102"/>
        <v>300.2007312562655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32.527799525973677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32.527799525973677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68.77997023356653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>
        <f>FZ126*VLOOKUP('Données projet'!$B$17,Paramètres!$A$1:$I$89,3,0)*VLOOKUP('Données projet'!$B$17,Paramètres!$A$1:$I$89,5,0)</f>
        <v>0</v>
      </c>
      <c r="GB126" s="13" t="e">
        <f t="shared" si="103"/>
        <v>#NUM!</v>
      </c>
      <c r="GC126" s="20" t="e">
        <f t="shared" si="79"/>
        <v>#NUM!</v>
      </c>
      <c r="GD126" s="59" t="e">
        <f t="shared" si="80"/>
        <v>#NUM!</v>
      </c>
      <c r="GE126" s="59">
        <f ca="1">AVERAGE(OFFSET($GD$3,0,0,'Données projet'!$E$17+1,1))-AVERAGE(OFFSET($H$3,0,0,'Données projet'!$E$17+1,1))</f>
        <v>369.60865427618342</v>
      </c>
      <c r="GF126" s="59">
        <f t="shared" si="104"/>
        <v>359.40898775279197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40.272513698824561</v>
      </c>
      <c r="GM126" s="21">
        <f>EXP(-LN(2)/25)*GM125+(1-EXP(-LN(2)/25))/(LN(2)/25)*Calculateur!GH126*Calculateur!GJ126*VLOOKUP('Données projet'!$B$17,Paramètres!$A$1:$I$89,3,0)*0.475*44/12</f>
        <v>0</v>
      </c>
      <c r="GN126" s="21">
        <f>EXP(-LN(2)/2)*GN125+(1-EXP(-LN(2)/2))/(LN(2)/2)*GH126*GK126*VLOOKUP('Données projet'!$B$17,Paramètres!$A$1:$I$89,3,0)*0.475*44/12</f>
        <v>0</v>
      </c>
      <c r="GO126" s="21">
        <f t="shared" si="81"/>
        <v>40.272513698824561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68.77997023356653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-1.7053025658242404E-13</v>
      </c>
      <c r="GV126" s="17">
        <f>GU126*VLOOKUP('Données projet'!$B$18,Paramètres!$A$1:$I$89,3,0)*VLOOKUP('Données projet'!$B$18,Paramètres!$A$1:$I$89,5,0)</f>
        <v>-1.1173142411280423E-13</v>
      </c>
      <c r="GW126" s="13" t="e">
        <f t="shared" si="105"/>
        <v>#NUM!</v>
      </c>
      <c r="GX126" s="20" t="e">
        <f t="shared" si="82"/>
        <v>#NUM!</v>
      </c>
      <c r="GY126" s="59" t="e">
        <f t="shared" si="83"/>
        <v>#NUM!</v>
      </c>
      <c r="GZ126" s="59">
        <f ca="1">AVERAGE(OFFSET($GY$3,0,0,'Données projet'!$E$18+1,1))-AVERAGE(OFFSET($H$3,0,0,'Données projet'!$E$18+1,1))</f>
        <v>262.62914256200031</v>
      </c>
      <c r="HA126" s="59">
        <f t="shared" si="106"/>
        <v>256.45129229594409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projet'!$B$18,Paramètres!$A$1:$I$89,3,0)*0.475*44/12</f>
        <v>26.250409674515037</v>
      </c>
      <c r="HH126" s="21">
        <f>EXP(-LN(2)/25)*HH125+(1-EXP(-LN(2)/25))/(LN(2)/25)*Calculateur!HC126*Calculateur!HE126*VLOOKUP('Données projet'!$B$18,Paramètres!$A$1:$I$89,3,0)*0.475*44/12</f>
        <v>0</v>
      </c>
      <c r="HI126" s="21">
        <f>EXP(-LN(2)/2)*HI125+(1-EXP(-LN(2)/2))/(LN(2)/2)*HC126*HF126*VLOOKUP('Données projet'!$B$18,Paramètres!$A$1:$I$89,3,0)*0.475*44/12</f>
        <v>0</v>
      </c>
      <c r="HJ126" s="22">
        <f t="shared" si="84"/>
        <v>26.250409674515037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2.1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7.7</v>
      </c>
      <c r="H127" s="67">
        <f t="shared" si="56"/>
        <v>225.86666666666665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68.801135022436213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5.6843418860808015E-14</v>
      </c>
      <c r="O127" s="13">
        <f>N127*VLOOKUP('Données projet'!$B$9,Paramètres!$A$1:$I$89,3,0)*VLOOKUP('Données projet'!$B$9,Paramètres!$A$1:$I$89,5,0)</f>
        <v>4.8771653382573282E-14</v>
      </c>
      <c r="P127" s="13">
        <f t="shared" si="87"/>
        <v>7.9655698259503351E-13</v>
      </c>
      <c r="Q127" s="20">
        <f t="shared" si="107"/>
        <v>1.4722807076609983E-12</v>
      </c>
      <c r="R127" s="59">
        <f t="shared" si="55"/>
        <v>288.93749508226762</v>
      </c>
      <c r="S127" s="59">
        <f ca="1">AVERAGE(OFFSET($R$3,0,0,'Données projet'!$E$9+1,1))-AVERAGE(OFFSET($H$3,0,0,'Données projet'!$E$9+1,1))</f>
        <v>476.79071915271794</v>
      </c>
      <c r="T127" s="59">
        <f t="shared" si="88"/>
        <v>264.79929759351762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210.92967585985235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210.92967585985235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68.801135022436213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-9.5769792096689348E-14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365.104658862176</v>
      </c>
      <c r="AO127" s="59">
        <f t="shared" si="90"/>
        <v>226.29232910286325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119.9825073007724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119.9825073007724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68.801135022436213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-1.1368683772161603E-13</v>
      </c>
      <c r="BE127" s="13">
        <f>BD127*VLOOKUP('Données projet'!$B$11,Paramètres!$A$1:$I$89,3,0)*VLOOKUP('Données projet'!$B$11,Paramètres!$A$1:$I$89,5,0)</f>
        <v>-1.0286385077051818E-13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388.12494342575195</v>
      </c>
      <c r="BJ127" s="59">
        <f t="shared" si="92"/>
        <v>239.39471445648454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128.87010043416296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128.87010043416296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68.801135022436213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-1.1368683772161603E-13</v>
      </c>
      <c r="BZ127" s="13">
        <f>BY127*VLOOKUP('Données projet'!$B$12,Paramètres!$A$1:$I$89,3,0)*VLOOKUP('Données projet'!$B$12,Paramètres!$A$1:$I$89,5,0)</f>
        <v>-1.1527845344971866E-13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428.33148932885132</v>
      </c>
      <c r="CE127" s="59">
        <f t="shared" si="94"/>
        <v>262.27548054534373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144.42338841759641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144.42338841759641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68.801135022436213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-1.1368683772161603E-13</v>
      </c>
      <c r="CU127" s="17">
        <f>CT127*VLOOKUP('Données projet'!$B$13,Paramètres!$A$1:$I$89,3,0)*VLOOKUP('Données projet'!$B$13,Paramètres!$A$1:$I$89,5,0)</f>
        <v>-1.0818439477588981E-13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307.62549820830162</v>
      </c>
      <c r="CZ127" s="59">
        <f t="shared" si="96"/>
        <v>160.26466014910304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98.433827464879116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98.433827464879116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68.801135022436213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-1.7053025658242404E-13</v>
      </c>
      <c r="DP127" s="17">
        <f>DO127*VLOOKUP('Données projet'!$B$14,Paramètres!$A$1:$I$89,3,0)*VLOOKUP('Données projet'!$B$14,Paramètres!$A$1:$I$89,5,0)</f>
        <v>-1.3567387213697657E-13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309.14579005132464</v>
      </c>
      <c r="DU127" s="59">
        <f t="shared" si="98"/>
        <v>300.60311050289533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38.517982212495056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38.517982212495056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68.801135022436213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>
        <f>EJ127*VLOOKUP('Données projet'!$B$15,Paramètres!$A$1:$I$89,3,0)*VLOOKUP('Données projet'!$B$15,Paramètres!$A$1:$I$89,5,0)</f>
        <v>0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338.59243085476896</v>
      </c>
      <c r="EP127" s="59">
        <f t="shared" si="100"/>
        <v>329.8393445823275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35.686371743133243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35.686371743133243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68.801135022436213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>
        <f>FE127*VLOOKUP('Données projet'!$B$16,Paramètres!$A$1:$I$89,3,0)*VLOOKUP('Données projet'!$B$16,Paramètres!$A$1:$I$89,5,0)</f>
        <v>0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307.50573770128085</v>
      </c>
      <c r="FK127" s="59">
        <f t="shared" si="102"/>
        <v>300.2007312562655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31.889949217268008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31.889949217268008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68.801135022436213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>
        <f>FZ127*VLOOKUP('Données projet'!$B$17,Paramètres!$A$1:$I$89,3,0)*VLOOKUP('Données projet'!$B$17,Paramètres!$A$1:$I$89,5,0)</f>
        <v>0</v>
      </c>
      <c r="GB127" s="13" t="e">
        <f t="shared" si="103"/>
        <v>#NUM!</v>
      </c>
      <c r="GC127" s="20" t="e">
        <f t="shared" si="79"/>
        <v>#NUM!</v>
      </c>
      <c r="GD127" s="59" t="e">
        <f t="shared" si="80"/>
        <v>#NUM!</v>
      </c>
      <c r="GE127" s="59">
        <f ca="1">AVERAGE(OFFSET($GD$3,0,0,'Données projet'!$E$17+1,1))-AVERAGE(OFFSET($H$3,0,0,'Données projet'!$E$17+1,1))</f>
        <v>369.60865427618342</v>
      </c>
      <c r="GF127" s="59">
        <f t="shared" si="104"/>
        <v>359.40898775279197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39.482794268998489</v>
      </c>
      <c r="GM127" s="21">
        <f>EXP(-LN(2)/25)*GM126+(1-EXP(-LN(2)/25))/(LN(2)/25)*Calculateur!GH127*Calculateur!GJ127*VLOOKUP('Données projet'!$B$17,Paramètres!$A$1:$I$89,3,0)*0.475*44/12</f>
        <v>0</v>
      </c>
      <c r="GN127" s="21">
        <f>EXP(-LN(2)/2)*GN126+(1-EXP(-LN(2)/2))/(LN(2)/2)*GH127*GK127*VLOOKUP('Données projet'!$B$17,Paramètres!$A$1:$I$89,3,0)*0.475*44/12</f>
        <v>0</v>
      </c>
      <c r="GO127" s="21">
        <f t="shared" si="81"/>
        <v>39.482794268998489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68.801135022436213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-1.7053025658242404E-13</v>
      </c>
      <c r="GV127" s="17">
        <f>GU127*VLOOKUP('Données projet'!$B$18,Paramètres!$A$1:$I$89,3,0)*VLOOKUP('Données projet'!$B$18,Paramètres!$A$1:$I$89,5,0)</f>
        <v>-1.1173142411280423E-13</v>
      </c>
      <c r="GW127" s="13" t="e">
        <f t="shared" si="105"/>
        <v>#NUM!</v>
      </c>
      <c r="GX127" s="20" t="e">
        <f t="shared" si="82"/>
        <v>#NUM!</v>
      </c>
      <c r="GY127" s="59" t="e">
        <f t="shared" si="83"/>
        <v>#NUM!</v>
      </c>
      <c r="GZ127" s="59">
        <f ca="1">AVERAGE(OFFSET($GY$3,0,0,'Données projet'!$E$18+1,1))-AVERAGE(OFFSET($H$3,0,0,'Données projet'!$E$18+1,1))</f>
        <v>262.62914256200031</v>
      </c>
      <c r="HA127" s="59">
        <f t="shared" si="106"/>
        <v>256.45129229594409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projet'!$B$18,Paramètres!$A$1:$I$89,3,0)*0.475*44/12</f>
        <v>25.735655151966728</v>
      </c>
      <c r="HH127" s="21">
        <f>EXP(-LN(2)/25)*HH126+(1-EXP(-LN(2)/25))/(LN(2)/25)*Calculateur!HC127*Calculateur!HE127*VLOOKUP('Données projet'!$B$18,Paramètres!$A$1:$I$89,3,0)*0.475*44/12</f>
        <v>0</v>
      </c>
      <c r="HI127" s="21">
        <f>EXP(-LN(2)/2)*HI126+(1-EXP(-LN(2)/2))/(LN(2)/2)*HC127*HF127*VLOOKUP('Données projet'!$B$18,Paramètres!$A$1:$I$89,3,0)*0.475*44/12</f>
        <v>0</v>
      </c>
      <c r="HJ127" s="22">
        <f t="shared" si="84"/>
        <v>25.735655151966728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2.1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7.7</v>
      </c>
      <c r="H128" s="67">
        <f t="shared" si="56"/>
        <v>225.86666666666665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68.821932649536393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5.6843418860808015E-14</v>
      </c>
      <c r="O128" s="13">
        <f>N128*VLOOKUP('Données projet'!$B$9,Paramètres!$A$1:$I$89,3,0)*VLOOKUP('Données projet'!$B$9,Paramètres!$A$1:$I$89,5,0)</f>
        <v>4.8771653382573282E-14</v>
      </c>
      <c r="P128" s="13">
        <f t="shared" si="87"/>
        <v>7.9655698259503351E-13</v>
      </c>
      <c r="Q128" s="20">
        <f t="shared" si="107"/>
        <v>1.4722807076609983E-12</v>
      </c>
      <c r="R128" s="59">
        <f t="shared" si="55"/>
        <v>289.01375304830157</v>
      </c>
      <c r="S128" s="59">
        <f ca="1">AVERAGE(OFFSET($R$3,0,0,'Données projet'!$E$9+1,1))-AVERAGE(OFFSET($H$3,0,0,'Données projet'!$E$9+1,1))</f>
        <v>476.79071915271794</v>
      </c>
      <c r="T128" s="59">
        <f t="shared" si="88"/>
        <v>264.79929759351762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206.79347357063935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206.79347357063935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68.821932649536393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-9.5769792096689348E-14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365.104658862176</v>
      </c>
      <c r="AO128" s="59">
        <f t="shared" si="90"/>
        <v>226.29232910286325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117.62972351470758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117.62972351470758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68.821932649536393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-1.1368683772161603E-13</v>
      </c>
      <c r="BE128" s="13">
        <f>BD128*VLOOKUP('Données projet'!$B$11,Paramètres!$A$1:$I$89,3,0)*VLOOKUP('Données projet'!$B$11,Paramètres!$A$1:$I$89,5,0)</f>
        <v>-1.0286385077051818E-13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388.12494342575195</v>
      </c>
      <c r="BJ128" s="59">
        <f t="shared" si="92"/>
        <v>239.39471445648454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126.34303636764889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126.34303636764889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68.821932649536393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-1.1368683772161603E-13</v>
      </c>
      <c r="BZ128" s="13">
        <f>BY128*VLOOKUP('Données projet'!$B$12,Paramètres!$A$1:$I$89,3,0)*VLOOKUP('Données projet'!$B$12,Paramètres!$A$1:$I$89,5,0)</f>
        <v>-1.1527845344971866E-13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428.33148932885132</v>
      </c>
      <c r="CE128" s="59">
        <f t="shared" si="94"/>
        <v>262.27548054534373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141.59133386029615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141.59133386029615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68.821932649536393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-1.1368683772161603E-13</v>
      </c>
      <c r="CU128" s="17">
        <f>CT128*VLOOKUP('Données projet'!$B$13,Paramètres!$A$1:$I$89,3,0)*VLOOKUP('Données projet'!$B$13,Paramètres!$A$1:$I$89,5,0)</f>
        <v>-1.0818439477588981E-13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307.62549820830162</v>
      </c>
      <c r="CZ128" s="59">
        <f t="shared" si="96"/>
        <v>160.26466014910304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96.503600146999261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96.503600146999261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68.821932649536393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-1.7053025658242404E-13</v>
      </c>
      <c r="DP128" s="17">
        <f>DO128*VLOOKUP('Données projet'!$B$14,Paramètres!$A$1:$I$89,3,0)*VLOOKUP('Données projet'!$B$14,Paramètres!$A$1:$I$89,5,0)</f>
        <v>-1.3567387213697657E-13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309.14579005132464</v>
      </c>
      <c r="DU128" s="59">
        <f t="shared" si="98"/>
        <v>300.60311050289533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37.762668074957375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37.762668074957375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68.821932649536393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>
        <f>EJ128*VLOOKUP('Données projet'!$B$15,Paramètres!$A$1:$I$89,3,0)*VLOOKUP('Données projet'!$B$15,Paramètres!$A$1:$I$89,5,0)</f>
        <v>0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338.59243085476896</v>
      </c>
      <c r="EP128" s="59">
        <f t="shared" si="100"/>
        <v>329.8393445823275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34.986583759787898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34.986583759787898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68.821932649536393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>
        <f>FE128*VLOOKUP('Données projet'!$B$16,Paramètres!$A$1:$I$89,3,0)*VLOOKUP('Données projet'!$B$16,Paramètres!$A$1:$I$89,5,0)</f>
        <v>0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307.50573770128085</v>
      </c>
      <c r="FK128" s="59">
        <f t="shared" si="102"/>
        <v>300.2007312562655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31.264606764065782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31.264606764065782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68.821932649536393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>
        <f>FZ128*VLOOKUP('Données projet'!$B$17,Paramètres!$A$1:$I$89,3,0)*VLOOKUP('Données projet'!$B$17,Paramètres!$A$1:$I$89,5,0)</f>
        <v>0</v>
      </c>
      <c r="GB128" s="13" t="e">
        <f t="shared" si="103"/>
        <v>#NUM!</v>
      </c>
      <c r="GC128" s="20" t="e">
        <f t="shared" si="79"/>
        <v>#NUM!</v>
      </c>
      <c r="GD128" s="59" t="e">
        <f t="shared" si="80"/>
        <v>#NUM!</v>
      </c>
      <c r="GE128" s="59">
        <f ca="1">AVERAGE(OFFSET($GD$3,0,0,'Données projet'!$E$17+1,1))-AVERAGE(OFFSET($H$3,0,0,'Données projet'!$E$17+1,1))</f>
        <v>369.60865427618342</v>
      </c>
      <c r="GF128" s="59">
        <f t="shared" si="104"/>
        <v>359.40898775279197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38.708560755510021</v>
      </c>
      <c r="GM128" s="21">
        <f>EXP(-LN(2)/25)*GM127+(1-EXP(-LN(2)/25))/(LN(2)/25)*Calculateur!GH128*Calculateur!GJ128*VLOOKUP('Données projet'!$B$17,Paramètres!$A$1:$I$89,3,0)*0.475*44/12</f>
        <v>0</v>
      </c>
      <c r="GN128" s="21">
        <f>EXP(-LN(2)/2)*GN127+(1-EXP(-LN(2)/2))/(LN(2)/2)*GH128*GK128*VLOOKUP('Données projet'!$B$17,Paramètres!$A$1:$I$89,3,0)*0.475*44/12</f>
        <v>0</v>
      </c>
      <c r="GO128" s="21">
        <f t="shared" si="81"/>
        <v>38.708560755510021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68.821932649536393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-1.7053025658242404E-13</v>
      </c>
      <c r="GV128" s="17">
        <f>GU128*VLOOKUP('Données projet'!$B$18,Paramètres!$A$1:$I$89,3,0)*VLOOKUP('Données projet'!$B$18,Paramètres!$A$1:$I$89,5,0)</f>
        <v>-1.1173142411280423E-13</v>
      </c>
      <c r="GW128" s="13" t="e">
        <f t="shared" si="105"/>
        <v>#NUM!</v>
      </c>
      <c r="GX128" s="20" t="e">
        <f t="shared" si="82"/>
        <v>#NUM!</v>
      </c>
      <c r="GY128" s="59" t="e">
        <f t="shared" si="83"/>
        <v>#NUM!</v>
      </c>
      <c r="GZ128" s="59">
        <f ca="1">AVERAGE(OFFSET($GY$3,0,0,'Données projet'!$E$18+1,1))-AVERAGE(OFFSET($H$3,0,0,'Données projet'!$E$18+1,1))</f>
        <v>262.62914256200031</v>
      </c>
      <c r="HA128" s="59">
        <f t="shared" si="106"/>
        <v>256.45129229594409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projet'!$B$18,Paramètres!$A$1:$I$89,3,0)*0.475*44/12</f>
        <v>25.230994651636333</v>
      </c>
      <c r="HH128" s="21">
        <f>EXP(-LN(2)/25)*HH127+(1-EXP(-LN(2)/25))/(LN(2)/25)*Calculateur!HC128*Calculateur!HE128*VLOOKUP('Données projet'!$B$18,Paramètres!$A$1:$I$89,3,0)*0.475*44/12</f>
        <v>0</v>
      </c>
      <c r="HI128" s="21">
        <f>EXP(-LN(2)/2)*HI127+(1-EXP(-LN(2)/2))/(LN(2)/2)*HC128*HF128*VLOOKUP('Données projet'!$B$18,Paramètres!$A$1:$I$89,3,0)*0.475*44/12</f>
        <v>0</v>
      </c>
      <c r="HJ128" s="22">
        <f t="shared" si="84"/>
        <v>25.230994651636333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2.1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7.7</v>
      </c>
      <c r="H129" s="67">
        <f t="shared" si="56"/>
        <v>225.86666666666665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68.842369484302893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5.6843418860808015E-14</v>
      </c>
      <c r="O129" s="13">
        <f>N129*VLOOKUP('Données projet'!$B$9,Paramètres!$A$1:$I$89,3,0)*VLOOKUP('Données projet'!$B$9,Paramètres!$A$1:$I$89,5,0)</f>
        <v>4.8771653382573282E-14</v>
      </c>
      <c r="P129" s="13">
        <f t="shared" si="87"/>
        <v>7.9655698259503351E-13</v>
      </c>
      <c r="Q129" s="20">
        <f t="shared" si="107"/>
        <v>1.4722807076609983E-12</v>
      </c>
      <c r="R129" s="59">
        <f t="shared" si="55"/>
        <v>289.08868810911207</v>
      </c>
      <c r="S129" s="59">
        <f ca="1">AVERAGE(OFFSET($R$3,0,0,'Données projet'!$E$9+1,1))-AVERAGE(OFFSET($H$3,0,0,'Données projet'!$E$9+1,1))</f>
        <v>476.79071915271794</v>
      </c>
      <c r="T129" s="59">
        <f t="shared" si="88"/>
        <v>264.79929759351762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202.73837968548352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202.73837968548352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68.842369484302893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-9.5769792096689348E-14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365.104658862176</v>
      </c>
      <c r="AO129" s="59">
        <f t="shared" si="90"/>
        <v>226.29232910286325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115.32307638363108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115.32307638363108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68.842369484302893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-1.1368683772161603E-13</v>
      </c>
      <c r="BE129" s="13">
        <f>BD129*VLOOKUP('Données projet'!$B$11,Paramètres!$A$1:$I$89,3,0)*VLOOKUP('Données projet'!$B$11,Paramètres!$A$1:$I$89,5,0)</f>
        <v>-1.0286385077051818E-13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388.12494342575195</v>
      </c>
      <c r="BJ129" s="59">
        <f t="shared" si="92"/>
        <v>239.39471445648454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123.86552648612228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123.86552648612228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68.842369484302893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-1.1368683772161603E-13</v>
      </c>
      <c r="BZ129" s="13">
        <f>BY129*VLOOKUP('Données projet'!$B$12,Paramètres!$A$1:$I$89,3,0)*VLOOKUP('Données projet'!$B$12,Paramètres!$A$1:$I$89,5,0)</f>
        <v>-1.1527845344971866E-13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428.33148932885132</v>
      </c>
      <c r="CE129" s="59">
        <f t="shared" si="94"/>
        <v>262.27548054534373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138.81481416548183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138.81481416548183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68.842369484302893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-1.1368683772161603E-13</v>
      </c>
      <c r="CU129" s="17">
        <f>CT129*VLOOKUP('Données projet'!$B$13,Paramètres!$A$1:$I$89,3,0)*VLOOKUP('Données projet'!$B$13,Paramètres!$A$1:$I$89,5,0)</f>
        <v>-1.0818439477588981E-13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307.62549820830162</v>
      </c>
      <c r="CZ129" s="59">
        <f t="shared" si="96"/>
        <v>160.26466014910304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94.61122340950061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94.61122340950061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68.842369484302893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-1.7053025658242404E-13</v>
      </c>
      <c r="DP129" s="17">
        <f>DO129*VLOOKUP('Données projet'!$B$14,Paramètres!$A$1:$I$89,3,0)*VLOOKUP('Données projet'!$B$14,Paramètres!$A$1:$I$89,5,0)</f>
        <v>-1.3567387213697657E-13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309.14579005132464</v>
      </c>
      <c r="DU129" s="59">
        <f t="shared" si="98"/>
        <v>300.60311050289533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37.02216518696067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37.02216518696067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68.842369484302893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>
        <f>EJ129*VLOOKUP('Données projet'!$B$15,Paramètres!$A$1:$I$89,3,0)*VLOOKUP('Données projet'!$B$15,Paramètres!$A$1:$I$89,5,0)</f>
        <v>0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338.59243085476896</v>
      </c>
      <c r="EP129" s="59">
        <f t="shared" si="100"/>
        <v>329.8393445823275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34.300518191967427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34.300518191967427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68.842369484302893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>
        <f>FE129*VLOOKUP('Données projet'!$B$16,Paramètres!$A$1:$I$89,3,0)*VLOOKUP('Données projet'!$B$16,Paramètres!$A$1:$I$89,5,0)</f>
        <v>0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307.50573770128085</v>
      </c>
      <c r="FK129" s="59">
        <f t="shared" si="102"/>
        <v>300.2007312562655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30.651526894949619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30.651526894949619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68.842369484302893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>
        <f>FZ129*VLOOKUP('Données projet'!$B$17,Paramètres!$A$1:$I$89,3,0)*VLOOKUP('Données projet'!$B$17,Paramètres!$A$1:$I$89,5,0)</f>
        <v>0</v>
      </c>
      <c r="GB129" s="13" t="e">
        <f t="shared" si="103"/>
        <v>#NUM!</v>
      </c>
      <c r="GC129" s="20" t="e">
        <f t="shared" si="79"/>
        <v>#NUM!</v>
      </c>
      <c r="GD129" s="59" t="e">
        <f t="shared" si="80"/>
        <v>#NUM!</v>
      </c>
      <c r="GE129" s="59">
        <f ca="1">AVERAGE(OFFSET($GD$3,0,0,'Données projet'!$E$17+1,1))-AVERAGE(OFFSET($H$3,0,0,'Données projet'!$E$17+1,1))</f>
        <v>369.60865427618342</v>
      </c>
      <c r="GF129" s="59">
        <f t="shared" si="104"/>
        <v>359.40898775279197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37.94950948898525</v>
      </c>
      <c r="GM129" s="21">
        <f>EXP(-LN(2)/25)*GM128+(1-EXP(-LN(2)/25))/(LN(2)/25)*Calculateur!GH129*Calculateur!GJ129*VLOOKUP('Données projet'!$B$17,Paramètres!$A$1:$I$89,3,0)*0.475*44/12</f>
        <v>0</v>
      </c>
      <c r="GN129" s="21">
        <f>EXP(-LN(2)/2)*GN128+(1-EXP(-LN(2)/2))/(LN(2)/2)*GH129*GK129*VLOOKUP('Données projet'!$B$17,Paramètres!$A$1:$I$89,3,0)*0.475*44/12</f>
        <v>0</v>
      </c>
      <c r="GO129" s="21">
        <f t="shared" si="81"/>
        <v>37.94950948898525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68.842369484302893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-1.7053025658242404E-13</v>
      </c>
      <c r="GV129" s="17">
        <f>GU129*VLOOKUP('Données projet'!$B$18,Paramètres!$A$1:$I$89,3,0)*VLOOKUP('Données projet'!$B$18,Paramètres!$A$1:$I$89,5,0)</f>
        <v>-1.1173142411280423E-13</v>
      </c>
      <c r="GW129" s="13" t="e">
        <f t="shared" si="105"/>
        <v>#NUM!</v>
      </c>
      <c r="GX129" s="20" t="e">
        <f t="shared" si="82"/>
        <v>#NUM!</v>
      </c>
      <c r="GY129" s="59" t="e">
        <f t="shared" si="83"/>
        <v>#NUM!</v>
      </c>
      <c r="GZ129" s="59">
        <f ca="1">AVERAGE(OFFSET($GY$3,0,0,'Données projet'!$E$18+1,1))-AVERAGE(OFFSET($H$3,0,0,'Données projet'!$E$18+1,1))</f>
        <v>262.62914256200031</v>
      </c>
      <c r="HA129" s="59">
        <f t="shared" si="106"/>
        <v>256.45129229594409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projet'!$B$18,Paramètres!$A$1:$I$89,3,0)*0.475*44/12</f>
        <v>24.736230235904905</v>
      </c>
      <c r="HH129" s="21">
        <f>EXP(-LN(2)/25)*HH128+(1-EXP(-LN(2)/25))/(LN(2)/25)*Calculateur!HC129*Calculateur!HE129*VLOOKUP('Données projet'!$B$18,Paramètres!$A$1:$I$89,3,0)*0.475*44/12</f>
        <v>0</v>
      </c>
      <c r="HI129" s="21">
        <f>EXP(-LN(2)/2)*HI128+(1-EXP(-LN(2)/2))/(LN(2)/2)*HC129*HF129*VLOOKUP('Données projet'!$B$18,Paramètres!$A$1:$I$89,3,0)*0.475*44/12</f>
        <v>0</v>
      </c>
      <c r="HJ129" s="22">
        <f t="shared" si="84"/>
        <v>24.736230235904905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2.1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7.7</v>
      </c>
      <c r="H130" s="67">
        <f t="shared" si="56"/>
        <v>225.86666666666665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68.862451785676129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5.6843418860808015E-14</v>
      </c>
      <c r="O130" s="13">
        <f>N130*VLOOKUP('Données projet'!$B$9,Paramètres!$A$1:$I$89,3,0)*VLOOKUP('Données projet'!$B$9,Paramètres!$A$1:$I$89,5,0)</f>
        <v>4.8771653382573282E-14</v>
      </c>
      <c r="P130" s="13">
        <f t="shared" si="87"/>
        <v>7.9655698259503351E-13</v>
      </c>
      <c r="Q130" s="20">
        <f t="shared" si="107"/>
        <v>1.4722807076609983E-12</v>
      </c>
      <c r="R130" s="59">
        <f t="shared" si="55"/>
        <v>289.16232321414731</v>
      </c>
      <c r="S130" s="59">
        <f ca="1">AVERAGE(OFFSET($R$3,0,0,'Données projet'!$E$9+1,1))-AVERAGE(OFFSET($H$3,0,0,'Données projet'!$E$9+1,1))</f>
        <v>476.79071915271794</v>
      </c>
      <c r="T130" s="59">
        <f t="shared" si="88"/>
        <v>264.79929759351762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198.76280371805257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198.76280371805257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68.862451785676129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-9.5769792096689348E-14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365.104658862176</v>
      </c>
      <c r="AO130" s="59">
        <f t="shared" si="90"/>
        <v>226.29232910286325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113.06166119587915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113.06166119587915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68.862451785676129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-1.1368683772161603E-13</v>
      </c>
      <c r="BE130" s="13">
        <f>BD130*VLOOKUP('Données projet'!$B$11,Paramètres!$A$1:$I$89,3,0)*VLOOKUP('Données projet'!$B$11,Paramètres!$A$1:$I$89,5,0)</f>
        <v>-1.0286385077051818E-13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388.12494342575195</v>
      </c>
      <c r="BJ130" s="59">
        <f t="shared" si="92"/>
        <v>239.39471445648454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121.43659906224059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121.43659906224059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68.862451785676129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-1.1368683772161603E-13</v>
      </c>
      <c r="BZ130" s="13">
        <f>BY130*VLOOKUP('Données projet'!$B$12,Paramètres!$A$1:$I$89,3,0)*VLOOKUP('Données projet'!$B$12,Paramètres!$A$1:$I$89,5,0)</f>
        <v>-1.1527845344971866E-13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428.33148932885132</v>
      </c>
      <c r="CE130" s="59">
        <f t="shared" si="94"/>
        <v>262.27548054534373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136.09274032837303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136.09274032837303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68.862451785676129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-1.1368683772161603E-13</v>
      </c>
      <c r="CU130" s="17">
        <f>CT130*VLOOKUP('Données projet'!$B$13,Paramètres!$A$1:$I$89,3,0)*VLOOKUP('Données projet'!$B$13,Paramètres!$A$1:$I$89,5,0)</f>
        <v>-1.0818439477588981E-13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307.62549820830162</v>
      </c>
      <c r="CZ130" s="59">
        <f t="shared" si="96"/>
        <v>160.26466014910304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92.755955025588477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92.755955025588477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68.862451785676129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-1.7053025658242404E-13</v>
      </c>
      <c r="DP130" s="17">
        <f>DO130*VLOOKUP('Données projet'!$B$14,Paramètres!$A$1:$I$89,3,0)*VLOOKUP('Données projet'!$B$14,Paramètres!$A$1:$I$89,5,0)</f>
        <v>-1.3567387213697657E-13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309.14579005132464</v>
      </c>
      <c r="DU130" s="59">
        <f t="shared" si="98"/>
        <v>300.60311050289533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36.296183108935416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36.296183108935416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68.862451785676129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>
        <f>EJ130*VLOOKUP('Données projet'!$B$15,Paramètres!$A$1:$I$89,3,0)*VLOOKUP('Données projet'!$B$15,Paramètres!$A$1:$I$89,5,0)</f>
        <v>0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338.59243085476896</v>
      </c>
      <c r="EP130" s="59">
        <f t="shared" si="100"/>
        <v>329.8393445823275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33.627905951473238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33.627905951473238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68.862451785676129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>
        <f>FE130*VLOOKUP('Données projet'!$B$16,Paramètres!$A$1:$I$89,3,0)*VLOOKUP('Données projet'!$B$16,Paramètres!$A$1:$I$89,5,0)</f>
        <v>0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307.50573770128085</v>
      </c>
      <c r="FK130" s="59">
        <f t="shared" si="102"/>
        <v>300.2007312562655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30.050469148125028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30.050469148125028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68.862451785676129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>
        <f>FZ130*VLOOKUP('Données projet'!$B$17,Paramètres!$A$1:$I$89,3,0)*VLOOKUP('Données projet'!$B$17,Paramètres!$A$1:$I$89,5,0)</f>
        <v>0</v>
      </c>
      <c r="GB130" s="13" t="e">
        <f t="shared" si="103"/>
        <v>#NUM!</v>
      </c>
      <c r="GC130" s="20" t="e">
        <f t="shared" si="79"/>
        <v>#NUM!</v>
      </c>
      <c r="GD130" s="59" t="e">
        <f t="shared" si="80"/>
        <v>#NUM!</v>
      </c>
      <c r="GE130" s="59">
        <f ca="1">AVERAGE(OFFSET($GD$3,0,0,'Données projet'!$E$17+1,1))-AVERAGE(OFFSET($H$3,0,0,'Données projet'!$E$17+1,1))</f>
        <v>369.60865427618342</v>
      </c>
      <c r="GF130" s="59">
        <f t="shared" si="104"/>
        <v>359.40898775279197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37.205342754821466</v>
      </c>
      <c r="GM130" s="21">
        <f>EXP(-LN(2)/25)*GM129+(1-EXP(-LN(2)/25))/(LN(2)/25)*Calculateur!GH130*Calculateur!GJ130*VLOOKUP('Données projet'!$B$17,Paramètres!$A$1:$I$89,3,0)*0.475*44/12</f>
        <v>0</v>
      </c>
      <c r="GN130" s="21">
        <f>EXP(-LN(2)/2)*GN129+(1-EXP(-LN(2)/2))/(LN(2)/2)*GH130*GK130*VLOOKUP('Données projet'!$B$17,Paramètres!$A$1:$I$89,3,0)*0.475*44/12</f>
        <v>0</v>
      </c>
      <c r="GO130" s="21">
        <f t="shared" si="81"/>
        <v>37.205342754821466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68.862451785676129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-1.7053025658242404E-13</v>
      </c>
      <c r="GV130" s="17">
        <f>GU130*VLOOKUP('Données projet'!$B$18,Paramètres!$A$1:$I$89,3,0)*VLOOKUP('Données projet'!$B$18,Paramètres!$A$1:$I$89,5,0)</f>
        <v>-1.1173142411280423E-13</v>
      </c>
      <c r="GW130" s="13" t="e">
        <f t="shared" si="105"/>
        <v>#NUM!</v>
      </c>
      <c r="GX130" s="20" t="e">
        <f t="shared" si="82"/>
        <v>#NUM!</v>
      </c>
      <c r="GY130" s="59" t="e">
        <f t="shared" si="83"/>
        <v>#NUM!</v>
      </c>
      <c r="GZ130" s="59">
        <f ca="1">AVERAGE(OFFSET($GY$3,0,0,'Données projet'!$E$18+1,1))-AVERAGE(OFFSET($H$3,0,0,'Données projet'!$E$18+1,1))</f>
        <v>262.62914256200031</v>
      </c>
      <c r="HA130" s="59">
        <f t="shared" si="106"/>
        <v>256.45129229594409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projet'!$B$18,Paramètres!$A$1:$I$89,3,0)*0.475*44/12</f>
        <v>24.251167848589475</v>
      </c>
      <c r="HH130" s="21">
        <f>EXP(-LN(2)/25)*HH129+(1-EXP(-LN(2)/25))/(LN(2)/25)*Calculateur!HC130*Calculateur!HE130*VLOOKUP('Données projet'!$B$18,Paramètres!$A$1:$I$89,3,0)*0.475*44/12</f>
        <v>0</v>
      </c>
      <c r="HI130" s="21">
        <f>EXP(-LN(2)/2)*HI129+(1-EXP(-LN(2)/2))/(LN(2)/2)*HC130*HF130*VLOOKUP('Données projet'!$B$18,Paramètres!$A$1:$I$89,3,0)*0.475*44/12</f>
        <v>0</v>
      </c>
      <c r="HJ130" s="22">
        <f t="shared" si="84"/>
        <v>24.251167848589475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2.1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7.7</v>
      </c>
      <c r="H131" s="67">
        <f t="shared" si="56"/>
        <v>225.86666666666665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68.882185704017843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5.6843418860808015E-14</v>
      </c>
      <c r="O131" s="13">
        <f>N131*VLOOKUP('Données projet'!$B$9,Paramètres!$A$1:$I$89,3,0)*VLOOKUP('Données projet'!$B$9,Paramètres!$A$1:$I$89,5,0)</f>
        <v>4.8771653382573282E-14</v>
      </c>
      <c r="P131" s="13">
        <f t="shared" si="87"/>
        <v>7.9655698259503351E-13</v>
      </c>
      <c r="Q131" s="20">
        <f t="shared" ref="Q131:Q153" si="108">(O131+P131)*0.475*44/12</f>
        <v>1.4722807076609983E-12</v>
      </c>
      <c r="R131" s="59">
        <f t="shared" ref="R131:R194" si="109">Q131+(I131+J131)*44/12</f>
        <v>289.23468091473359</v>
      </c>
      <c r="S131" s="59">
        <f ca="1">AVERAGE(OFFSET($R$3,0,0,'Données projet'!$E$9+1,1))-AVERAGE(OFFSET($H$3,0,0,'Données projet'!$E$9+1,1))</f>
        <v>476.79071915271794</v>
      </c>
      <c r="T131" s="59">
        <f t="shared" si="88"/>
        <v>264.79929759351762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194.86518637048101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194.86518637048101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68.882185704017843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-9.5769792096689348E-14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365.104658862176</v>
      </c>
      <c r="AO131" s="59">
        <f t="shared" si="90"/>
        <v>226.29232910286325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110.84459098063198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110.84459098063198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68.882185704017843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-1.1368683772161603E-13</v>
      </c>
      <c r="BE131" s="13">
        <f>BD131*VLOOKUP('Données projet'!$B$11,Paramètres!$A$1:$I$89,3,0)*VLOOKUP('Données projet'!$B$11,Paramètres!$A$1:$I$89,5,0)</f>
        <v>-1.0286385077051818E-13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388.12494342575195</v>
      </c>
      <c r="BJ131" s="59">
        <f t="shared" si="92"/>
        <v>239.39471445648454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119.05530142364177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119.05530142364177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68.882185704017843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-1.1368683772161603E-13</v>
      </c>
      <c r="BZ131" s="13">
        <f>BY131*VLOOKUP('Données projet'!$B$12,Paramètres!$A$1:$I$89,3,0)*VLOOKUP('Données projet'!$B$12,Paramètres!$A$1:$I$89,5,0)</f>
        <v>-1.1527845344971866E-13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428.33148932885132</v>
      </c>
      <c r="CE131" s="59">
        <f t="shared" si="94"/>
        <v>262.27548054534373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133.42404469890883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133.42404469890883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68.882185704017843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-1.1368683772161603E-13</v>
      </c>
      <c r="CU131" s="17">
        <f>CT131*VLOOKUP('Données projet'!$B$13,Paramètres!$A$1:$I$89,3,0)*VLOOKUP('Données projet'!$B$13,Paramètres!$A$1:$I$89,5,0)</f>
        <v>-1.0818439477588981E-13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307.62549820830162</v>
      </c>
      <c r="CZ131" s="59">
        <f t="shared" si="96"/>
        <v>160.26466014910304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90.937067323082886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90.937067323082886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68.882185704017843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-1.7053025658242404E-13</v>
      </c>
      <c r="DP131" s="17">
        <f>DO131*VLOOKUP('Données projet'!$B$14,Paramètres!$A$1:$I$89,3,0)*VLOOKUP('Données projet'!$B$14,Paramètres!$A$1:$I$89,5,0)</f>
        <v>-1.3567387213697657E-13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309.14579005132464</v>
      </c>
      <c r="DU131" s="59">
        <f t="shared" si="98"/>
        <v>300.60311050289533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35.584437096654895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35.584437096654895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68.882185704017843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>
        <f>EJ131*VLOOKUP('Données projet'!$B$15,Paramètres!$A$1:$I$89,3,0)*VLOOKUP('Données projet'!$B$15,Paramètres!$A$1:$I$89,5,0)</f>
        <v>0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338.59243085476896</v>
      </c>
      <c r="EP131" s="59">
        <f t="shared" si="100"/>
        <v>329.8393445823275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32.968483226762189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32.968483226762189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68.882185704017843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>
        <f>FE131*VLOOKUP('Données projet'!$B$16,Paramètres!$A$1:$I$89,3,0)*VLOOKUP('Données projet'!$B$16,Paramètres!$A$1:$I$89,5,0)</f>
        <v>0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307.50573770128085</v>
      </c>
      <c r="FK131" s="59">
        <f t="shared" si="102"/>
        <v>300.2007312562655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29.461197777106641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29.461197777106641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68.882185704017843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>
        <f>FZ131*VLOOKUP('Données projet'!$B$17,Paramètres!$A$1:$I$89,3,0)*VLOOKUP('Données projet'!$B$17,Paramètres!$A$1:$I$89,5,0)</f>
        <v>0</v>
      </c>
      <c r="GB131" s="13" t="e">
        <f t="shared" si="103"/>
        <v>#NUM!</v>
      </c>
      <c r="GC131" s="20" t="e">
        <f t="shared" si="79"/>
        <v>#NUM!</v>
      </c>
      <c r="GD131" s="59" t="e">
        <f t="shared" si="80"/>
        <v>#NUM!</v>
      </c>
      <c r="GE131" s="59">
        <f ca="1">AVERAGE(OFFSET($GD$3,0,0,'Données projet'!$E$17+1,1))-AVERAGE(OFFSET($H$3,0,0,'Données projet'!$E$17+1,1))</f>
        <v>369.60865427618342</v>
      </c>
      <c r="GF131" s="59">
        <f t="shared" si="104"/>
        <v>359.40898775279197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36.475768676417751</v>
      </c>
      <c r="GM131" s="21">
        <f>EXP(-LN(2)/25)*GM130+(1-EXP(-LN(2)/25))/(LN(2)/25)*Calculateur!GH131*Calculateur!GJ131*VLOOKUP('Données projet'!$B$17,Paramètres!$A$1:$I$89,3,0)*0.475*44/12</f>
        <v>0</v>
      </c>
      <c r="GN131" s="21">
        <f>EXP(-LN(2)/2)*GN130+(1-EXP(-LN(2)/2))/(LN(2)/2)*GH131*GK131*VLOOKUP('Données projet'!$B$17,Paramètres!$A$1:$I$89,3,0)*0.475*44/12</f>
        <v>0</v>
      </c>
      <c r="GO131" s="21">
        <f t="shared" si="81"/>
        <v>36.475768676417751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68.882185704017843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-1.7053025658242404E-13</v>
      </c>
      <c r="GV131" s="17">
        <f>GU131*VLOOKUP('Données projet'!$B$18,Paramètres!$A$1:$I$89,3,0)*VLOOKUP('Données projet'!$B$18,Paramètres!$A$1:$I$89,5,0)</f>
        <v>-1.1173142411280423E-13</v>
      </c>
      <c r="GW131" s="13" t="e">
        <f t="shared" si="105"/>
        <v>#NUM!</v>
      </c>
      <c r="GX131" s="20" t="e">
        <f t="shared" si="82"/>
        <v>#NUM!</v>
      </c>
      <c r="GY131" s="59" t="e">
        <f t="shared" si="83"/>
        <v>#NUM!</v>
      </c>
      <c r="GZ131" s="59">
        <f ca="1">AVERAGE(OFFSET($GY$3,0,0,'Données projet'!$E$18+1,1))-AVERAGE(OFFSET($H$3,0,0,'Données projet'!$E$18+1,1))</f>
        <v>262.62914256200031</v>
      </c>
      <c r="HA131" s="59">
        <f t="shared" si="106"/>
        <v>256.45129229594409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projet'!$B$18,Paramètres!$A$1:$I$89,3,0)*0.475*44/12</f>
        <v>23.77561723883046</v>
      </c>
      <c r="HH131" s="21">
        <f>EXP(-LN(2)/25)*HH130+(1-EXP(-LN(2)/25))/(LN(2)/25)*Calculateur!HC131*Calculateur!HE131*VLOOKUP('Données projet'!$B$18,Paramètres!$A$1:$I$89,3,0)*0.475*44/12</f>
        <v>0</v>
      </c>
      <c r="HI131" s="21">
        <f>EXP(-LN(2)/2)*HI130+(1-EXP(-LN(2)/2))/(LN(2)/2)*HC131*HF131*VLOOKUP('Données projet'!$B$18,Paramètres!$A$1:$I$89,3,0)*0.475*44/12</f>
        <v>0</v>
      </c>
      <c r="HJ131" s="22">
        <f t="shared" si="84"/>
        <v>23.77561723883046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2.1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7.7</v>
      </c>
      <c r="H132" s="67">
        <f t="shared" ref="H132:H195" si="110">(B132+E132+F132)*44/12+(C132+D132)*0.475*44/12</f>
        <v>225.86666666666665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68.901577282994751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5.6843418860808015E-14</v>
      </c>
      <c r="O132" s="13">
        <f>N132*VLOOKUP('Données projet'!$B$9,Paramètres!$A$1:$I$89,3,0)*VLOOKUP('Données projet'!$B$9,Paramètres!$A$1:$I$89,5,0)</f>
        <v>4.8771653382573282E-14</v>
      </c>
      <c r="P132" s="13">
        <f t="shared" si="87"/>
        <v>7.9655698259503351E-13</v>
      </c>
      <c r="Q132" s="20">
        <f t="shared" si="108"/>
        <v>1.4722807076609983E-12</v>
      </c>
      <c r="R132" s="59">
        <f t="shared" si="109"/>
        <v>289.30578337098223</v>
      </c>
      <c r="S132" s="59">
        <f ca="1">AVERAGE(OFFSET($R$3,0,0,'Données projet'!$E$9+1,1))-AVERAGE(OFFSET($H$3,0,0,'Données projet'!$E$9+1,1))</f>
        <v>476.79071915271794</v>
      </c>
      <c r="T132" s="59">
        <f t="shared" si="88"/>
        <v>264.79929759351762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191.0439989217835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191.0439989217835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68.901577282994751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-9.5769792096689348E-14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365.104658862176</v>
      </c>
      <c r="AO132" s="59">
        <f t="shared" si="90"/>
        <v>226.29232910286325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108.67099616002649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108.67099616002649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68.901577282994751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-1.1368683772161603E-13</v>
      </c>
      <c r="BE132" s="13">
        <f>BD132*VLOOKUP('Données projet'!$B$11,Paramètres!$A$1:$I$89,3,0)*VLOOKUP('Données projet'!$B$11,Paramètres!$A$1:$I$89,5,0)</f>
        <v>-1.0286385077051818E-13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388.12494342575195</v>
      </c>
      <c r="BJ132" s="59">
        <f t="shared" si="92"/>
        <v>239.39471445648454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116.72069957928773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116.72069957928773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68.901577282994751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-1.1368683772161603E-13</v>
      </c>
      <c r="BZ132" s="13">
        <f>BY132*VLOOKUP('Données projet'!$B$12,Paramètres!$A$1:$I$89,3,0)*VLOOKUP('Données projet'!$B$12,Paramètres!$A$1:$I$89,5,0)</f>
        <v>-1.1527845344971866E-13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428.33148932885132</v>
      </c>
      <c r="CE132" s="59">
        <f t="shared" si="94"/>
        <v>262.27548054534373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130.80768056299482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130.80768056299482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68.901577282994751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-1.1368683772161603E-13</v>
      </c>
      <c r="CU132" s="17">
        <f>CT132*VLOOKUP('Données projet'!$B$13,Paramètres!$A$1:$I$89,3,0)*VLOOKUP('Données projet'!$B$13,Paramètres!$A$1:$I$89,5,0)</f>
        <v>-1.0818439477588981E-13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307.62549820830162</v>
      </c>
      <c r="CZ132" s="59">
        <f t="shared" si="96"/>
        <v>160.26466014910304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89.153846899011469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89.153846899011469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68.901577282994751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-1.7053025658242404E-13</v>
      </c>
      <c r="DP132" s="17">
        <f>DO132*VLOOKUP('Données projet'!$B$14,Paramètres!$A$1:$I$89,3,0)*VLOOKUP('Données projet'!$B$14,Paramètres!$A$1:$I$89,5,0)</f>
        <v>-1.3567387213697657E-13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309.14579005132464</v>
      </c>
      <c r="DU132" s="59">
        <f t="shared" si="98"/>
        <v>300.60311050289533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34.886647989552991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34.886647989552991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68.901577282994751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>
        <f>EJ132*VLOOKUP('Données projet'!$B$15,Paramètres!$A$1:$I$89,3,0)*VLOOKUP('Données projet'!$B$15,Paramètres!$A$1:$I$89,5,0)</f>
        <v>0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338.59243085476896</v>
      </c>
      <c r="EP132" s="59">
        <f t="shared" si="100"/>
        <v>329.8393445823275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32.321991379474575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32.321991379474575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68.901577282994751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>
        <f>FE132*VLOOKUP('Données projet'!$B$16,Paramètres!$A$1:$I$89,3,0)*VLOOKUP('Données projet'!$B$16,Paramètres!$A$1:$I$89,5,0)</f>
        <v>0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307.50573770128085</v>
      </c>
      <c r="FK132" s="59">
        <f t="shared" si="102"/>
        <v>300.2007312562655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28.883481658253878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28.883481658253878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68.901577282994751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>
        <f>FZ132*VLOOKUP('Données projet'!$B$17,Paramètres!$A$1:$I$89,3,0)*VLOOKUP('Données projet'!$B$17,Paramètres!$A$1:$I$89,5,0)</f>
        <v>0</v>
      </c>
      <c r="GB132" s="13" t="e">
        <f t="shared" si="103"/>
        <v>#NUM!</v>
      </c>
      <c r="GC132" s="20" t="e">
        <f t="shared" ref="GC132:GC153" si="133">(GA132+GB132)*0.475*44/12</f>
        <v>#NUM!</v>
      </c>
      <c r="GD132" s="59" t="e">
        <f t="shared" ref="GD132:GD195" si="134">GC132+(FU132+FV132)*44/12</f>
        <v>#NUM!</v>
      </c>
      <c r="GE132" s="59">
        <f ca="1">AVERAGE(OFFSET($GD$3,0,0,'Données projet'!$E$17+1,1))-AVERAGE(OFFSET($H$3,0,0,'Données projet'!$E$17+1,1))</f>
        <v>369.60865427618342</v>
      </c>
      <c r="GF132" s="59">
        <f t="shared" si="104"/>
        <v>359.40898775279197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35.760501100695279</v>
      </c>
      <c r="GM132" s="21">
        <f>EXP(-LN(2)/25)*GM131+(1-EXP(-LN(2)/25))/(LN(2)/25)*Calculateur!GH132*Calculateur!GJ132*VLOOKUP('Données projet'!$B$17,Paramètres!$A$1:$I$89,3,0)*0.475*44/12</f>
        <v>0</v>
      </c>
      <c r="GN132" s="21">
        <f>EXP(-LN(2)/2)*GN131+(1-EXP(-LN(2)/2))/(LN(2)/2)*GH132*GK132*VLOOKUP('Données projet'!$B$17,Paramètres!$A$1:$I$89,3,0)*0.475*44/12</f>
        <v>0</v>
      </c>
      <c r="GO132" s="21">
        <f t="shared" ref="GO132:GO153" si="135">SUM(GL132:GN132)</f>
        <v>35.760501100695279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68.901577282994751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-1.7053025658242404E-13</v>
      </c>
      <c r="GV132" s="17">
        <f>GU132*VLOOKUP('Données projet'!$B$18,Paramètres!$A$1:$I$89,3,0)*VLOOKUP('Données projet'!$B$18,Paramètres!$A$1:$I$89,5,0)</f>
        <v>-1.1173142411280423E-13</v>
      </c>
      <c r="GW132" s="13" t="e">
        <f t="shared" si="105"/>
        <v>#NUM!</v>
      </c>
      <c r="GX132" s="20" t="e">
        <f t="shared" ref="GX132:GX153" si="136">(GV132+GW132)*0.475*44/12</f>
        <v>#NUM!</v>
      </c>
      <c r="GY132" s="59" t="e">
        <f t="shared" ref="GY132:GY195" si="137">GX132+(GP132+GQ132)*44/12</f>
        <v>#NUM!</v>
      </c>
      <c r="GZ132" s="59">
        <f ca="1">AVERAGE(OFFSET($GY$3,0,0,'Données projet'!$E$18+1,1))-AVERAGE(OFFSET($H$3,0,0,'Données projet'!$E$18+1,1))</f>
        <v>262.62914256200031</v>
      </c>
      <c r="HA132" s="59">
        <f t="shared" si="106"/>
        <v>256.45129229594409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projet'!$B$18,Paramètres!$A$1:$I$89,3,0)*0.475*44/12</f>
        <v>23.309391886471587</v>
      </c>
      <c r="HH132" s="21">
        <f>EXP(-LN(2)/25)*HH131+(1-EXP(-LN(2)/25))/(LN(2)/25)*Calculateur!HC132*Calculateur!HE132*VLOOKUP('Données projet'!$B$18,Paramètres!$A$1:$I$89,3,0)*0.475*44/12</f>
        <v>0</v>
      </c>
      <c r="HI132" s="21">
        <f>EXP(-LN(2)/2)*HI131+(1-EXP(-LN(2)/2))/(LN(2)/2)*HC132*HF132*VLOOKUP('Données projet'!$B$18,Paramètres!$A$1:$I$89,3,0)*0.475*44/12</f>
        <v>0</v>
      </c>
      <c r="HJ132" s="22">
        <f t="shared" ref="HJ132:HJ153" si="138">SUM(HG132:HI132)</f>
        <v>23.309391886471587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2.1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7.7</v>
      </c>
      <c r="H133" s="67">
        <f t="shared" si="110"/>
        <v>225.86666666666665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68.920632461429491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5.6843418860808015E-14</v>
      </c>
      <c r="O133" s="13">
        <f>N133*VLOOKUP('Données projet'!$B$9,Paramètres!$A$1:$I$89,3,0)*VLOOKUP('Données projet'!$B$9,Paramètres!$A$1:$I$89,5,0)</f>
        <v>4.8771653382573282E-14</v>
      </c>
      <c r="P133" s="13">
        <f t="shared" ref="P133:P196" si="141">EXP(-1.0587+0.8836*LN(O133)+0.284)</f>
        <v>7.9655698259503351E-13</v>
      </c>
      <c r="Q133" s="20">
        <f t="shared" si="108"/>
        <v>1.4722807076609983E-12</v>
      </c>
      <c r="R133" s="59">
        <f t="shared" si="109"/>
        <v>289.37565235857625</v>
      </c>
      <c r="S133" s="59">
        <f ca="1">AVERAGE(OFFSET($R$3,0,0,'Données projet'!$E$9+1,1))-AVERAGE(OFFSET($H$3,0,0,'Données projet'!$E$9+1,1))</f>
        <v>476.79071915271794</v>
      </c>
      <c r="T133" s="59">
        <f t="shared" ref="T133:T196" si="142">$T$3</f>
        <v>264.79929759351762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187.29774262826075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187.29774262826075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68.920632461429491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-9.5769792096689348E-14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365.104658862176</v>
      </c>
      <c r="AO133" s="59">
        <f t="shared" ref="AO133:AO196" si="144">$AO$3</f>
        <v>226.29232910286325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106.54002420809115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106.54002420809115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68.920632461429491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-1.1368683772161603E-13</v>
      </c>
      <c r="BE133" s="13">
        <f>BD133*VLOOKUP('Données projet'!$B$11,Paramètres!$A$1:$I$89,3,0)*VLOOKUP('Données projet'!$B$11,Paramètres!$A$1:$I$89,5,0)</f>
        <v>-1.0286385077051818E-13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388.12494342575195</v>
      </c>
      <c r="BJ133" s="59">
        <f t="shared" ref="BJ133:BJ196" si="146">$BJ$3</f>
        <v>239.39471445648454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114.43187785313495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114.43187785313495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68.920632461429491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-1.1368683772161603E-13</v>
      </c>
      <c r="BZ133" s="13">
        <f>BY133*VLOOKUP('Données projet'!$B$12,Paramètres!$A$1:$I$89,3,0)*VLOOKUP('Données projet'!$B$12,Paramètres!$A$1:$I$89,5,0)</f>
        <v>-1.1527845344971866E-13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428.33148932885132</v>
      </c>
      <c r="CE133" s="59">
        <f t="shared" ref="CE133:CE196" si="148">$CE$3</f>
        <v>262.27548054534373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128.24262173196155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128.24262173196155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68.920632461429491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-1.1368683772161603E-13</v>
      </c>
      <c r="CU133" s="17">
        <f>CT133*VLOOKUP('Données projet'!$B$13,Paramètres!$A$1:$I$89,3,0)*VLOOKUP('Données projet'!$B$13,Paramètres!$A$1:$I$89,5,0)</f>
        <v>-1.0818439477588981E-13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307.62549820830162</v>
      </c>
      <c r="CZ133" s="59">
        <f t="shared" ref="CZ133:CZ196" si="150">$CZ$3</f>
        <v>160.26466014910304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87.405594339799038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87.405594339799038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68.920632461429491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-1.7053025658242404E-13</v>
      </c>
      <c r="DP133" s="17">
        <f>DO133*VLOOKUP('Données projet'!$B$14,Paramètres!$A$1:$I$89,3,0)*VLOOKUP('Données projet'!$B$14,Paramètres!$A$1:$I$89,5,0)</f>
        <v>-1.3567387213697657E-13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309.14579005132464</v>
      </c>
      <c r="DU133" s="59">
        <f t="shared" ref="DU133:DU196" si="152">$DU$3</f>
        <v>300.60311050289533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34.202542101232027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34.202542101232027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68.920632461429491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>
        <f>EJ133*VLOOKUP('Données projet'!$B$15,Paramètres!$A$1:$I$89,3,0)*VLOOKUP('Données projet'!$B$15,Paramètres!$A$1:$I$89,5,0)</f>
        <v>0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338.59243085476896</v>
      </c>
      <c r="EP133" s="59">
        <f t="shared" ref="EP133:EP196" si="154">$EP$3</f>
        <v>329.8393445823275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31.688176842991179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31.688176842991179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68.920632461429491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>
        <f>FE133*VLOOKUP('Données projet'!$B$16,Paramètres!$A$1:$I$89,3,0)*VLOOKUP('Données projet'!$B$16,Paramètres!$A$1:$I$89,5,0)</f>
        <v>0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307.50573770128085</v>
      </c>
      <c r="FK133" s="59">
        <f t="shared" ref="FK133:FK196" si="156">$FK$3</f>
        <v>300.2007312562655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28.317094200119779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28.317094200119779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68.920632461429491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>
        <f>FZ133*VLOOKUP('Données projet'!$B$17,Paramètres!$A$1:$I$89,3,0)*VLOOKUP('Données projet'!$B$17,Paramètres!$A$1:$I$89,5,0)</f>
        <v>0</v>
      </c>
      <c r="GB133" s="13" t="e">
        <f t="shared" ref="GB133:GB153" si="157">EXP(-1.0587+0.8836*LN(GA133)+0.284)</f>
        <v>#NUM!</v>
      </c>
      <c r="GC133" s="20" t="e">
        <f t="shared" si="133"/>
        <v>#NUM!</v>
      </c>
      <c r="GD133" s="59" t="e">
        <f t="shared" si="134"/>
        <v>#NUM!</v>
      </c>
      <c r="GE133" s="59">
        <f ca="1">AVERAGE(OFFSET($GD$3,0,0,'Données projet'!$E$17+1,1))-AVERAGE(OFFSET($H$3,0,0,'Données projet'!$E$17+1,1))</f>
        <v>369.60865427618342</v>
      </c>
      <c r="GF133" s="59">
        <f t="shared" ref="GF133:GF196" si="158">$GF$3</f>
        <v>359.40898775279197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35.059259485862583</v>
      </c>
      <c r="GM133" s="21">
        <f>EXP(-LN(2)/25)*GM132+(1-EXP(-LN(2)/25))/(LN(2)/25)*Calculateur!GH133*Calculateur!GJ133*VLOOKUP('Données projet'!$B$17,Paramètres!$A$1:$I$89,3,0)*0.475*44/12</f>
        <v>0</v>
      </c>
      <c r="GN133" s="21">
        <f>EXP(-LN(2)/2)*GN132+(1-EXP(-LN(2)/2))/(LN(2)/2)*GH133*GK133*VLOOKUP('Données projet'!$B$17,Paramètres!$A$1:$I$89,3,0)*0.475*44/12</f>
        <v>0</v>
      </c>
      <c r="GO133" s="21">
        <f t="shared" si="135"/>
        <v>35.059259485862583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68.920632461429491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-1.7053025658242404E-13</v>
      </c>
      <c r="GV133" s="17">
        <f>GU133*VLOOKUP('Données projet'!$B$18,Paramètres!$A$1:$I$89,3,0)*VLOOKUP('Données projet'!$B$18,Paramètres!$A$1:$I$89,5,0)</f>
        <v>-1.1173142411280423E-13</v>
      </c>
      <c r="GW133" s="13" t="e">
        <f t="shared" ref="GW133:GW153" si="159">EXP(-1.0587+0.8836*LN(GV133)+0.284)</f>
        <v>#NUM!</v>
      </c>
      <c r="GX133" s="20" t="e">
        <f t="shared" si="136"/>
        <v>#NUM!</v>
      </c>
      <c r="GY133" s="59" t="e">
        <f t="shared" si="137"/>
        <v>#NUM!</v>
      </c>
      <c r="GZ133" s="59">
        <f ca="1">AVERAGE(OFFSET($GY$3,0,0,'Données projet'!$E$18+1,1))-AVERAGE(OFFSET($H$3,0,0,'Données projet'!$E$18+1,1))</f>
        <v>262.62914256200031</v>
      </c>
      <c r="HA133" s="59">
        <f t="shared" ref="HA133:HA196" si="160">$HA$3</f>
        <v>256.45129229594409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projet'!$B$18,Paramètres!$A$1:$I$89,3,0)*0.475*44/12</f>
        <v>22.852308928903085</v>
      </c>
      <c r="HH133" s="21">
        <f>EXP(-LN(2)/25)*HH132+(1-EXP(-LN(2)/25))/(LN(2)/25)*Calculateur!HC133*Calculateur!HE133*VLOOKUP('Données projet'!$B$18,Paramètres!$A$1:$I$89,3,0)*0.475*44/12</f>
        <v>0</v>
      </c>
      <c r="HI133" s="21">
        <f>EXP(-LN(2)/2)*HI132+(1-EXP(-LN(2)/2))/(LN(2)/2)*HC133*HF133*VLOOKUP('Données projet'!$B$18,Paramètres!$A$1:$I$89,3,0)*0.475*44/12</f>
        <v>0</v>
      </c>
      <c r="HJ133" s="22">
        <f t="shared" si="138"/>
        <v>22.852308928903085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2.1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7.7</v>
      </c>
      <c r="H134" s="67">
        <f t="shared" si="110"/>
        <v>225.86666666666665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68.939357075119375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5.6843418860808015E-14</v>
      </c>
      <c r="O134" s="13">
        <f>N134*VLOOKUP('Données projet'!$B$9,Paramètres!$A$1:$I$89,3,0)*VLOOKUP('Données projet'!$B$9,Paramètres!$A$1:$I$89,5,0)</f>
        <v>4.8771653382573282E-14</v>
      </c>
      <c r="P134" s="13">
        <f t="shared" si="141"/>
        <v>7.9655698259503351E-13</v>
      </c>
      <c r="Q134" s="20">
        <f t="shared" si="108"/>
        <v>1.4722807076609983E-12</v>
      </c>
      <c r="R134" s="59">
        <f t="shared" si="109"/>
        <v>289.4443092754392</v>
      </c>
      <c r="S134" s="59">
        <f ca="1">AVERAGE(OFFSET($R$3,0,0,'Données projet'!$E$9+1,1))-AVERAGE(OFFSET($H$3,0,0,'Données projet'!$E$9+1,1))</f>
        <v>476.79071915271794</v>
      </c>
      <c r="T134" s="59">
        <f t="shared" si="142"/>
        <v>264.79929759351762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183.62494813566326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183.62494813566326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68.939357075119375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-9.5769792096689348E-14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365.104658862176</v>
      </c>
      <c r="AO134" s="59">
        <f t="shared" si="144"/>
        <v>226.29232910286325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104.45083931636871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104.45083931636871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68.939357075119375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-1.1368683772161603E-13</v>
      </c>
      <c r="BE134" s="13">
        <f>BD134*VLOOKUP('Données projet'!$B$11,Paramètres!$A$1:$I$89,3,0)*VLOOKUP('Données projet'!$B$11,Paramètres!$A$1:$I$89,5,0)</f>
        <v>-1.0286385077051818E-13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388.12494342575195</v>
      </c>
      <c r="BJ134" s="59">
        <f t="shared" si="146"/>
        <v>239.39471445648454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112.18793852498862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112.18793852498862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68.939357075119375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-1.1368683772161603E-13</v>
      </c>
      <c r="BZ134" s="13">
        <f>BY134*VLOOKUP('Données projet'!$B$12,Paramètres!$A$1:$I$89,3,0)*VLOOKUP('Données projet'!$B$12,Paramètres!$A$1:$I$89,5,0)</f>
        <v>-1.1527845344971866E-13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428.33148932885132</v>
      </c>
      <c r="CE134" s="59">
        <f t="shared" si="148"/>
        <v>262.27548054534373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125.72786214007343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125.72786214007343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68.939357075119375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-1.1368683772161603E-13</v>
      </c>
      <c r="CU134" s="17">
        <f>CT134*VLOOKUP('Données projet'!$B$13,Paramètres!$A$1:$I$89,3,0)*VLOOKUP('Données projet'!$B$13,Paramètres!$A$1:$I$89,5,0)</f>
        <v>-1.0818439477588981E-13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307.62549820830162</v>
      </c>
      <c r="CZ134" s="59">
        <f t="shared" si="150"/>
        <v>160.26466014910304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85.691623946943992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85.691623946943992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68.939357075119375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-1.7053025658242404E-13</v>
      </c>
      <c r="DP134" s="17">
        <f>DO134*VLOOKUP('Données projet'!$B$14,Paramètres!$A$1:$I$89,3,0)*VLOOKUP('Données projet'!$B$14,Paramètres!$A$1:$I$89,5,0)</f>
        <v>-1.3567387213697657E-13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309.14579005132464</v>
      </c>
      <c r="DU134" s="59">
        <f t="shared" si="152"/>
        <v>300.60311050289533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33.53185111211765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33.53185111211765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68.939357075119375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>
        <f>EJ134*VLOOKUP('Données projet'!$B$15,Paramètres!$A$1:$I$89,3,0)*VLOOKUP('Données projet'!$B$15,Paramètres!$A$1:$I$89,5,0)</f>
        <v>0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338.59243085476896</v>
      </c>
      <c r="EP134" s="59">
        <f t="shared" si="154"/>
        <v>329.8393445823275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31.066791022979526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31.066791022979526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68.939357075119375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>
        <f>FE134*VLOOKUP('Données projet'!$B$16,Paramètres!$A$1:$I$89,3,0)*VLOOKUP('Données projet'!$B$16,Paramètres!$A$1:$I$89,5,0)</f>
        <v>0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307.50573770128085</v>
      </c>
      <c r="FK134" s="59">
        <f t="shared" si="156"/>
        <v>300.2007312562655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27.761813254577451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27.761813254577451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68.939357075119375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>
        <f>FZ134*VLOOKUP('Données projet'!$B$17,Paramètres!$A$1:$I$89,3,0)*VLOOKUP('Données projet'!$B$17,Paramètres!$A$1:$I$89,5,0)</f>
        <v>0</v>
      </c>
      <c r="GB134" s="13" t="e">
        <f t="shared" si="157"/>
        <v>#NUM!</v>
      </c>
      <c r="GC134" s="20" t="e">
        <f t="shared" si="133"/>
        <v>#NUM!</v>
      </c>
      <c r="GD134" s="59" t="e">
        <f t="shared" si="134"/>
        <v>#NUM!</v>
      </c>
      <c r="GE134" s="59">
        <f ca="1">AVERAGE(OFFSET($GD$3,0,0,'Données projet'!$E$17+1,1))-AVERAGE(OFFSET($H$3,0,0,'Données projet'!$E$17+1,1))</f>
        <v>369.60865427618342</v>
      </c>
      <c r="GF134" s="59">
        <f t="shared" si="158"/>
        <v>359.40898775279197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34.371768791381605</v>
      </c>
      <c r="GM134" s="21">
        <f>EXP(-LN(2)/25)*GM133+(1-EXP(-LN(2)/25))/(LN(2)/25)*Calculateur!GH134*Calculateur!GJ134*VLOOKUP('Données projet'!$B$17,Paramètres!$A$1:$I$89,3,0)*0.475*44/12</f>
        <v>0</v>
      </c>
      <c r="GN134" s="21">
        <f>EXP(-LN(2)/2)*GN133+(1-EXP(-LN(2)/2))/(LN(2)/2)*GH134*GK134*VLOOKUP('Données projet'!$B$17,Paramètres!$A$1:$I$89,3,0)*0.475*44/12</f>
        <v>0</v>
      </c>
      <c r="GO134" s="21">
        <f t="shared" si="135"/>
        <v>34.371768791381605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68.939357075119375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-1.7053025658242404E-13</v>
      </c>
      <c r="GV134" s="17">
        <f>GU134*VLOOKUP('Données projet'!$B$18,Paramètres!$A$1:$I$89,3,0)*VLOOKUP('Données projet'!$B$18,Paramètres!$A$1:$I$89,5,0)</f>
        <v>-1.1173142411280423E-13</v>
      </c>
      <c r="GW134" s="13" t="e">
        <f t="shared" si="159"/>
        <v>#NUM!</v>
      </c>
      <c r="GX134" s="20" t="e">
        <f t="shared" si="136"/>
        <v>#NUM!</v>
      </c>
      <c r="GY134" s="59" t="e">
        <f t="shared" si="137"/>
        <v>#NUM!</v>
      </c>
      <c r="GZ134" s="59">
        <f ca="1">AVERAGE(OFFSET($GY$3,0,0,'Données projet'!$E$18+1,1))-AVERAGE(OFFSET($H$3,0,0,'Données projet'!$E$18+1,1))</f>
        <v>262.62914256200031</v>
      </c>
      <c r="HA134" s="59">
        <f t="shared" si="160"/>
        <v>256.45129229594409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projet'!$B$18,Paramètres!$A$1:$I$89,3,0)*0.475*44/12</f>
        <v>22.404189089339425</v>
      </c>
      <c r="HH134" s="21">
        <f>EXP(-LN(2)/25)*HH133+(1-EXP(-LN(2)/25))/(LN(2)/25)*Calculateur!HC134*Calculateur!HE134*VLOOKUP('Données projet'!$B$18,Paramètres!$A$1:$I$89,3,0)*0.475*44/12</f>
        <v>0</v>
      </c>
      <c r="HI134" s="21">
        <f>EXP(-LN(2)/2)*HI133+(1-EXP(-LN(2)/2))/(LN(2)/2)*HC134*HF134*VLOOKUP('Données projet'!$B$18,Paramètres!$A$1:$I$89,3,0)*0.475*44/12</f>
        <v>0</v>
      </c>
      <c r="HJ134" s="22">
        <f t="shared" si="138"/>
        <v>22.404189089339425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2.1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7.7</v>
      </c>
      <c r="H135" s="67">
        <f t="shared" si="110"/>
        <v>225.86666666666665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68.957756858623725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5.6843418860808015E-14</v>
      </c>
      <c r="O135" s="13">
        <f>N135*VLOOKUP('Données projet'!$B$9,Paramètres!$A$1:$I$89,3,0)*VLOOKUP('Données projet'!$B$9,Paramètres!$A$1:$I$89,5,0)</f>
        <v>4.8771653382573282E-14</v>
      </c>
      <c r="P135" s="13">
        <f t="shared" si="141"/>
        <v>7.9655698259503351E-13</v>
      </c>
      <c r="Q135" s="20">
        <f t="shared" si="108"/>
        <v>1.4722807076609983E-12</v>
      </c>
      <c r="R135" s="59">
        <f t="shared" si="109"/>
        <v>289.51177514828845</v>
      </c>
      <c r="S135" s="59">
        <f ca="1">AVERAGE(OFFSET($R$3,0,0,'Données projet'!$E$9+1,1))-AVERAGE(OFFSET($H$3,0,0,'Données projet'!$E$9+1,1))</f>
        <v>476.79071915271794</v>
      </c>
      <c r="T135" s="59">
        <f t="shared" si="142"/>
        <v>264.79929759351762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180.02417490288218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180.02417490288218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68.957756858623725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-9.5769792096689348E-14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365.104658862176</v>
      </c>
      <c r="AO135" s="59">
        <f t="shared" si="144"/>
        <v>226.29232910286325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102.40262206609599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102.40262206609599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68.957756858623725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-1.1368683772161603E-13</v>
      </c>
      <c r="BE135" s="13">
        <f>BD135*VLOOKUP('Données projet'!$B$11,Paramètres!$A$1:$I$89,3,0)*VLOOKUP('Données projet'!$B$11,Paramètres!$A$1:$I$89,5,0)</f>
        <v>-1.0286385077051818E-13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388.12494342575195</v>
      </c>
      <c r="BJ135" s="59">
        <f t="shared" si="146"/>
        <v>239.39471445648454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109.98800147839941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109.98800147839941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68.957756858623725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-1.1368683772161603E-13</v>
      </c>
      <c r="BZ135" s="13">
        <f>BY135*VLOOKUP('Données projet'!$B$12,Paramètres!$A$1:$I$89,3,0)*VLOOKUP('Données projet'!$B$12,Paramètres!$A$1:$I$89,5,0)</f>
        <v>-1.1527845344971866E-13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428.33148932885132</v>
      </c>
      <c r="CE135" s="59">
        <f t="shared" si="148"/>
        <v>262.27548054534373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123.26241544993033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123.26241544993033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68.957756858623725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-1.1368683772161603E-13</v>
      </c>
      <c r="CU135" s="17">
        <f>CT135*VLOOKUP('Données projet'!$B$13,Paramètres!$A$1:$I$89,3,0)*VLOOKUP('Données projet'!$B$13,Paramètres!$A$1:$I$89,5,0)</f>
        <v>-1.0818439477588981E-13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307.62549820830162</v>
      </c>
      <c r="CZ135" s="59">
        <f t="shared" si="150"/>
        <v>160.26466014910304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84.011263468074119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84.011263468074119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68.957756858623725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-1.7053025658242404E-13</v>
      </c>
      <c r="DP135" s="17">
        <f>DO135*VLOOKUP('Données projet'!$B$14,Paramètres!$A$1:$I$89,3,0)*VLOOKUP('Données projet'!$B$14,Paramètres!$A$1:$I$89,5,0)</f>
        <v>-1.3567387213697657E-13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309.14579005132464</v>
      </c>
      <c r="DU135" s="59">
        <f t="shared" si="152"/>
        <v>300.60311050289533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32.874311964218691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32.874311964218691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68.957756858623725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>
        <f>EJ135*VLOOKUP('Données projet'!$B$15,Paramètres!$A$1:$I$89,3,0)*VLOOKUP('Données projet'!$B$15,Paramètres!$A$1:$I$89,5,0)</f>
        <v>0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338.59243085476896</v>
      </c>
      <c r="EP135" s="59">
        <f t="shared" si="154"/>
        <v>329.8393445823275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30.457590199890376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30.457590199890376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68.957756858623725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>
        <f>FE135*VLOOKUP('Données projet'!$B$16,Paramètres!$A$1:$I$89,3,0)*VLOOKUP('Données projet'!$B$16,Paramètres!$A$1:$I$89,5,0)</f>
        <v>0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307.50573770128085</v>
      </c>
      <c r="FK135" s="59">
        <f t="shared" si="156"/>
        <v>300.2007312562655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27.217421029689273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27.217421029689273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68.957756858623725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>
        <f>FZ135*VLOOKUP('Données projet'!$B$17,Paramètres!$A$1:$I$89,3,0)*VLOOKUP('Données projet'!$B$17,Paramètres!$A$1:$I$89,5,0)</f>
        <v>0</v>
      </c>
      <c r="GB135" s="13" t="e">
        <f t="shared" si="157"/>
        <v>#NUM!</v>
      </c>
      <c r="GC135" s="20" t="e">
        <f t="shared" si="133"/>
        <v>#NUM!</v>
      </c>
      <c r="GD135" s="59" t="e">
        <f t="shared" si="134"/>
        <v>#NUM!</v>
      </c>
      <c r="GE135" s="59">
        <f ca="1">AVERAGE(OFFSET($GD$3,0,0,'Données projet'!$E$17+1,1))-AVERAGE(OFFSET($H$3,0,0,'Données projet'!$E$17+1,1))</f>
        <v>369.60865427618342</v>
      </c>
      <c r="GF135" s="59">
        <f t="shared" si="158"/>
        <v>359.40898775279197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33.697759370091482</v>
      </c>
      <c r="GM135" s="21">
        <f>EXP(-LN(2)/25)*GM134+(1-EXP(-LN(2)/25))/(LN(2)/25)*Calculateur!GH135*Calculateur!GJ135*VLOOKUP('Données projet'!$B$17,Paramètres!$A$1:$I$89,3,0)*0.475*44/12</f>
        <v>0</v>
      </c>
      <c r="GN135" s="21">
        <f>EXP(-LN(2)/2)*GN134+(1-EXP(-LN(2)/2))/(LN(2)/2)*GH135*GK135*VLOOKUP('Données projet'!$B$17,Paramètres!$A$1:$I$89,3,0)*0.475*44/12</f>
        <v>0</v>
      </c>
      <c r="GO135" s="21">
        <f t="shared" si="135"/>
        <v>33.697759370091482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68.957756858623725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-1.7053025658242404E-13</v>
      </c>
      <c r="GV135" s="17">
        <f>GU135*VLOOKUP('Données projet'!$B$18,Paramètres!$A$1:$I$89,3,0)*VLOOKUP('Données projet'!$B$18,Paramètres!$A$1:$I$89,5,0)</f>
        <v>-1.1173142411280423E-13</v>
      </c>
      <c r="GW135" s="13" t="e">
        <f t="shared" si="159"/>
        <v>#NUM!</v>
      </c>
      <c r="GX135" s="20" t="e">
        <f t="shared" si="136"/>
        <v>#NUM!</v>
      </c>
      <c r="GY135" s="59" t="e">
        <f t="shared" si="137"/>
        <v>#NUM!</v>
      </c>
      <c r="GZ135" s="59">
        <f ca="1">AVERAGE(OFFSET($GY$3,0,0,'Données projet'!$E$18+1,1))-AVERAGE(OFFSET($H$3,0,0,'Données projet'!$E$18+1,1))</f>
        <v>262.62914256200031</v>
      </c>
      <c r="HA135" s="59">
        <f t="shared" si="160"/>
        <v>256.45129229594409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projet'!$B$18,Paramètres!$A$1:$I$89,3,0)*0.475*44/12</f>
        <v>21.964856606503496</v>
      </c>
      <c r="HH135" s="21">
        <f>EXP(-LN(2)/25)*HH134+(1-EXP(-LN(2)/25))/(LN(2)/25)*Calculateur!HC135*Calculateur!HE135*VLOOKUP('Données projet'!$B$18,Paramètres!$A$1:$I$89,3,0)*0.475*44/12</f>
        <v>0</v>
      </c>
      <c r="HI135" s="21">
        <f>EXP(-LN(2)/2)*HI134+(1-EXP(-LN(2)/2))/(LN(2)/2)*HC135*HF135*VLOOKUP('Données projet'!$B$18,Paramètres!$A$1:$I$89,3,0)*0.475*44/12</f>
        <v>0</v>
      </c>
      <c r="HJ135" s="22">
        <f t="shared" si="138"/>
        <v>21.964856606503496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2.1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7.7</v>
      </c>
      <c r="H136" s="67">
        <f t="shared" si="110"/>
        <v>225.86666666666665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68.975837447019998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5.6843418860808015E-14</v>
      </c>
      <c r="O136" s="13">
        <f>N136*VLOOKUP('Données projet'!$B$9,Paramètres!$A$1:$I$89,3,0)*VLOOKUP('Données projet'!$B$9,Paramètres!$A$1:$I$89,5,0)</f>
        <v>4.8771653382573282E-14</v>
      </c>
      <c r="P136" s="13">
        <f t="shared" si="141"/>
        <v>7.9655698259503351E-13</v>
      </c>
      <c r="Q136" s="20">
        <f t="shared" si="108"/>
        <v>1.4722807076609983E-12</v>
      </c>
      <c r="R136" s="59">
        <f t="shared" si="109"/>
        <v>289.57807063907484</v>
      </c>
      <c r="S136" s="59">
        <f ca="1">AVERAGE(OFFSET($R$3,0,0,'Données projet'!$E$9+1,1))-AVERAGE(OFFSET($H$3,0,0,'Données projet'!$E$9+1,1))</f>
        <v>476.79071915271794</v>
      </c>
      <c r="T136" s="59">
        <f t="shared" si="142"/>
        <v>264.79929759351762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176.49401063694111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176.49401063694111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68.975837447019998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-9.5769792096689348E-14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365.104658862176</v>
      </c>
      <c r="AO136" s="59">
        <f t="shared" si="144"/>
        <v>226.29232910286325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100.39456910681194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100.39456910681194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68.975837447019998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-1.1368683772161603E-13</v>
      </c>
      <c r="BE136" s="13">
        <f>BD136*VLOOKUP('Données projet'!$B$11,Paramètres!$A$1:$I$89,3,0)*VLOOKUP('Données projet'!$B$11,Paramètres!$A$1:$I$89,5,0)</f>
        <v>-1.0286385077051818E-13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388.12494342575195</v>
      </c>
      <c r="BJ136" s="59">
        <f t="shared" si="146"/>
        <v>239.39471445648454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107.83120385546471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107.83120385546471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68.975837447019998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-1.1368683772161603E-13</v>
      </c>
      <c r="BZ136" s="13">
        <f>BY136*VLOOKUP('Données projet'!$B$12,Paramètres!$A$1:$I$89,3,0)*VLOOKUP('Données projet'!$B$12,Paramètres!$A$1:$I$89,5,0)</f>
        <v>-1.1527845344971866E-13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428.33148932885132</v>
      </c>
      <c r="CE136" s="59">
        <f t="shared" si="148"/>
        <v>262.27548054534373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120.84531466560695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120.84531466560695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68.975837447019998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-1.1368683772161603E-13</v>
      </c>
      <c r="CU136" s="17">
        <f>CT136*VLOOKUP('Données projet'!$B$13,Paramètres!$A$1:$I$89,3,0)*VLOOKUP('Données projet'!$B$13,Paramètres!$A$1:$I$89,5,0)</f>
        <v>-1.0818439477588981E-13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307.62549820830162</v>
      </c>
      <c r="CZ136" s="59">
        <f t="shared" si="150"/>
        <v>160.26466014910304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82.363853833276195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82.363853833276195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68.975837447019998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-1.7053025658242404E-13</v>
      </c>
      <c r="DP136" s="17">
        <f>DO136*VLOOKUP('Données projet'!$B$14,Paramètres!$A$1:$I$89,3,0)*VLOOKUP('Données projet'!$B$14,Paramètres!$A$1:$I$89,5,0)</f>
        <v>-1.3567387213697657E-13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309.14579005132464</v>
      </c>
      <c r="DU136" s="59">
        <f t="shared" si="152"/>
        <v>300.60311050289533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32.229666757950753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32.229666757950753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68.975837447019998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>
        <f>EJ136*VLOOKUP('Données projet'!$B$15,Paramètres!$A$1:$I$89,3,0)*VLOOKUP('Données projet'!$B$15,Paramètres!$A$1:$I$89,5,0)</f>
        <v>0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338.59243085476896</v>
      </c>
      <c r="EP136" s="59">
        <f t="shared" si="154"/>
        <v>329.8393445823275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29.860335433366192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29.860335433366192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68.975837447019998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>
        <f>FE136*VLOOKUP('Données projet'!$B$16,Paramètres!$A$1:$I$89,3,0)*VLOOKUP('Données projet'!$B$16,Paramètres!$A$1:$I$89,5,0)</f>
        <v>0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307.50573770128085</v>
      </c>
      <c r="FK136" s="59">
        <f t="shared" si="156"/>
        <v>300.2007312562655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26.683704004284682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26.683704004284682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68.975837447019998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>
        <f>FZ136*VLOOKUP('Données projet'!$B$17,Paramètres!$A$1:$I$89,3,0)*VLOOKUP('Données projet'!$B$17,Paramètres!$A$1:$I$89,5,0)</f>
        <v>0</v>
      </c>
      <c r="GB136" s="13" t="e">
        <f t="shared" si="157"/>
        <v>#NUM!</v>
      </c>
      <c r="GC136" s="20" t="e">
        <f t="shared" si="133"/>
        <v>#NUM!</v>
      </c>
      <c r="GD136" s="59" t="e">
        <f t="shared" si="134"/>
        <v>#NUM!</v>
      </c>
      <c r="GE136" s="59">
        <f ca="1">AVERAGE(OFFSET($GD$3,0,0,'Données projet'!$E$17+1,1))-AVERAGE(OFFSET($H$3,0,0,'Données projet'!$E$17+1,1))</f>
        <v>369.60865427618342</v>
      </c>
      <c r="GF136" s="59">
        <f t="shared" si="158"/>
        <v>359.40898775279197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33.036966862447706</v>
      </c>
      <c r="GM136" s="21">
        <f>EXP(-LN(2)/25)*GM135+(1-EXP(-LN(2)/25))/(LN(2)/25)*Calculateur!GH136*Calculateur!GJ136*VLOOKUP('Données projet'!$B$17,Paramètres!$A$1:$I$89,3,0)*0.475*44/12</f>
        <v>0</v>
      </c>
      <c r="GN136" s="21">
        <f>EXP(-LN(2)/2)*GN135+(1-EXP(-LN(2)/2))/(LN(2)/2)*GH136*GK136*VLOOKUP('Données projet'!$B$17,Paramètres!$A$1:$I$89,3,0)*0.475*44/12</f>
        <v>0</v>
      </c>
      <c r="GO136" s="21">
        <f t="shared" si="135"/>
        <v>33.036966862447706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68.975837447019998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-1.7053025658242404E-13</v>
      </c>
      <c r="GV136" s="17">
        <f>GU136*VLOOKUP('Données projet'!$B$18,Paramètres!$A$1:$I$89,3,0)*VLOOKUP('Données projet'!$B$18,Paramètres!$A$1:$I$89,5,0)</f>
        <v>-1.1173142411280423E-13</v>
      </c>
      <c r="GW136" s="13" t="e">
        <f t="shared" si="159"/>
        <v>#NUM!</v>
      </c>
      <c r="GX136" s="20" t="e">
        <f t="shared" si="136"/>
        <v>#NUM!</v>
      </c>
      <c r="GY136" s="59" t="e">
        <f t="shared" si="137"/>
        <v>#NUM!</v>
      </c>
      <c r="GZ136" s="59">
        <f ca="1">AVERAGE(OFFSET($GY$3,0,0,'Données projet'!$E$18+1,1))-AVERAGE(OFFSET($H$3,0,0,'Données projet'!$E$18+1,1))</f>
        <v>262.62914256200031</v>
      </c>
      <c r="HA136" s="59">
        <f t="shared" si="160"/>
        <v>256.45129229594409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projet'!$B$18,Paramètres!$A$1:$I$89,3,0)*0.475*44/12</f>
        <v>21.534139165689623</v>
      </c>
      <c r="HH136" s="21">
        <f>EXP(-LN(2)/25)*HH135+(1-EXP(-LN(2)/25))/(LN(2)/25)*Calculateur!HC136*Calculateur!HE136*VLOOKUP('Données projet'!$B$18,Paramètres!$A$1:$I$89,3,0)*0.475*44/12</f>
        <v>0</v>
      </c>
      <c r="HI136" s="21">
        <f>EXP(-LN(2)/2)*HI135+(1-EXP(-LN(2)/2))/(LN(2)/2)*HC136*HF136*VLOOKUP('Données projet'!$B$18,Paramètres!$A$1:$I$89,3,0)*0.475*44/12</f>
        <v>0</v>
      </c>
      <c r="HJ136" s="22">
        <f t="shared" si="138"/>
        <v>21.534139165689623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2.1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7.7</v>
      </c>
      <c r="H137" s="67">
        <f t="shared" si="110"/>
        <v>225.86666666666665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68.993604377629751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5.6843418860808015E-14</v>
      </c>
      <c r="O137" s="13">
        <f>N137*VLOOKUP('Données projet'!$B$9,Paramètres!$A$1:$I$89,3,0)*VLOOKUP('Données projet'!$B$9,Paramètres!$A$1:$I$89,5,0)</f>
        <v>4.8771653382573282E-14</v>
      </c>
      <c r="P137" s="13">
        <f t="shared" si="141"/>
        <v>7.9655698259503351E-13</v>
      </c>
      <c r="Q137" s="20">
        <f t="shared" si="108"/>
        <v>1.4722807076609983E-12</v>
      </c>
      <c r="R137" s="59">
        <f t="shared" si="109"/>
        <v>289.64321605131056</v>
      </c>
      <c r="S137" s="59">
        <f ca="1">AVERAGE(OFFSET($R$3,0,0,'Données projet'!$E$9+1,1))-AVERAGE(OFFSET($H$3,0,0,'Données projet'!$E$9+1,1))</f>
        <v>476.79071915271794</v>
      </c>
      <c r="T137" s="59">
        <f t="shared" si="142"/>
        <v>264.79929759351762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173.03307073906757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173.03307073906757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68.993604377629751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-9.5769792096689348E-14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365.104658862176</v>
      </c>
      <c r="AO137" s="59">
        <f t="shared" si="144"/>
        <v>226.29232910286325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98.425892841268094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98.425892841268094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68.993604377629751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-1.1368683772161603E-13</v>
      </c>
      <c r="BE137" s="13">
        <f>BD137*VLOOKUP('Données projet'!$B$11,Paramètres!$A$1:$I$89,3,0)*VLOOKUP('Données projet'!$B$11,Paramètres!$A$1:$I$89,5,0)</f>
        <v>-1.0286385077051818E-13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388.12494342575195</v>
      </c>
      <c r="BJ137" s="59">
        <f t="shared" si="146"/>
        <v>239.39471445648454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105.7166997183991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105.7166997183991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68.993604377629751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-1.1368683772161603E-13</v>
      </c>
      <c r="BZ137" s="13">
        <f>BY137*VLOOKUP('Données projet'!$B$12,Paramètres!$A$1:$I$89,3,0)*VLOOKUP('Données projet'!$B$12,Paramètres!$A$1:$I$89,5,0)</f>
        <v>-1.1527845344971866E-13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428.33148932885132</v>
      </c>
      <c r="CE137" s="59">
        <f t="shared" si="148"/>
        <v>262.27548054534373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118.47561175337825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118.47561175337825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68.993604377629751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-1.1368683772161603E-13</v>
      </c>
      <c r="CU137" s="17">
        <f>CT137*VLOOKUP('Données projet'!$B$13,Paramètres!$A$1:$I$89,3,0)*VLOOKUP('Données projet'!$B$13,Paramètres!$A$1:$I$89,5,0)</f>
        <v>-1.0818439477588981E-13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307.62549820830162</v>
      </c>
      <c r="CZ137" s="59">
        <f t="shared" si="150"/>
        <v>160.26466014910304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80.748748896595998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80.748748896595998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68.993604377629751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-1.7053025658242404E-13</v>
      </c>
      <c r="DP137" s="17">
        <f>DO137*VLOOKUP('Données projet'!$B$14,Paramètres!$A$1:$I$89,3,0)*VLOOKUP('Données projet'!$B$14,Paramètres!$A$1:$I$89,5,0)</f>
        <v>-1.3567387213697657E-13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309.14579005132464</v>
      </c>
      <c r="DU137" s="59">
        <f t="shared" si="152"/>
        <v>300.60311050289533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31.597662650982979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31.597662650982979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68.993604377629751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>
        <f>EJ137*VLOOKUP('Données projet'!$B$15,Paramètres!$A$1:$I$89,3,0)*VLOOKUP('Données projet'!$B$15,Paramètres!$A$1:$I$89,5,0)</f>
        <v>0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338.59243085476896</v>
      </c>
      <c r="EP137" s="59">
        <f t="shared" si="154"/>
        <v>329.8393445823275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29.274792468524112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29.274792468524112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68.993604377629751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>
        <f>FE137*VLOOKUP('Données projet'!$B$16,Paramètres!$A$1:$I$89,3,0)*VLOOKUP('Données projet'!$B$16,Paramètres!$A$1:$I$89,5,0)</f>
        <v>0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307.50573770128085</v>
      </c>
      <c r="FK137" s="59">
        <f t="shared" si="156"/>
        <v>300.2007312562655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26.160452844213033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26.160452844213033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68.993604377629751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>
        <f>FZ137*VLOOKUP('Données projet'!$B$17,Paramètres!$A$1:$I$89,3,0)*VLOOKUP('Données projet'!$B$17,Paramètres!$A$1:$I$89,5,0)</f>
        <v>0</v>
      </c>
      <c r="GB137" s="13" t="e">
        <f t="shared" si="157"/>
        <v>#NUM!</v>
      </c>
      <c r="GC137" s="20" t="e">
        <f t="shared" si="133"/>
        <v>#NUM!</v>
      </c>
      <c r="GD137" s="59" t="e">
        <f t="shared" si="134"/>
        <v>#NUM!</v>
      </c>
      <c r="GE137" s="59">
        <f ca="1">AVERAGE(OFFSET($GD$3,0,0,'Données projet'!$E$17+1,1))-AVERAGE(OFFSET($H$3,0,0,'Données projet'!$E$17+1,1))</f>
        <v>369.60865427618342</v>
      </c>
      <c r="GF137" s="59">
        <f t="shared" si="158"/>
        <v>359.40898775279197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32.38913209283519</v>
      </c>
      <c r="GM137" s="21">
        <f>EXP(-LN(2)/25)*GM136+(1-EXP(-LN(2)/25))/(LN(2)/25)*Calculateur!GH137*Calculateur!GJ137*VLOOKUP('Données projet'!$B$17,Paramètres!$A$1:$I$89,3,0)*0.475*44/12</f>
        <v>0</v>
      </c>
      <c r="GN137" s="21">
        <f>EXP(-LN(2)/2)*GN136+(1-EXP(-LN(2)/2))/(LN(2)/2)*GH137*GK137*VLOOKUP('Données projet'!$B$17,Paramètres!$A$1:$I$89,3,0)*0.475*44/12</f>
        <v>0</v>
      </c>
      <c r="GO137" s="21">
        <f t="shared" si="135"/>
        <v>32.38913209283519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68.993604377629751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-1.7053025658242404E-13</v>
      </c>
      <c r="GV137" s="17">
        <f>GU137*VLOOKUP('Données projet'!$B$18,Paramètres!$A$1:$I$89,3,0)*VLOOKUP('Données projet'!$B$18,Paramètres!$A$1:$I$89,5,0)</f>
        <v>-1.1173142411280423E-13</v>
      </c>
      <c r="GW137" s="13" t="e">
        <f t="shared" si="159"/>
        <v>#NUM!</v>
      </c>
      <c r="GX137" s="20" t="e">
        <f t="shared" si="136"/>
        <v>#NUM!</v>
      </c>
      <c r="GY137" s="59" t="e">
        <f t="shared" si="137"/>
        <v>#NUM!</v>
      </c>
      <c r="GZ137" s="59">
        <f ca="1">AVERAGE(OFFSET($GY$3,0,0,'Données projet'!$E$18+1,1))-AVERAGE(OFFSET($H$3,0,0,'Données projet'!$E$18+1,1))</f>
        <v>262.62914256200031</v>
      </c>
      <c r="HA137" s="59">
        <f t="shared" si="160"/>
        <v>256.45129229594409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projet'!$B$18,Paramètres!$A$1:$I$89,3,0)*0.475*44/12</f>
        <v>21.111867831178415</v>
      </c>
      <c r="HH137" s="21">
        <f>EXP(-LN(2)/25)*HH136+(1-EXP(-LN(2)/25))/(LN(2)/25)*Calculateur!HC137*Calculateur!HE137*VLOOKUP('Données projet'!$B$18,Paramètres!$A$1:$I$89,3,0)*0.475*44/12</f>
        <v>0</v>
      </c>
      <c r="HI137" s="21">
        <f>EXP(-LN(2)/2)*HI136+(1-EXP(-LN(2)/2))/(LN(2)/2)*HC137*HF137*VLOOKUP('Données projet'!$B$18,Paramètres!$A$1:$I$89,3,0)*0.475*44/12</f>
        <v>0</v>
      </c>
      <c r="HJ137" s="22">
        <f t="shared" si="138"/>
        <v>21.111867831178415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2.1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7.7</v>
      </c>
      <c r="H138" s="67">
        <f t="shared" si="110"/>
        <v>225.86666666666665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69.011063091714334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5.6843418860808015E-14</v>
      </c>
      <c r="O138" s="13">
        <f>N138*VLOOKUP('Données projet'!$B$9,Paramètres!$A$1:$I$89,3,0)*VLOOKUP('Données projet'!$B$9,Paramètres!$A$1:$I$89,5,0)</f>
        <v>4.8771653382573282E-14</v>
      </c>
      <c r="P138" s="13">
        <f t="shared" si="141"/>
        <v>7.9655698259503351E-13</v>
      </c>
      <c r="Q138" s="20">
        <f t="shared" si="108"/>
        <v>1.4722807076609983E-12</v>
      </c>
      <c r="R138" s="59">
        <f t="shared" si="109"/>
        <v>289.70723133628741</v>
      </c>
      <c r="S138" s="59">
        <f ca="1">AVERAGE(OFFSET($R$3,0,0,'Données projet'!$E$9+1,1))-AVERAGE(OFFSET($H$3,0,0,'Données projet'!$E$9+1,1))</f>
        <v>476.79071915271794</v>
      </c>
      <c r="T138" s="59">
        <f t="shared" si="142"/>
        <v>264.79929759351762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169.63999776162643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169.63999776162643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69.011063091714334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-9.5769792096689348E-14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365.104658862176</v>
      </c>
      <c r="AO138" s="59">
        <f t="shared" si="144"/>
        <v>226.29232910286325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96.495821116517604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96.495821116517604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69.011063091714334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-1.1368683772161603E-13</v>
      </c>
      <c r="BE138" s="13">
        <f>BD138*VLOOKUP('Données projet'!$B$11,Paramètres!$A$1:$I$89,3,0)*VLOOKUP('Données projet'!$B$11,Paramètres!$A$1:$I$89,5,0)</f>
        <v>-1.0286385077051818E-13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388.12494342575195</v>
      </c>
      <c r="BJ138" s="59">
        <f t="shared" si="146"/>
        <v>239.39471445648454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103.64365971774117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103.64365971774117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69.011063091714334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-1.1368683772161603E-13</v>
      </c>
      <c r="BZ138" s="13">
        <f>BY138*VLOOKUP('Données projet'!$B$12,Paramètres!$A$1:$I$89,3,0)*VLOOKUP('Données projet'!$B$12,Paramètres!$A$1:$I$89,5,0)</f>
        <v>-1.1527845344971866E-13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428.33148932885132</v>
      </c>
      <c r="CE138" s="59">
        <f t="shared" si="148"/>
        <v>262.27548054534373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116.15237726988229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116.15237726988229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69.011063091714334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-1.1368683772161603E-13</v>
      </c>
      <c r="CU138" s="17">
        <f>CT138*VLOOKUP('Données projet'!$B$13,Paramètres!$A$1:$I$89,3,0)*VLOOKUP('Données projet'!$B$13,Paramètres!$A$1:$I$89,5,0)</f>
        <v>-1.0818439477588981E-13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307.62549820830162</v>
      </c>
      <c r="CZ138" s="59">
        <f t="shared" si="150"/>
        <v>160.26466014910304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79.165315182607358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79.165315182607358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69.011063091714334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-1.7053025658242404E-13</v>
      </c>
      <c r="DP138" s="17">
        <f>DO138*VLOOKUP('Données projet'!$B$14,Paramètres!$A$1:$I$89,3,0)*VLOOKUP('Données projet'!$B$14,Paramètres!$A$1:$I$89,5,0)</f>
        <v>-1.3567387213697657E-13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309.14579005132464</v>
      </c>
      <c r="DU138" s="59">
        <f t="shared" si="152"/>
        <v>300.60311050289533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30.978051759068403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30.978051759068403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69.011063091714334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>
        <f>EJ138*VLOOKUP('Données projet'!$B$15,Paramètres!$A$1:$I$89,3,0)*VLOOKUP('Données projet'!$B$15,Paramètres!$A$1:$I$89,5,0)</f>
        <v>0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338.59243085476896</v>
      </c>
      <c r="EP138" s="59">
        <f t="shared" si="154"/>
        <v>329.8393445823275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28.70073164407664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28.70073164407664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69.011063091714334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>
        <f>FE138*VLOOKUP('Données projet'!$B$16,Paramètres!$A$1:$I$89,3,0)*VLOOKUP('Données projet'!$B$16,Paramètres!$A$1:$I$89,5,0)</f>
        <v>0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307.50573770128085</v>
      </c>
      <c r="FK138" s="59">
        <f t="shared" si="156"/>
        <v>300.2007312562655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25.647462320238695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25.647462320238695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69.011063091714334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>
        <f>FZ138*VLOOKUP('Données projet'!$B$17,Paramètres!$A$1:$I$89,3,0)*VLOOKUP('Données projet'!$B$17,Paramètres!$A$1:$I$89,5,0)</f>
        <v>0</v>
      </c>
      <c r="GB138" s="13" t="e">
        <f t="shared" si="157"/>
        <v>#NUM!</v>
      </c>
      <c r="GC138" s="20" t="e">
        <f t="shared" si="133"/>
        <v>#NUM!</v>
      </c>
      <c r="GD138" s="59" t="e">
        <f t="shared" si="134"/>
        <v>#NUM!</v>
      </c>
      <c r="GE138" s="59">
        <f ca="1">AVERAGE(OFFSET($GD$3,0,0,'Données projet'!$E$17+1,1))-AVERAGE(OFFSET($H$3,0,0,'Données projet'!$E$17+1,1))</f>
        <v>369.60865427618342</v>
      </c>
      <c r="GF138" s="59">
        <f t="shared" si="158"/>
        <v>359.40898775279197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31.754000967914582</v>
      </c>
      <c r="GM138" s="21">
        <f>EXP(-LN(2)/25)*GM137+(1-EXP(-LN(2)/25))/(LN(2)/25)*Calculateur!GH138*Calculateur!GJ138*VLOOKUP('Données projet'!$B$17,Paramètres!$A$1:$I$89,3,0)*0.475*44/12</f>
        <v>0</v>
      </c>
      <c r="GN138" s="21">
        <f>EXP(-LN(2)/2)*GN137+(1-EXP(-LN(2)/2))/(LN(2)/2)*GH138*GK138*VLOOKUP('Données projet'!$B$17,Paramètres!$A$1:$I$89,3,0)*0.475*44/12</f>
        <v>0</v>
      </c>
      <c r="GO138" s="21">
        <f t="shared" si="135"/>
        <v>31.754000967914582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69.011063091714334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-1.7053025658242404E-13</v>
      </c>
      <c r="GV138" s="17">
        <f>GU138*VLOOKUP('Données projet'!$B$18,Paramètres!$A$1:$I$89,3,0)*VLOOKUP('Données projet'!$B$18,Paramètres!$A$1:$I$89,5,0)</f>
        <v>-1.1173142411280423E-13</v>
      </c>
      <c r="GW138" s="13" t="e">
        <f t="shared" si="159"/>
        <v>#NUM!</v>
      </c>
      <c r="GX138" s="20" t="e">
        <f t="shared" si="136"/>
        <v>#NUM!</v>
      </c>
      <c r="GY138" s="59" t="e">
        <f t="shared" si="137"/>
        <v>#NUM!</v>
      </c>
      <c r="GZ138" s="59">
        <f ca="1">AVERAGE(OFFSET($GY$3,0,0,'Données projet'!$E$18+1,1))-AVERAGE(OFFSET($H$3,0,0,'Données projet'!$E$18+1,1))</f>
        <v>262.62914256200031</v>
      </c>
      <c r="HA138" s="59">
        <f t="shared" si="160"/>
        <v>256.45129229594409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projet'!$B$18,Paramètres!$A$1:$I$89,3,0)*0.475*44/12</f>
        <v>20.69787697997689</v>
      </c>
      <c r="HH138" s="21">
        <f>EXP(-LN(2)/25)*HH137+(1-EXP(-LN(2)/25))/(LN(2)/25)*Calculateur!HC138*Calculateur!HE138*VLOOKUP('Données projet'!$B$18,Paramètres!$A$1:$I$89,3,0)*0.475*44/12</f>
        <v>0</v>
      </c>
      <c r="HI138" s="21">
        <f>EXP(-LN(2)/2)*HI137+(1-EXP(-LN(2)/2))/(LN(2)/2)*HC138*HF138*VLOOKUP('Données projet'!$B$18,Paramètres!$A$1:$I$89,3,0)*0.475*44/12</f>
        <v>0</v>
      </c>
      <c r="HJ138" s="22">
        <f t="shared" si="138"/>
        <v>20.69787697997689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2.1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7.7</v>
      </c>
      <c r="H139" s="67">
        <f t="shared" si="110"/>
        <v>225.86666666666665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69.028218936141386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5.6843418860808015E-14</v>
      </c>
      <c r="O139" s="13">
        <f>N139*VLOOKUP('Données projet'!$B$9,Paramètres!$A$1:$I$89,3,0)*VLOOKUP('Données projet'!$B$9,Paramètres!$A$1:$I$89,5,0)</f>
        <v>4.8771653382573282E-14</v>
      </c>
      <c r="P139" s="13">
        <f t="shared" si="141"/>
        <v>7.9655698259503351E-13</v>
      </c>
      <c r="Q139" s="20">
        <f t="shared" si="108"/>
        <v>1.4722807076609983E-12</v>
      </c>
      <c r="R139" s="59">
        <f t="shared" si="109"/>
        <v>289.77013609918657</v>
      </c>
      <c r="S139" s="59">
        <f ca="1">AVERAGE(OFFSET($R$3,0,0,'Données projet'!$E$9+1,1))-AVERAGE(OFFSET($H$3,0,0,'Données projet'!$E$9+1,1))</f>
        <v>476.79071915271794</v>
      </c>
      <c r="T139" s="59">
        <f t="shared" si="142"/>
        <v>264.79929759351762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166.31346087570273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166.31346087570273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69.028218936141386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-9.5769792096689348E-14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365.104658862176</v>
      </c>
      <c r="AO139" s="59">
        <f t="shared" si="144"/>
        <v>226.29232910286325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94.603596921061964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94.603596921061964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69.028218936141386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-1.1368683772161603E-13</v>
      </c>
      <c r="BE139" s="13">
        <f>BD139*VLOOKUP('Données projet'!$B$11,Paramètres!$A$1:$I$89,3,0)*VLOOKUP('Données projet'!$B$11,Paramètres!$A$1:$I$89,5,0)</f>
        <v>-1.0286385077051818E-13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388.12494342575195</v>
      </c>
      <c r="BJ139" s="59">
        <f t="shared" si="146"/>
        <v>239.39471445648454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101.6112707670666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101.6112707670666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69.028218936141386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-1.1368683772161603E-13</v>
      </c>
      <c r="BZ139" s="13">
        <f>BY139*VLOOKUP('Données projet'!$B$12,Paramètres!$A$1:$I$89,3,0)*VLOOKUP('Données projet'!$B$12,Paramètres!$A$1:$I$89,5,0)</f>
        <v>-1.1527845344971866E-13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428.33148932885132</v>
      </c>
      <c r="CE139" s="59">
        <f t="shared" si="148"/>
        <v>262.27548054534373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113.87469999757458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113.87469999757458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69.028218936141386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-1.1368683772161603E-13</v>
      </c>
      <c r="CU139" s="17">
        <f>CT139*VLOOKUP('Données projet'!$B$13,Paramètres!$A$1:$I$89,3,0)*VLOOKUP('Données projet'!$B$13,Paramètres!$A$1:$I$89,5,0)</f>
        <v>-1.0818439477588981E-13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307.62549820830162</v>
      </c>
      <c r="CZ139" s="59">
        <f t="shared" si="150"/>
        <v>160.26466014910304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77.612931637950837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77.612931637950837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69.028218936141386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-1.7053025658242404E-13</v>
      </c>
      <c r="DP139" s="17">
        <f>DO139*VLOOKUP('Données projet'!$B$14,Paramètres!$A$1:$I$89,3,0)*VLOOKUP('Données projet'!$B$14,Paramètres!$A$1:$I$89,5,0)</f>
        <v>-1.3567387213697657E-13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309.14579005132464</v>
      </c>
      <c r="DU139" s="59">
        <f t="shared" si="152"/>
        <v>300.60311050289533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30.370591058818945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30.370591058818945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69.028218936141386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>
        <f>EJ139*VLOOKUP('Données projet'!$B$15,Paramètres!$A$1:$I$89,3,0)*VLOOKUP('Données projet'!$B$15,Paramètres!$A$1:$I$89,5,0)</f>
        <v>0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338.59243085476896</v>
      </c>
      <c r="EP139" s="59">
        <f t="shared" si="154"/>
        <v>329.8393445823275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28.137927802254055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28.137927802254055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69.028218936141386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>
        <f>FE139*VLOOKUP('Données projet'!$B$16,Paramètres!$A$1:$I$89,3,0)*VLOOKUP('Données projet'!$B$16,Paramètres!$A$1:$I$89,5,0)</f>
        <v>0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307.50573770128085</v>
      </c>
      <c r="FK139" s="59">
        <f t="shared" si="156"/>
        <v>300.2007312562655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25.144531227546171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25.144531227546171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69.028218936141386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>
        <f>FZ139*VLOOKUP('Données projet'!$B$17,Paramètres!$A$1:$I$89,3,0)*VLOOKUP('Données projet'!$B$17,Paramètres!$A$1:$I$89,5,0)</f>
        <v>0</v>
      </c>
      <c r="GB139" s="13" t="e">
        <f t="shared" si="157"/>
        <v>#NUM!</v>
      </c>
      <c r="GC139" s="20" t="e">
        <f t="shared" si="133"/>
        <v>#NUM!</v>
      </c>
      <c r="GD139" s="59" t="e">
        <f t="shared" si="134"/>
        <v>#NUM!</v>
      </c>
      <c r="GE139" s="59">
        <f ca="1">AVERAGE(OFFSET($GD$3,0,0,'Données projet'!$E$17+1,1))-AVERAGE(OFFSET($H$3,0,0,'Données projet'!$E$17+1,1))</f>
        <v>369.60865427618342</v>
      </c>
      <c r="GF139" s="59">
        <f t="shared" si="158"/>
        <v>359.40898775279197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31.131324376961935</v>
      </c>
      <c r="GM139" s="21">
        <f>EXP(-LN(2)/25)*GM138+(1-EXP(-LN(2)/25))/(LN(2)/25)*Calculateur!GH139*Calculateur!GJ139*VLOOKUP('Données projet'!$B$17,Paramètres!$A$1:$I$89,3,0)*0.475*44/12</f>
        <v>0</v>
      </c>
      <c r="GN139" s="21">
        <f>EXP(-LN(2)/2)*GN138+(1-EXP(-LN(2)/2))/(LN(2)/2)*GH139*GK139*VLOOKUP('Données projet'!$B$17,Paramètres!$A$1:$I$89,3,0)*0.475*44/12</f>
        <v>0</v>
      </c>
      <c r="GO139" s="21">
        <f t="shared" si="135"/>
        <v>31.131324376961935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69.028218936141386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-1.7053025658242404E-13</v>
      </c>
      <c r="GV139" s="17">
        <f>GU139*VLOOKUP('Données projet'!$B$18,Paramètres!$A$1:$I$89,3,0)*VLOOKUP('Données projet'!$B$18,Paramètres!$A$1:$I$89,5,0)</f>
        <v>-1.1173142411280423E-13</v>
      </c>
      <c r="GW139" s="13" t="e">
        <f t="shared" si="159"/>
        <v>#NUM!</v>
      </c>
      <c r="GX139" s="20" t="e">
        <f t="shared" si="136"/>
        <v>#NUM!</v>
      </c>
      <c r="GY139" s="59" t="e">
        <f t="shared" si="137"/>
        <v>#NUM!</v>
      </c>
      <c r="GZ139" s="59">
        <f ca="1">AVERAGE(OFFSET($GY$3,0,0,'Données projet'!$E$18+1,1))-AVERAGE(OFFSET($H$3,0,0,'Données projet'!$E$18+1,1))</f>
        <v>262.62914256200031</v>
      </c>
      <c r="HA139" s="59">
        <f t="shared" si="160"/>
        <v>256.45129229594409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projet'!$B$18,Paramètres!$A$1:$I$89,3,0)*0.475*44/12</f>
        <v>20.292004236857938</v>
      </c>
      <c r="HH139" s="21">
        <f>EXP(-LN(2)/25)*HH138+(1-EXP(-LN(2)/25))/(LN(2)/25)*Calculateur!HC139*Calculateur!HE139*VLOOKUP('Données projet'!$B$18,Paramètres!$A$1:$I$89,3,0)*0.475*44/12</f>
        <v>0</v>
      </c>
      <c r="HI139" s="21">
        <f>EXP(-LN(2)/2)*HI138+(1-EXP(-LN(2)/2))/(LN(2)/2)*HC139*HF139*VLOOKUP('Données projet'!$B$18,Paramètres!$A$1:$I$89,3,0)*0.475*44/12</f>
        <v>0</v>
      </c>
      <c r="HJ139" s="22">
        <f t="shared" si="138"/>
        <v>20.292004236857938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2.1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7.7</v>
      </c>
      <c r="H140" s="67">
        <f t="shared" si="110"/>
        <v>225.86666666666665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69.045077165022349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5.6843418860808015E-14</v>
      </c>
      <c r="O140" s="13">
        <f>N140*VLOOKUP('Données projet'!$B$9,Paramètres!$A$1:$I$89,3,0)*VLOOKUP('Données projet'!$B$9,Paramètres!$A$1:$I$89,5,0)</f>
        <v>4.8771653382573282E-14</v>
      </c>
      <c r="P140" s="13">
        <f t="shared" si="141"/>
        <v>7.9655698259503351E-13</v>
      </c>
      <c r="Q140" s="20">
        <f t="shared" si="108"/>
        <v>1.4722807076609983E-12</v>
      </c>
      <c r="R140" s="59">
        <f t="shared" si="109"/>
        <v>289.83194960508342</v>
      </c>
      <c r="S140" s="59">
        <f ca="1">AVERAGE(OFFSET($R$3,0,0,'Données projet'!$E$9+1,1))-AVERAGE(OFFSET($H$3,0,0,'Données projet'!$E$9+1,1))</f>
        <v>476.79071915271794</v>
      </c>
      <c r="T140" s="59">
        <f t="shared" si="142"/>
        <v>264.79929759351762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163.05215534912486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163.05215534912486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69.045077165022349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-9.5769792096689348E-14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365.104658862176</v>
      </c>
      <c r="AO140" s="59">
        <f t="shared" si="144"/>
        <v>226.29232910286325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92.748478087936419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92.748478087936419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69.045077165022349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-1.1368683772161603E-13</v>
      </c>
      <c r="BE140" s="13">
        <f>BD140*VLOOKUP('Données projet'!$B$11,Paramètres!$A$1:$I$89,3,0)*VLOOKUP('Données projet'!$B$11,Paramètres!$A$1:$I$89,5,0)</f>
        <v>-1.0286385077051818E-13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388.12494342575195</v>
      </c>
      <c r="BJ140" s="59">
        <f t="shared" si="146"/>
        <v>239.39471445648454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99.618735724079897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99.618735724079897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69.045077165022349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-1.1368683772161603E-13</v>
      </c>
      <c r="BZ140" s="13">
        <f>BY140*VLOOKUP('Données projet'!$B$12,Paramètres!$A$1:$I$89,3,0)*VLOOKUP('Données projet'!$B$12,Paramètres!$A$1:$I$89,5,0)</f>
        <v>-1.1527845344971866E-13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428.33148932885132</v>
      </c>
      <c r="CE140" s="59">
        <f t="shared" si="148"/>
        <v>262.27548054534373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111.64168658733087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111.64168658733087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69.045077165022349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-1.1368683772161603E-13</v>
      </c>
      <c r="CU140" s="17">
        <f>CT140*VLOOKUP('Données projet'!$B$13,Paramètres!$A$1:$I$89,3,0)*VLOOKUP('Données projet'!$B$13,Paramètres!$A$1:$I$89,5,0)</f>
        <v>-1.0818439477588981E-13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307.62549820830162</v>
      </c>
      <c r="CZ140" s="59">
        <f t="shared" si="150"/>
        <v>160.26466014910304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76.090989387744557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76.090989387744557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69.045077165022349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-1.7053025658242404E-13</v>
      </c>
      <c r="DP140" s="17">
        <f>DO140*VLOOKUP('Données projet'!$B$14,Paramètres!$A$1:$I$89,3,0)*VLOOKUP('Données projet'!$B$14,Paramètres!$A$1:$I$89,5,0)</f>
        <v>-1.3567387213697657E-13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309.14579005132464</v>
      </c>
      <c r="DU140" s="59">
        <f t="shared" si="152"/>
        <v>300.60311050289533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29.775042292386935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29.775042292386935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69.045077165022349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>
        <f>EJ140*VLOOKUP('Données projet'!$B$15,Paramètres!$A$1:$I$89,3,0)*VLOOKUP('Données projet'!$B$15,Paramètres!$A$1:$I$89,5,0)</f>
        <v>0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338.59243085476896</v>
      </c>
      <c r="EP140" s="59">
        <f t="shared" si="154"/>
        <v>329.8393445823275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27.586160200493161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27.586160200493161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69.045077165022349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>
        <f>FE140*VLOOKUP('Données projet'!$B$16,Paramètres!$A$1:$I$89,3,0)*VLOOKUP('Données projet'!$B$16,Paramètres!$A$1:$I$89,5,0)</f>
        <v>0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307.50573770128085</v>
      </c>
      <c r="FK140" s="59">
        <f t="shared" si="156"/>
        <v>300.2007312562655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24.651462306823671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24.651462306823671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69.045077165022349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>
        <f>FZ140*VLOOKUP('Données projet'!$B$17,Paramètres!$A$1:$I$89,3,0)*VLOOKUP('Données projet'!$B$17,Paramètres!$A$1:$I$89,5,0)</f>
        <v>0</v>
      </c>
      <c r="GB140" s="13" t="e">
        <f t="shared" si="157"/>
        <v>#NUM!</v>
      </c>
      <c r="GC140" s="20" t="e">
        <f t="shared" si="133"/>
        <v>#NUM!</v>
      </c>
      <c r="GD140" s="59" t="e">
        <f t="shared" si="134"/>
        <v>#NUM!</v>
      </c>
      <c r="GE140" s="59">
        <f ca="1">AVERAGE(OFFSET($GD$3,0,0,'Données projet'!$E$17+1,1))-AVERAGE(OFFSET($H$3,0,0,'Données projet'!$E$17+1,1))</f>
        <v>369.60865427618342</v>
      </c>
      <c r="GF140" s="59">
        <f t="shared" si="158"/>
        <v>359.40898775279197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30.520858094162648</v>
      </c>
      <c r="GM140" s="21">
        <f>EXP(-LN(2)/25)*GM139+(1-EXP(-LN(2)/25))/(LN(2)/25)*Calculateur!GH140*Calculateur!GJ140*VLOOKUP('Données projet'!$B$17,Paramètres!$A$1:$I$89,3,0)*0.475*44/12</f>
        <v>0</v>
      </c>
      <c r="GN140" s="21">
        <f>EXP(-LN(2)/2)*GN139+(1-EXP(-LN(2)/2))/(LN(2)/2)*GH140*GK140*VLOOKUP('Données projet'!$B$17,Paramètres!$A$1:$I$89,3,0)*0.475*44/12</f>
        <v>0</v>
      </c>
      <c r="GO140" s="21">
        <f t="shared" si="135"/>
        <v>30.520858094162648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69.045077165022349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-1.7053025658242404E-13</v>
      </c>
      <c r="GV140" s="17">
        <f>GU140*VLOOKUP('Données projet'!$B$18,Paramètres!$A$1:$I$89,3,0)*VLOOKUP('Données projet'!$B$18,Paramètres!$A$1:$I$89,5,0)</f>
        <v>-1.1173142411280423E-13</v>
      </c>
      <c r="GW140" s="13" t="e">
        <f t="shared" si="159"/>
        <v>#NUM!</v>
      </c>
      <c r="GX140" s="20" t="e">
        <f t="shared" si="136"/>
        <v>#NUM!</v>
      </c>
      <c r="GY140" s="59" t="e">
        <f t="shared" si="137"/>
        <v>#NUM!</v>
      </c>
      <c r="GZ140" s="59">
        <f ca="1">AVERAGE(OFFSET($GY$3,0,0,'Données projet'!$E$18+1,1))-AVERAGE(OFFSET($H$3,0,0,'Données projet'!$E$18+1,1))</f>
        <v>262.62914256200031</v>
      </c>
      <c r="HA140" s="59">
        <f t="shared" si="160"/>
        <v>256.45129229594409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projet'!$B$18,Paramètres!$A$1:$I$89,3,0)*0.475*44/12</f>
        <v>19.89409041067362</v>
      </c>
      <c r="HH140" s="21">
        <f>EXP(-LN(2)/25)*HH139+(1-EXP(-LN(2)/25))/(LN(2)/25)*Calculateur!HC140*Calculateur!HE140*VLOOKUP('Données projet'!$B$18,Paramètres!$A$1:$I$89,3,0)*0.475*44/12</f>
        <v>0</v>
      </c>
      <c r="HI140" s="21">
        <f>EXP(-LN(2)/2)*HI139+(1-EXP(-LN(2)/2))/(LN(2)/2)*HC140*HF140*VLOOKUP('Données projet'!$B$18,Paramètres!$A$1:$I$89,3,0)*0.475*44/12</f>
        <v>0</v>
      </c>
      <c r="HJ140" s="22">
        <f t="shared" si="138"/>
        <v>19.89409041067362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2.1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7.7</v>
      </c>
      <c r="H141" s="67">
        <f t="shared" si="110"/>
        <v>225.86666666666665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69.061642941321594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5.6843418860808015E-14</v>
      </c>
      <c r="O141" s="13">
        <f>N141*VLOOKUP('Données projet'!$B$9,Paramètres!$A$1:$I$89,3,0)*VLOOKUP('Données projet'!$B$9,Paramètres!$A$1:$I$89,5,0)</f>
        <v>4.8771653382573282E-14</v>
      </c>
      <c r="P141" s="13">
        <f t="shared" si="141"/>
        <v>7.9655698259503351E-13</v>
      </c>
      <c r="Q141" s="20">
        <f t="shared" si="108"/>
        <v>1.4722807076609983E-12</v>
      </c>
      <c r="R141" s="59">
        <f t="shared" si="109"/>
        <v>289.89269078484733</v>
      </c>
      <c r="S141" s="59">
        <f ca="1">AVERAGE(OFFSET($R$3,0,0,'Données projet'!$E$9+1,1))-AVERAGE(OFFSET($H$3,0,0,'Données projet'!$E$9+1,1))</f>
        <v>476.79071915271794</v>
      </c>
      <c r="T141" s="59">
        <f t="shared" si="142"/>
        <v>264.79929759351762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159.85480203472321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159.85480203472321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69.061642941321594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-9.5769792096689348E-14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365.104658862176</v>
      </c>
      <c r="AO141" s="59">
        <f t="shared" si="144"/>
        <v>226.29232910286325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90.929737003617703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90.929737003617703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69.061642941321594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-1.1368683772161603E-13</v>
      </c>
      <c r="BE141" s="13">
        <f>BD141*VLOOKUP('Données projet'!$B$11,Paramètres!$A$1:$I$89,3,0)*VLOOKUP('Données projet'!$B$11,Paramètres!$A$1:$I$89,5,0)</f>
        <v>-1.0286385077051818E-13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388.12494342575195</v>
      </c>
      <c r="BJ141" s="59">
        <f t="shared" si="146"/>
        <v>239.39471445648454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97.665273077959796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97.665273077959796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69.061642941321594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-1.1368683772161603E-13</v>
      </c>
      <c r="BZ141" s="13">
        <f>BY141*VLOOKUP('Données projet'!$B$12,Paramètres!$A$1:$I$89,3,0)*VLOOKUP('Données projet'!$B$12,Paramètres!$A$1:$I$89,5,0)</f>
        <v>-1.1527845344971866E-13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428.33148932885132</v>
      </c>
      <c r="CE141" s="59">
        <f t="shared" si="148"/>
        <v>262.27548054534373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109.45246120805834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109.45246120805834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69.061642941321594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-1.1368683772161603E-13</v>
      </c>
      <c r="CU141" s="17">
        <f>CT141*VLOOKUP('Données projet'!$B$13,Paramètres!$A$1:$I$89,3,0)*VLOOKUP('Données projet'!$B$13,Paramètres!$A$1:$I$89,5,0)</f>
        <v>-1.0818439477588981E-13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307.62549820830162</v>
      </c>
      <c r="CZ141" s="59">
        <f t="shared" si="150"/>
        <v>160.26466014910304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74.598891496771714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74.598891496771714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69.061642941321594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-1.7053025658242404E-13</v>
      </c>
      <c r="DP141" s="17">
        <f>DO141*VLOOKUP('Données projet'!$B$14,Paramètres!$A$1:$I$89,3,0)*VLOOKUP('Données projet'!$B$14,Paramètres!$A$1:$I$89,5,0)</f>
        <v>-1.3567387213697657E-13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309.14579005132464</v>
      </c>
      <c r="DU141" s="59">
        <f t="shared" si="152"/>
        <v>300.60311050289533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29.191171874015776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29.191171874015776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69.061642941321594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>
        <f>EJ141*VLOOKUP('Données projet'!$B$15,Paramètres!$A$1:$I$89,3,0)*VLOOKUP('Données projet'!$B$15,Paramètres!$A$1:$I$89,5,0)</f>
        <v>0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338.59243085476896</v>
      </c>
      <c r="EP141" s="59">
        <f t="shared" si="154"/>
        <v>329.8393445823275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27.045212424857795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27.045212424857795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69.061642941321594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>
        <f>FE141*VLOOKUP('Données projet'!$B$16,Paramètres!$A$1:$I$89,3,0)*VLOOKUP('Données projet'!$B$16,Paramètres!$A$1:$I$89,5,0)</f>
        <v>0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307.50573770128085</v>
      </c>
      <c r="FK141" s="59">
        <f t="shared" si="156"/>
        <v>300.2007312562655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24.168062166894192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24.168062166894192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69.061642941321594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>
        <f>FZ141*VLOOKUP('Données projet'!$B$17,Paramètres!$A$1:$I$89,3,0)*VLOOKUP('Données projet'!$B$17,Paramètres!$A$1:$I$89,5,0)</f>
        <v>0</v>
      </c>
      <c r="GB141" s="13" t="e">
        <f t="shared" si="157"/>
        <v>#NUM!</v>
      </c>
      <c r="GC141" s="20" t="e">
        <f t="shared" si="133"/>
        <v>#NUM!</v>
      </c>
      <c r="GD141" s="59" t="e">
        <f t="shared" si="134"/>
        <v>#NUM!</v>
      </c>
      <c r="GE141" s="59">
        <f ca="1">AVERAGE(OFFSET($GD$3,0,0,'Données projet'!$E$17+1,1))-AVERAGE(OFFSET($H$3,0,0,'Données projet'!$E$17+1,1))</f>
        <v>369.60865427618342</v>
      </c>
      <c r="GF141" s="59">
        <f t="shared" si="158"/>
        <v>359.40898775279197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29.92236268282139</v>
      </c>
      <c r="GM141" s="21">
        <f>EXP(-LN(2)/25)*GM140+(1-EXP(-LN(2)/25))/(LN(2)/25)*Calculateur!GH141*Calculateur!GJ141*VLOOKUP('Données projet'!$B$17,Paramètres!$A$1:$I$89,3,0)*0.475*44/12</f>
        <v>0</v>
      </c>
      <c r="GN141" s="21">
        <f>EXP(-LN(2)/2)*GN140+(1-EXP(-LN(2)/2))/(LN(2)/2)*GH141*GK141*VLOOKUP('Données projet'!$B$17,Paramètres!$A$1:$I$89,3,0)*0.475*44/12</f>
        <v>0</v>
      </c>
      <c r="GO141" s="21">
        <f t="shared" si="135"/>
        <v>29.92236268282139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69.061642941321594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-1.7053025658242404E-13</v>
      </c>
      <c r="GV141" s="17">
        <f>GU141*VLOOKUP('Données projet'!$B$18,Paramètres!$A$1:$I$89,3,0)*VLOOKUP('Données projet'!$B$18,Paramètres!$A$1:$I$89,5,0)</f>
        <v>-1.1173142411280423E-13</v>
      </c>
      <c r="GW141" s="13" t="e">
        <f t="shared" si="159"/>
        <v>#NUM!</v>
      </c>
      <c r="GX141" s="20" t="e">
        <f t="shared" si="136"/>
        <v>#NUM!</v>
      </c>
      <c r="GY141" s="59" t="e">
        <f t="shared" si="137"/>
        <v>#NUM!</v>
      </c>
      <c r="GZ141" s="59">
        <f ca="1">AVERAGE(OFFSET($GY$3,0,0,'Données projet'!$E$18+1,1))-AVERAGE(OFFSET($H$3,0,0,'Données projet'!$E$18+1,1))</f>
        <v>262.62914256200031</v>
      </c>
      <c r="HA141" s="59">
        <f t="shared" si="160"/>
        <v>256.45129229594409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projet'!$B$18,Paramètres!$A$1:$I$89,3,0)*0.475*44/12</f>
        <v>19.503979431917308</v>
      </c>
      <c r="HH141" s="21">
        <f>EXP(-LN(2)/25)*HH140+(1-EXP(-LN(2)/25))/(LN(2)/25)*Calculateur!HC141*Calculateur!HE141*VLOOKUP('Données projet'!$B$18,Paramètres!$A$1:$I$89,3,0)*0.475*44/12</f>
        <v>0</v>
      </c>
      <c r="HI141" s="21">
        <f>EXP(-LN(2)/2)*HI140+(1-EXP(-LN(2)/2))/(LN(2)/2)*HC141*HF141*VLOOKUP('Données projet'!$B$18,Paramètres!$A$1:$I$89,3,0)*0.475*44/12</f>
        <v>0</v>
      </c>
      <c r="HJ141" s="22">
        <f t="shared" si="138"/>
        <v>19.503979431917308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2.1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7.7</v>
      </c>
      <c r="H142" s="67">
        <f t="shared" si="110"/>
        <v>225.86666666666665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69.077921338437562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5.6843418860808015E-14</v>
      </c>
      <c r="O142" s="13">
        <f>N142*VLOOKUP('Données projet'!$B$9,Paramètres!$A$1:$I$89,3,0)*VLOOKUP('Données projet'!$B$9,Paramètres!$A$1:$I$89,5,0)</f>
        <v>4.8771653382573282E-14</v>
      </c>
      <c r="P142" s="13">
        <f t="shared" si="141"/>
        <v>7.9655698259503351E-13</v>
      </c>
      <c r="Q142" s="20">
        <f t="shared" si="108"/>
        <v>1.4722807076609983E-12</v>
      </c>
      <c r="R142" s="59">
        <f t="shared" si="109"/>
        <v>289.9523782409392</v>
      </c>
      <c r="S142" s="59">
        <f ca="1">AVERAGE(OFFSET($R$3,0,0,'Données projet'!$E$9+1,1))-AVERAGE(OFFSET($H$3,0,0,'Données projet'!$E$9+1,1))</f>
        <v>476.79071915271794</v>
      </c>
      <c r="T142" s="59">
        <f t="shared" si="142"/>
        <v>264.79929759351762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156.72014686862403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156.72014686862403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69.077921338437562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-9.5769792096689348E-14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365.104658862176</v>
      </c>
      <c r="AO142" s="59">
        <f t="shared" si="144"/>
        <v>226.29232910286325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89.146660322639946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89.146660322639946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69.077921338437562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-1.1368683772161603E-13</v>
      </c>
      <c r="BE142" s="13">
        <f>BD142*VLOOKUP('Données projet'!$B$11,Paramètres!$A$1:$I$89,3,0)*VLOOKUP('Données projet'!$B$11,Paramètres!$A$1:$I$89,5,0)</f>
        <v>-1.0286385077051818E-13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388.12494342575195</v>
      </c>
      <c r="BJ142" s="59">
        <f t="shared" si="146"/>
        <v>239.39471445648454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95.750116642835536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95.750116642835536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69.077921338437562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-1.1368683772161603E-13</v>
      </c>
      <c r="BZ142" s="13">
        <f>BY142*VLOOKUP('Données projet'!$B$12,Paramètres!$A$1:$I$89,3,0)*VLOOKUP('Données projet'!$B$12,Paramètres!$A$1:$I$89,5,0)</f>
        <v>-1.1527845344971866E-13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428.33148932885132</v>
      </c>
      <c r="CE142" s="59">
        <f t="shared" si="148"/>
        <v>262.27548054534373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107.30616520317771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107.30616520317771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69.077921338437562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-1.1368683772161603E-13</v>
      </c>
      <c r="CU142" s="17">
        <f>CT142*VLOOKUP('Données projet'!$B$13,Paramètres!$A$1:$I$89,3,0)*VLOOKUP('Données projet'!$B$13,Paramètres!$A$1:$I$89,5,0)</f>
        <v>-1.0818439477588981E-13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307.62549820830162</v>
      </c>
      <c r="CZ142" s="59">
        <f t="shared" si="150"/>
        <v>160.26466014910304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73.136052735351001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73.136052735351001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69.077921338437562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-1.7053025658242404E-13</v>
      </c>
      <c r="DP142" s="17">
        <f>DO142*VLOOKUP('Données projet'!$B$14,Paramètres!$A$1:$I$89,3,0)*VLOOKUP('Données projet'!$B$14,Paramètres!$A$1:$I$89,5,0)</f>
        <v>-1.3567387213697657E-13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309.14579005132464</v>
      </c>
      <c r="DU142" s="59">
        <f t="shared" si="152"/>
        <v>300.60311050289533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28.618750798423086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28.618750798423086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69.077921338437562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>
        <f>EJ142*VLOOKUP('Données projet'!$B$15,Paramètres!$A$1:$I$89,3,0)*VLOOKUP('Données projet'!$B$15,Paramètres!$A$1:$I$89,5,0)</f>
        <v>0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338.59243085476896</v>
      </c>
      <c r="EP142" s="59">
        <f t="shared" si="154"/>
        <v>329.8393445823275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26.514872305157073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26.514872305157073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69.077921338437562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>
        <f>FE142*VLOOKUP('Données projet'!$B$16,Paramètres!$A$1:$I$89,3,0)*VLOOKUP('Données projet'!$B$16,Paramètres!$A$1:$I$89,5,0)</f>
        <v>0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307.50573770128085</v>
      </c>
      <c r="FK142" s="59">
        <f t="shared" si="156"/>
        <v>300.2007312562655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23.694141208863758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23.694141208863758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69.077921338437562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>
        <f>FZ142*VLOOKUP('Données projet'!$B$17,Paramètres!$A$1:$I$89,3,0)*VLOOKUP('Données projet'!$B$17,Paramètres!$A$1:$I$89,5,0)</f>
        <v>0</v>
      </c>
      <c r="GB142" s="13" t="e">
        <f t="shared" si="157"/>
        <v>#NUM!</v>
      </c>
      <c r="GC142" s="20" t="e">
        <f t="shared" si="133"/>
        <v>#NUM!</v>
      </c>
      <c r="GD142" s="59" t="e">
        <f t="shared" si="134"/>
        <v>#NUM!</v>
      </c>
      <c r="GE142" s="59">
        <f ca="1">AVERAGE(OFFSET($GD$3,0,0,'Données projet'!$E$17+1,1))-AVERAGE(OFFSET($H$3,0,0,'Données projet'!$E$17+1,1))</f>
        <v>369.60865427618342</v>
      </c>
      <c r="GF142" s="59">
        <f t="shared" si="158"/>
        <v>359.40898775279197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29.335603401450378</v>
      </c>
      <c r="GM142" s="21">
        <f>EXP(-LN(2)/25)*GM141+(1-EXP(-LN(2)/25))/(LN(2)/25)*Calculateur!GH142*Calculateur!GJ142*VLOOKUP('Données projet'!$B$17,Paramètres!$A$1:$I$89,3,0)*0.475*44/12</f>
        <v>0</v>
      </c>
      <c r="GN142" s="21">
        <f>EXP(-LN(2)/2)*GN141+(1-EXP(-LN(2)/2))/(LN(2)/2)*GH142*GK142*VLOOKUP('Données projet'!$B$17,Paramètres!$A$1:$I$89,3,0)*0.475*44/12</f>
        <v>0</v>
      </c>
      <c r="GO142" s="21">
        <f t="shared" si="135"/>
        <v>29.335603401450378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69.077921338437562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-1.7053025658242404E-13</v>
      </c>
      <c r="GV142" s="17">
        <f>GU142*VLOOKUP('Données projet'!$B$18,Paramètres!$A$1:$I$89,3,0)*VLOOKUP('Données projet'!$B$18,Paramètres!$A$1:$I$89,5,0)</f>
        <v>-1.1173142411280423E-13</v>
      </c>
      <c r="GW142" s="13" t="e">
        <f t="shared" si="159"/>
        <v>#NUM!</v>
      </c>
      <c r="GX142" s="20" t="e">
        <f t="shared" si="136"/>
        <v>#NUM!</v>
      </c>
      <c r="GY142" s="59" t="e">
        <f t="shared" si="137"/>
        <v>#NUM!</v>
      </c>
      <c r="GZ142" s="59">
        <f ca="1">AVERAGE(OFFSET($GY$3,0,0,'Données projet'!$E$18+1,1))-AVERAGE(OFFSET($H$3,0,0,'Données projet'!$E$18+1,1))</f>
        <v>262.62914256200031</v>
      </c>
      <c r="HA142" s="59">
        <f t="shared" si="160"/>
        <v>256.45129229594409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projet'!$B$18,Paramètres!$A$1:$I$89,3,0)*0.475*44/12</f>
        <v>19.121518291510206</v>
      </c>
      <c r="HH142" s="21">
        <f>EXP(-LN(2)/25)*HH141+(1-EXP(-LN(2)/25))/(LN(2)/25)*Calculateur!HC142*Calculateur!HE142*VLOOKUP('Données projet'!$B$18,Paramètres!$A$1:$I$89,3,0)*0.475*44/12</f>
        <v>0</v>
      </c>
      <c r="HI142" s="21">
        <f>EXP(-LN(2)/2)*HI141+(1-EXP(-LN(2)/2))/(LN(2)/2)*HC142*HF142*VLOOKUP('Données projet'!$B$18,Paramètres!$A$1:$I$89,3,0)*0.475*44/12</f>
        <v>0</v>
      </c>
      <c r="HJ142" s="22">
        <f t="shared" si="138"/>
        <v>19.121518291510206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2.1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7.7</v>
      </c>
      <c r="H143" s="67">
        <f t="shared" si="110"/>
        <v>225.86666666666665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69.093917341756608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5.6843418860808015E-14</v>
      </c>
      <c r="O143" s="13">
        <f>N143*VLOOKUP('Données projet'!$B$9,Paramètres!$A$1:$I$89,3,0)*VLOOKUP('Données projet'!$B$9,Paramètres!$A$1:$I$89,5,0)</f>
        <v>4.8771653382573282E-14</v>
      </c>
      <c r="P143" s="13">
        <f t="shared" si="141"/>
        <v>7.9655698259503351E-13</v>
      </c>
      <c r="Q143" s="20">
        <f t="shared" si="108"/>
        <v>1.4722807076609983E-12</v>
      </c>
      <c r="R143" s="59">
        <f t="shared" si="109"/>
        <v>290.01103025310903</v>
      </c>
      <c r="S143" s="59">
        <f ca="1">AVERAGE(OFFSET($R$3,0,0,'Données projet'!$E$9+1,1))-AVERAGE(OFFSET($H$3,0,0,'Données projet'!$E$9+1,1))</f>
        <v>476.79071915271794</v>
      </c>
      <c r="T143" s="59">
        <f t="shared" si="142"/>
        <v>264.79929759351762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153.64696037838118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153.64696037838118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69.093917341756608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-9.5769792096689348E-14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365.104658862176</v>
      </c>
      <c r="AO143" s="59">
        <f t="shared" si="144"/>
        <v>226.29232910286325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87.39854868780678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87.39854868780678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69.093917341756608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-1.1368683772161603E-13</v>
      </c>
      <c r="BE143" s="13">
        <f>BD143*VLOOKUP('Données projet'!$B$11,Paramètres!$A$1:$I$89,3,0)*VLOOKUP('Données projet'!$B$11,Paramètres!$A$1:$I$89,5,0)</f>
        <v>-1.0286385077051818E-13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388.12494342575195</v>
      </c>
      <c r="BJ143" s="59">
        <f t="shared" si="146"/>
        <v>239.39471445648454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93.872515257273989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93.872515257273989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69.093917341756608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-1.1368683772161603E-13</v>
      </c>
      <c r="BZ143" s="13">
        <f>BY143*VLOOKUP('Données projet'!$B$12,Paramètres!$A$1:$I$89,3,0)*VLOOKUP('Données projet'!$B$12,Paramètres!$A$1:$I$89,5,0)</f>
        <v>-1.1527845344971866E-13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428.33148932885132</v>
      </c>
      <c r="CE143" s="59">
        <f t="shared" si="148"/>
        <v>262.27548054534373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105.20195675384149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105.20195675384149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69.093917341756608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-1.1368683772161603E-13</v>
      </c>
      <c r="CU143" s="17">
        <f>CT143*VLOOKUP('Données projet'!$B$13,Paramètres!$A$1:$I$89,3,0)*VLOOKUP('Données projet'!$B$13,Paramètres!$A$1:$I$89,5,0)</f>
        <v>-1.0818439477588981E-13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307.62549820830162</v>
      </c>
      <c r="CZ143" s="59">
        <f t="shared" si="150"/>
        <v>160.26466014910304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71.701899349798211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71.701899349798211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69.093917341756608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-1.7053025658242404E-13</v>
      </c>
      <c r="DP143" s="17">
        <f>DO143*VLOOKUP('Données projet'!$B$14,Paramètres!$A$1:$I$89,3,0)*VLOOKUP('Données projet'!$B$14,Paramètres!$A$1:$I$89,5,0)</f>
        <v>-1.3567387213697657E-13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309.14579005132464</v>
      </c>
      <c r="DU143" s="59">
        <f t="shared" si="152"/>
        <v>300.60311050289533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28.057554550980388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28.057554550980388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69.093917341756608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>
        <f>EJ143*VLOOKUP('Données projet'!$B$15,Paramètres!$A$1:$I$89,3,0)*VLOOKUP('Données projet'!$B$15,Paramètres!$A$1:$I$89,5,0)</f>
        <v>0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338.59243085476896</v>
      </c>
      <c r="EP143" s="59">
        <f t="shared" si="154"/>
        <v>329.8393445823275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25.994931831728149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25.994931831728149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69.093917341756608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>
        <f>FE143*VLOOKUP('Données projet'!$B$16,Paramètres!$A$1:$I$89,3,0)*VLOOKUP('Données projet'!$B$16,Paramètres!$A$1:$I$89,5,0)</f>
        <v>0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307.50573770128085</v>
      </c>
      <c r="FK143" s="59">
        <f t="shared" si="156"/>
        <v>300.2007312562655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23.229513551757062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23.229513551757062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69.093917341756608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>
        <f>FZ143*VLOOKUP('Données projet'!$B$17,Paramètres!$A$1:$I$89,3,0)*VLOOKUP('Données projet'!$B$17,Paramètres!$A$1:$I$89,5,0)</f>
        <v>0</v>
      </c>
      <c r="GB143" s="13" t="e">
        <f t="shared" si="157"/>
        <v>#NUM!</v>
      </c>
      <c r="GC143" s="20" t="e">
        <f t="shared" si="133"/>
        <v>#NUM!</v>
      </c>
      <c r="GD143" s="59" t="e">
        <f t="shared" si="134"/>
        <v>#NUM!</v>
      </c>
      <c r="GE143" s="59">
        <f ca="1">AVERAGE(OFFSET($GD$3,0,0,'Données projet'!$E$17+1,1))-AVERAGE(OFFSET($H$3,0,0,'Données projet'!$E$17+1,1))</f>
        <v>369.60865427618342</v>
      </c>
      <c r="GF143" s="59">
        <f t="shared" si="158"/>
        <v>359.40898775279197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28.760350111699228</v>
      </c>
      <c r="GM143" s="21">
        <f>EXP(-LN(2)/25)*GM142+(1-EXP(-LN(2)/25))/(LN(2)/25)*Calculateur!GH143*Calculateur!GJ143*VLOOKUP('Données projet'!$B$17,Paramètres!$A$1:$I$89,3,0)*0.475*44/12</f>
        <v>0</v>
      </c>
      <c r="GN143" s="21">
        <f>EXP(-LN(2)/2)*GN142+(1-EXP(-LN(2)/2))/(LN(2)/2)*GH143*GK143*VLOOKUP('Données projet'!$B$17,Paramètres!$A$1:$I$89,3,0)*0.475*44/12</f>
        <v>0</v>
      </c>
      <c r="GO143" s="21">
        <f t="shared" si="135"/>
        <v>28.760350111699228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69.093917341756608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-1.7053025658242404E-13</v>
      </c>
      <c r="GV143" s="17">
        <f>GU143*VLOOKUP('Données projet'!$B$18,Paramètres!$A$1:$I$89,3,0)*VLOOKUP('Données projet'!$B$18,Paramètres!$A$1:$I$89,5,0)</f>
        <v>-1.1173142411280423E-13</v>
      </c>
      <c r="GW143" s="13" t="e">
        <f t="shared" si="159"/>
        <v>#NUM!</v>
      </c>
      <c r="GX143" s="20" t="e">
        <f t="shared" si="136"/>
        <v>#NUM!</v>
      </c>
      <c r="GY143" s="59" t="e">
        <f t="shared" si="137"/>
        <v>#NUM!</v>
      </c>
      <c r="GZ143" s="59">
        <f ca="1">AVERAGE(OFFSET($GY$3,0,0,'Données projet'!$E$18+1,1))-AVERAGE(OFFSET($H$3,0,0,'Données projet'!$E$18+1,1))</f>
        <v>262.62914256200031</v>
      </c>
      <c r="HA143" s="59">
        <f t="shared" si="160"/>
        <v>256.45129229594409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projet'!$B$18,Paramètres!$A$1:$I$89,3,0)*0.475*44/12</f>
        <v>18.746556980788228</v>
      </c>
      <c r="HH143" s="21">
        <f>EXP(-LN(2)/25)*HH142+(1-EXP(-LN(2)/25))/(LN(2)/25)*Calculateur!HC143*Calculateur!HE143*VLOOKUP('Données projet'!$B$18,Paramètres!$A$1:$I$89,3,0)*0.475*44/12</f>
        <v>0</v>
      </c>
      <c r="HI143" s="21">
        <f>EXP(-LN(2)/2)*HI142+(1-EXP(-LN(2)/2))/(LN(2)/2)*HC143*HF143*VLOOKUP('Données projet'!$B$18,Paramètres!$A$1:$I$89,3,0)*0.475*44/12</f>
        <v>0</v>
      </c>
      <c r="HJ143" s="22">
        <f t="shared" si="138"/>
        <v>18.746556980788228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2.1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7.7</v>
      </c>
      <c r="H144" s="67">
        <f t="shared" si="110"/>
        <v>225.86666666666665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69.109635850179771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5.6843418860808015E-14</v>
      </c>
      <c r="O144" s="13">
        <f>N144*VLOOKUP('Données projet'!$B$9,Paramètres!$A$1:$I$89,3,0)*VLOOKUP('Données projet'!$B$9,Paramètres!$A$1:$I$89,5,0)</f>
        <v>4.8771653382573282E-14</v>
      </c>
      <c r="P144" s="13">
        <f t="shared" si="141"/>
        <v>7.9655698259503351E-13</v>
      </c>
      <c r="Q144" s="20">
        <f t="shared" si="108"/>
        <v>1.4722807076609983E-12</v>
      </c>
      <c r="R144" s="59">
        <f t="shared" si="109"/>
        <v>290.06866478399394</v>
      </c>
      <c r="S144" s="59">
        <f ca="1">AVERAGE(OFFSET($R$3,0,0,'Données projet'!$E$9+1,1))-AVERAGE(OFFSET($H$3,0,0,'Données projet'!$E$9+1,1))</f>
        <v>476.79071915271794</v>
      </c>
      <c r="T144" s="59">
        <f t="shared" si="142"/>
        <v>264.79929759351762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150.63403720075334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150.63403720075334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69.109635850179771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-9.5769792096689348E-14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365.104658862176</v>
      </c>
      <c r="AO144" s="59">
        <f t="shared" si="144"/>
        <v>226.29232910286325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85.68471645588987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85.68471645588987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69.109635850179771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-1.1368683772161603E-13</v>
      </c>
      <c r="BE144" s="13">
        <f>BD144*VLOOKUP('Données projet'!$B$11,Paramètres!$A$1:$I$89,3,0)*VLOOKUP('Données projet'!$B$11,Paramètres!$A$1:$I$89,5,0)</f>
        <v>-1.0286385077051818E-13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388.12494342575195</v>
      </c>
      <c r="BJ144" s="59">
        <f t="shared" si="146"/>
        <v>239.39471445648454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92.031732489659532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92.031732489659532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69.109635850179771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-1.1368683772161603E-13</v>
      </c>
      <c r="BZ144" s="13">
        <f>BY144*VLOOKUP('Données projet'!$B$12,Paramètres!$A$1:$I$89,3,0)*VLOOKUP('Données projet'!$B$12,Paramètres!$A$1:$I$89,5,0)</f>
        <v>-1.1527845344971866E-13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428.33148932885132</v>
      </c>
      <c r="CE144" s="59">
        <f t="shared" si="148"/>
        <v>262.27548054534373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103.13901054875632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103.13901054875632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69.109635850179771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-1.1368683772161603E-13</v>
      </c>
      <c r="CU144" s="17">
        <f>CT144*VLOOKUP('Données projet'!$B$13,Paramètres!$A$1:$I$89,3,0)*VLOOKUP('Données projet'!$B$13,Paramètres!$A$1:$I$89,5,0)</f>
        <v>-1.0818439477588981E-13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307.62549820830162</v>
      </c>
      <c r="CZ144" s="59">
        <f t="shared" si="150"/>
        <v>160.26466014910304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70.295868837388909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70.295868837388909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69.109635850179771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-1.7053025658242404E-13</v>
      </c>
      <c r="DP144" s="17">
        <f>DO144*VLOOKUP('Données projet'!$B$14,Paramètres!$A$1:$I$89,3,0)*VLOOKUP('Données projet'!$B$14,Paramètres!$A$1:$I$89,5,0)</f>
        <v>-1.3567387213697657E-13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309.14579005132464</v>
      </c>
      <c r="DU144" s="59">
        <f t="shared" si="152"/>
        <v>300.60311050289533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27.507363019654129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27.507363019654129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69.109635850179771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>
        <f>EJ144*VLOOKUP('Données projet'!$B$15,Paramètres!$A$1:$I$89,3,0)*VLOOKUP('Données projet'!$B$15,Paramètres!$A$1:$I$89,5,0)</f>
        <v>0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338.59243085476896</v>
      </c>
      <c r="EP144" s="59">
        <f t="shared" si="154"/>
        <v>329.8393445823275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25.485187073850792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25.485187073850792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69.109635850179771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>
        <f>FE144*VLOOKUP('Données projet'!$B$16,Paramètres!$A$1:$I$89,3,0)*VLOOKUP('Données projet'!$B$16,Paramètres!$A$1:$I$89,5,0)</f>
        <v>0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307.50573770128085</v>
      </c>
      <c r="FK144" s="59">
        <f t="shared" si="156"/>
        <v>300.2007312562655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22.773996959611338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22.773996959611338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69.109635850179771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>
        <f>FZ144*VLOOKUP('Données projet'!$B$17,Paramètres!$A$1:$I$89,3,0)*VLOOKUP('Données projet'!$B$17,Paramètres!$A$1:$I$89,5,0)</f>
        <v>0</v>
      </c>
      <c r="GB144" s="13" t="e">
        <f t="shared" si="157"/>
        <v>#NUM!</v>
      </c>
      <c r="GC144" s="20" t="e">
        <f t="shared" si="133"/>
        <v>#NUM!</v>
      </c>
      <c r="GD144" s="59" t="e">
        <f t="shared" si="134"/>
        <v>#NUM!</v>
      </c>
      <c r="GE144" s="59">
        <f ca="1">AVERAGE(OFFSET($GD$3,0,0,'Données projet'!$E$17+1,1))-AVERAGE(OFFSET($H$3,0,0,'Données projet'!$E$17+1,1))</f>
        <v>369.60865427618342</v>
      </c>
      <c r="GF144" s="59">
        <f t="shared" si="158"/>
        <v>359.40898775279197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28.196377188090239</v>
      </c>
      <c r="GM144" s="21">
        <f>EXP(-LN(2)/25)*GM143+(1-EXP(-LN(2)/25))/(LN(2)/25)*Calculateur!GH144*Calculateur!GJ144*VLOOKUP('Données projet'!$B$17,Paramètres!$A$1:$I$89,3,0)*0.475*44/12</f>
        <v>0</v>
      </c>
      <c r="GN144" s="21">
        <f>EXP(-LN(2)/2)*GN143+(1-EXP(-LN(2)/2))/(LN(2)/2)*GH144*GK144*VLOOKUP('Données projet'!$B$17,Paramètres!$A$1:$I$89,3,0)*0.475*44/12</f>
        <v>0</v>
      </c>
      <c r="GO144" s="21">
        <f t="shared" si="135"/>
        <v>28.196377188090239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69.109635850179771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-1.7053025658242404E-13</v>
      </c>
      <c r="GV144" s="17">
        <f>GU144*VLOOKUP('Données projet'!$B$18,Paramètres!$A$1:$I$89,3,0)*VLOOKUP('Données projet'!$B$18,Paramètres!$A$1:$I$89,5,0)</f>
        <v>-1.1173142411280423E-13</v>
      </c>
      <c r="GW144" s="13" t="e">
        <f t="shared" si="159"/>
        <v>#NUM!</v>
      </c>
      <c r="GX144" s="20" t="e">
        <f t="shared" si="136"/>
        <v>#NUM!</v>
      </c>
      <c r="GY144" s="59" t="e">
        <f t="shared" si="137"/>
        <v>#NUM!</v>
      </c>
      <c r="GZ144" s="59">
        <f ca="1">AVERAGE(OFFSET($GY$3,0,0,'Données projet'!$E$18+1,1))-AVERAGE(OFFSET($H$3,0,0,'Données projet'!$E$18+1,1))</f>
        <v>262.62914256200031</v>
      </c>
      <c r="HA144" s="59">
        <f t="shared" si="160"/>
        <v>256.45129229594409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projet'!$B$18,Paramètres!$A$1:$I$89,3,0)*0.475*44/12</f>
        <v>18.378948432665688</v>
      </c>
      <c r="HH144" s="21">
        <f>EXP(-LN(2)/25)*HH143+(1-EXP(-LN(2)/25))/(LN(2)/25)*Calculateur!HC144*Calculateur!HE144*VLOOKUP('Données projet'!$B$18,Paramètres!$A$1:$I$89,3,0)*0.475*44/12</f>
        <v>0</v>
      </c>
      <c r="HI144" s="21">
        <f>EXP(-LN(2)/2)*HI143+(1-EXP(-LN(2)/2))/(LN(2)/2)*HC144*HF144*VLOOKUP('Données projet'!$B$18,Paramètres!$A$1:$I$89,3,0)*0.475*44/12</f>
        <v>0</v>
      </c>
      <c r="HJ144" s="22">
        <f t="shared" si="138"/>
        <v>18.378948432665688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2.1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7.7</v>
      </c>
      <c r="H145" s="67">
        <f t="shared" si="110"/>
        <v>225.86666666666665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69.125081677623115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5.6843418860808015E-14</v>
      </c>
      <c r="O145" s="13">
        <f>N145*VLOOKUP('Données projet'!$B$9,Paramètres!$A$1:$I$89,3,0)*VLOOKUP('Données projet'!$B$9,Paramètres!$A$1:$I$89,5,0)</f>
        <v>4.8771653382573282E-14</v>
      </c>
      <c r="P145" s="13">
        <f t="shared" si="141"/>
        <v>7.9655698259503351E-13</v>
      </c>
      <c r="Q145" s="20">
        <f t="shared" si="108"/>
        <v>1.4722807076609983E-12</v>
      </c>
      <c r="R145" s="59">
        <f t="shared" si="109"/>
        <v>290.12529948461957</v>
      </c>
      <c r="S145" s="59">
        <f ca="1">AVERAGE(OFFSET($R$3,0,0,'Données projet'!$E$9+1,1))-AVERAGE(OFFSET($H$3,0,0,'Données projet'!$E$9+1,1))</f>
        <v>476.79071915271794</v>
      </c>
      <c r="T145" s="59">
        <f t="shared" si="142"/>
        <v>264.79929759351762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147.68019560893708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147.68019560893708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69.125081677623115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-9.5769792096689348E-14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365.104658862176</v>
      </c>
      <c r="AO145" s="59">
        <f t="shared" si="144"/>
        <v>226.29232910286325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84.004491428706416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84.004491428706416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69.125081677623115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-1.1368683772161603E-13</v>
      </c>
      <c r="BE145" s="13">
        <f>BD145*VLOOKUP('Données projet'!$B$11,Paramètres!$A$1:$I$89,3,0)*VLOOKUP('Données projet'!$B$11,Paramètres!$A$1:$I$89,5,0)</f>
        <v>-1.0286385077051818E-13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388.12494342575195</v>
      </c>
      <c r="BJ145" s="59">
        <f t="shared" si="146"/>
        <v>239.39471445648454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90.227046349351369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90.227046349351369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69.125081677623115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-1.1368683772161603E-13</v>
      </c>
      <c r="BZ145" s="13">
        <f>BY145*VLOOKUP('Données projet'!$B$12,Paramètres!$A$1:$I$89,3,0)*VLOOKUP('Données projet'!$B$12,Paramètres!$A$1:$I$89,5,0)</f>
        <v>-1.1527845344971866E-13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428.33148932885132</v>
      </c>
      <c r="CE145" s="59">
        <f t="shared" si="148"/>
        <v>262.27548054534373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101.11651746047994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101.11651746047994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69.125081677623115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-1.1368683772161603E-13</v>
      </c>
      <c r="CU145" s="17">
        <f>CT145*VLOOKUP('Données projet'!$B$13,Paramètres!$A$1:$I$89,3,0)*VLOOKUP('Données projet'!$B$13,Paramètres!$A$1:$I$89,5,0)</f>
        <v>-1.0818439477588981E-13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307.62549820830162</v>
      </c>
      <c r="CZ145" s="59">
        <f t="shared" si="150"/>
        <v>160.26466014910304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68.917409725734032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68.917409725734032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69.125081677623115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-1.7053025658242404E-13</v>
      </c>
      <c r="DP145" s="17">
        <f>DO145*VLOOKUP('Données projet'!$B$14,Paramètres!$A$1:$I$89,3,0)*VLOOKUP('Données projet'!$B$14,Paramètres!$A$1:$I$89,5,0)</f>
        <v>-1.3567387213697657E-13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309.14579005132464</v>
      </c>
      <c r="DU145" s="59">
        <f t="shared" si="152"/>
        <v>300.60311050289533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26.967960408673481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26.967960408673481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69.125081677623115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>
        <f>EJ145*VLOOKUP('Données projet'!$B$15,Paramètres!$A$1:$I$89,3,0)*VLOOKUP('Données projet'!$B$15,Paramètres!$A$1:$I$89,5,0)</f>
        <v>0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338.59243085476896</v>
      </c>
      <c r="EP145" s="59">
        <f t="shared" si="154"/>
        <v>329.8393445823275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24.985438099761808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24.985438099761808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69.125081677623115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>
        <f>FE145*VLOOKUP('Données projet'!$B$16,Paramètres!$A$1:$I$89,3,0)*VLOOKUP('Données projet'!$B$16,Paramètres!$A$1:$I$89,5,0)</f>
        <v>0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307.50573770128085</v>
      </c>
      <c r="FK145" s="59">
        <f t="shared" si="156"/>
        <v>300.2007312562655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22.327412769999906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22.327412769999906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69.125081677623115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>
        <f>FZ145*VLOOKUP('Données projet'!$B$17,Paramètres!$A$1:$I$89,3,0)*VLOOKUP('Données projet'!$B$17,Paramètres!$A$1:$I$89,5,0)</f>
        <v>0</v>
      </c>
      <c r="GB145" s="13" t="e">
        <f t="shared" si="157"/>
        <v>#NUM!</v>
      </c>
      <c r="GC145" s="20" t="e">
        <f t="shared" si="133"/>
        <v>#NUM!</v>
      </c>
      <c r="GD145" s="59" t="e">
        <f t="shared" si="134"/>
        <v>#NUM!</v>
      </c>
      <c r="GE145" s="59">
        <f ca="1">AVERAGE(OFFSET($GD$3,0,0,'Données projet'!$E$17+1,1))-AVERAGE(OFFSET($H$3,0,0,'Données projet'!$E$17+1,1))</f>
        <v>369.60865427618342</v>
      </c>
      <c r="GF145" s="59">
        <f t="shared" si="158"/>
        <v>359.40898775279197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27.643463429523703</v>
      </c>
      <c r="GM145" s="21">
        <f>EXP(-LN(2)/25)*GM144+(1-EXP(-LN(2)/25))/(LN(2)/25)*Calculateur!GH145*Calculateur!GJ145*VLOOKUP('Données projet'!$B$17,Paramètres!$A$1:$I$89,3,0)*0.475*44/12</f>
        <v>0</v>
      </c>
      <c r="GN145" s="21">
        <f>EXP(-LN(2)/2)*GN144+(1-EXP(-LN(2)/2))/(LN(2)/2)*GH145*GK145*VLOOKUP('Données projet'!$B$17,Paramètres!$A$1:$I$89,3,0)*0.475*44/12</f>
        <v>0</v>
      </c>
      <c r="GO145" s="21">
        <f t="shared" si="135"/>
        <v>27.643463429523703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69.125081677623115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-1.7053025658242404E-13</v>
      </c>
      <c r="GV145" s="17">
        <f>GU145*VLOOKUP('Données projet'!$B$18,Paramètres!$A$1:$I$89,3,0)*VLOOKUP('Données projet'!$B$18,Paramètres!$A$1:$I$89,5,0)</f>
        <v>-1.1173142411280423E-13</v>
      </c>
      <c r="GW145" s="13" t="e">
        <f t="shared" si="159"/>
        <v>#NUM!</v>
      </c>
      <c r="GX145" s="20" t="e">
        <f t="shared" si="136"/>
        <v>#NUM!</v>
      </c>
      <c r="GY145" s="59" t="e">
        <f t="shared" si="137"/>
        <v>#NUM!</v>
      </c>
      <c r="GZ145" s="59">
        <f ca="1">AVERAGE(OFFSET($GY$3,0,0,'Données projet'!$E$18+1,1))-AVERAGE(OFFSET($H$3,0,0,'Données projet'!$E$18+1,1))</f>
        <v>262.62914256200031</v>
      </c>
      <c r="HA145" s="59">
        <f t="shared" si="160"/>
        <v>256.45129229594409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projet'!$B$18,Paramètres!$A$1:$I$89,3,0)*0.475*44/12</f>
        <v>18.018548463952758</v>
      </c>
      <c r="HH145" s="21">
        <f>EXP(-LN(2)/25)*HH144+(1-EXP(-LN(2)/25))/(LN(2)/25)*Calculateur!HC145*Calculateur!HE145*VLOOKUP('Données projet'!$B$18,Paramètres!$A$1:$I$89,3,0)*0.475*44/12</f>
        <v>0</v>
      </c>
      <c r="HI145" s="21">
        <f>EXP(-LN(2)/2)*HI144+(1-EXP(-LN(2)/2))/(LN(2)/2)*HC145*HF145*VLOOKUP('Données projet'!$B$18,Paramètres!$A$1:$I$89,3,0)*0.475*44/12</f>
        <v>0</v>
      </c>
      <c r="HJ145" s="22">
        <f t="shared" si="138"/>
        <v>18.018548463952758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2.1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7.7</v>
      </c>
      <c r="H146" s="67">
        <f t="shared" si="110"/>
        <v>225.86666666666665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69.140259554492033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5.6843418860808015E-14</v>
      </c>
      <c r="O146" s="13">
        <f>N146*VLOOKUP('Données projet'!$B$9,Paramètres!$A$1:$I$89,3,0)*VLOOKUP('Données projet'!$B$9,Paramètres!$A$1:$I$89,5,0)</f>
        <v>4.8771653382573282E-14</v>
      </c>
      <c r="P146" s="13">
        <f t="shared" si="141"/>
        <v>7.9655698259503351E-13</v>
      </c>
      <c r="Q146" s="20">
        <f t="shared" si="108"/>
        <v>1.4722807076609983E-12</v>
      </c>
      <c r="R146" s="59">
        <f t="shared" si="109"/>
        <v>290.18095169980558</v>
      </c>
      <c r="S146" s="59">
        <f ca="1">AVERAGE(OFFSET($R$3,0,0,'Données projet'!$E$9+1,1))-AVERAGE(OFFSET($H$3,0,0,'Données projet'!$E$9+1,1))</f>
        <v>476.79071915271794</v>
      </c>
      <c r="T146" s="59">
        <f t="shared" si="142"/>
        <v>264.79929759351762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144.78427704907088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144.78427704907088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69.140259554492033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-9.5769792096689348E-14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365.104658862176</v>
      </c>
      <c r="AO146" s="59">
        <f t="shared" si="144"/>
        <v>226.29232910286325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82.357214589469947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82.357214589469947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69.140259554492033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-1.1368683772161603E-13</v>
      </c>
      <c r="BE146" s="13">
        <f>BD146*VLOOKUP('Données projet'!$B$11,Paramètres!$A$1:$I$89,3,0)*VLOOKUP('Données projet'!$B$11,Paramètres!$A$1:$I$89,5,0)</f>
        <v>-1.0286385077051818E-13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388.12494342575195</v>
      </c>
      <c r="BJ146" s="59">
        <f t="shared" si="146"/>
        <v>239.39471445648454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88.457749003504802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88.457749003504802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69.140259554492033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-1.1368683772161603E-13</v>
      </c>
      <c r="BZ146" s="13">
        <f>BY146*VLOOKUP('Données projet'!$B$12,Paramètres!$A$1:$I$89,3,0)*VLOOKUP('Données projet'!$B$12,Paramètres!$A$1:$I$89,5,0)</f>
        <v>-1.1527845344971866E-13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428.33148932885132</v>
      </c>
      <c r="CE146" s="59">
        <f t="shared" si="148"/>
        <v>262.27548054534373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99.133684228065675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99.133684228065675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69.140259554492033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-1.1368683772161603E-13</v>
      </c>
      <c r="CU146" s="17">
        <f>CT146*VLOOKUP('Données projet'!$B$13,Paramètres!$A$1:$I$89,3,0)*VLOOKUP('Données projet'!$B$13,Paramètres!$A$1:$I$89,5,0)</f>
        <v>-1.0818439477588981E-13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307.62549820830162</v>
      </c>
      <c r="CZ146" s="59">
        <f t="shared" si="150"/>
        <v>160.26466014910304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67.565981356481657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67.565981356481657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69.140259554492033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-1.7053025658242404E-13</v>
      </c>
      <c r="DP146" s="17">
        <f>DO146*VLOOKUP('Données projet'!$B$14,Paramètres!$A$1:$I$89,3,0)*VLOOKUP('Données projet'!$B$14,Paramètres!$A$1:$I$89,5,0)</f>
        <v>-1.3567387213697657E-13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309.14579005132464</v>
      </c>
      <c r="DU146" s="59">
        <f t="shared" si="152"/>
        <v>300.60311050289533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26.439135153891055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26.439135153891055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69.140259554492033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>
        <f>EJ146*VLOOKUP('Données projet'!$B$15,Paramètres!$A$1:$I$89,3,0)*VLOOKUP('Données projet'!$B$15,Paramètres!$A$1:$I$89,5,0)</f>
        <v>0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338.59243085476896</v>
      </c>
      <c r="EP146" s="59">
        <f t="shared" si="154"/>
        <v>329.8393445823275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24.495488898237934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24.495488898237934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69.140259554492033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>
        <f>FE146*VLOOKUP('Données projet'!$B$16,Paramètres!$A$1:$I$89,3,0)*VLOOKUP('Données projet'!$B$16,Paramètres!$A$1:$I$89,5,0)</f>
        <v>0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307.50573770128085</v>
      </c>
      <c r="FK146" s="59">
        <f t="shared" si="156"/>
        <v>300.2007312562655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21.889585823957294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21.889585823957294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69.140259554492033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>
        <f>FZ146*VLOOKUP('Données projet'!$B$17,Paramètres!$A$1:$I$89,3,0)*VLOOKUP('Données projet'!$B$17,Paramètres!$A$1:$I$89,5,0)</f>
        <v>0</v>
      </c>
      <c r="GB146" s="13" t="e">
        <f t="shared" si="157"/>
        <v>#NUM!</v>
      </c>
      <c r="GC146" s="20" t="e">
        <f t="shared" si="133"/>
        <v>#NUM!</v>
      </c>
      <c r="GD146" s="59" t="e">
        <f t="shared" si="134"/>
        <v>#NUM!</v>
      </c>
      <c r="GE146" s="59">
        <f ca="1">AVERAGE(OFFSET($GD$3,0,0,'Données projet'!$E$17+1,1))-AVERAGE(OFFSET($H$3,0,0,'Données projet'!$E$17+1,1))</f>
        <v>369.60865427618342</v>
      </c>
      <c r="GF146" s="59">
        <f t="shared" si="158"/>
        <v>359.40898775279197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27.101391972518563</v>
      </c>
      <c r="GM146" s="21">
        <f>EXP(-LN(2)/25)*GM145+(1-EXP(-LN(2)/25))/(LN(2)/25)*Calculateur!GH146*Calculateur!GJ146*VLOOKUP('Données projet'!$B$17,Paramètres!$A$1:$I$89,3,0)*0.475*44/12</f>
        <v>0</v>
      </c>
      <c r="GN146" s="21">
        <f>EXP(-LN(2)/2)*GN145+(1-EXP(-LN(2)/2))/(LN(2)/2)*GH146*GK146*VLOOKUP('Données projet'!$B$17,Paramètres!$A$1:$I$89,3,0)*0.475*44/12</f>
        <v>0</v>
      </c>
      <c r="GO146" s="21">
        <f t="shared" si="135"/>
        <v>27.101391972518563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69.140259554492033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-1.7053025658242404E-13</v>
      </c>
      <c r="GV146" s="17">
        <f>GU146*VLOOKUP('Données projet'!$B$18,Paramètres!$A$1:$I$89,3,0)*VLOOKUP('Données projet'!$B$18,Paramètres!$A$1:$I$89,5,0)</f>
        <v>-1.1173142411280423E-13</v>
      </c>
      <c r="GW146" s="13" t="e">
        <f t="shared" si="159"/>
        <v>#NUM!</v>
      </c>
      <c r="GX146" s="20" t="e">
        <f t="shared" si="136"/>
        <v>#NUM!</v>
      </c>
      <c r="GY146" s="59" t="e">
        <f t="shared" si="137"/>
        <v>#NUM!</v>
      </c>
      <c r="GZ146" s="59">
        <f ca="1">AVERAGE(OFFSET($GY$3,0,0,'Données projet'!$E$18+1,1))-AVERAGE(OFFSET($H$3,0,0,'Données projet'!$E$18+1,1))</f>
        <v>262.62914256200031</v>
      </c>
      <c r="HA146" s="59">
        <f t="shared" si="160"/>
        <v>256.45129229594409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projet'!$B$18,Paramètres!$A$1:$I$89,3,0)*0.475*44/12</f>
        <v>17.665215718804014</v>
      </c>
      <c r="HH146" s="21">
        <f>EXP(-LN(2)/25)*HH145+(1-EXP(-LN(2)/25))/(LN(2)/25)*Calculateur!HC146*Calculateur!HE146*VLOOKUP('Données projet'!$B$18,Paramètres!$A$1:$I$89,3,0)*0.475*44/12</f>
        <v>0</v>
      </c>
      <c r="HI146" s="21">
        <f>EXP(-LN(2)/2)*HI145+(1-EXP(-LN(2)/2))/(LN(2)/2)*HC146*HF146*VLOOKUP('Données projet'!$B$18,Paramètres!$A$1:$I$89,3,0)*0.475*44/12</f>
        <v>0</v>
      </c>
      <c r="HJ146" s="22">
        <f t="shared" si="138"/>
        <v>17.665215718804014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2.1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7.7</v>
      </c>
      <c r="H147" s="67">
        <f t="shared" si="110"/>
        <v>225.86666666666665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69.155174129129904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5.6843418860808015E-14</v>
      </c>
      <c r="O147" s="13">
        <f>N147*VLOOKUP('Données projet'!$B$9,Paramètres!$A$1:$I$89,3,0)*VLOOKUP('Données projet'!$B$9,Paramètres!$A$1:$I$89,5,0)</f>
        <v>4.8771653382573282E-14</v>
      </c>
      <c r="P147" s="13">
        <f t="shared" si="141"/>
        <v>7.9655698259503351E-13</v>
      </c>
      <c r="Q147" s="20">
        <f t="shared" si="108"/>
        <v>1.4722807076609983E-12</v>
      </c>
      <c r="R147" s="59">
        <f t="shared" si="109"/>
        <v>290.23563847347776</v>
      </c>
      <c r="S147" s="59">
        <f ca="1">AVERAGE(OFFSET($R$3,0,0,'Données projet'!$E$9+1,1))-AVERAGE(OFFSET($H$3,0,0,'Données projet'!$E$9+1,1))</f>
        <v>476.79071915271794</v>
      </c>
      <c r="T147" s="59">
        <f t="shared" si="142"/>
        <v>264.79929759351762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141.94514568582775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141.94514568582775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69.155174129129904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-9.5769792096689348E-14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365.104658862176</v>
      </c>
      <c r="AO147" s="59">
        <f t="shared" si="144"/>
        <v>226.29232910286325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80.742239844311257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80.742239844311257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69.155174129129904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-1.1368683772161603E-13</v>
      </c>
      <c r="BE147" s="13">
        <f>BD147*VLOOKUP('Données projet'!$B$11,Paramètres!$A$1:$I$89,3,0)*VLOOKUP('Données projet'!$B$11,Paramètres!$A$1:$I$89,5,0)</f>
        <v>-1.0286385077051818E-13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388.12494342575195</v>
      </c>
      <c r="BJ147" s="59">
        <f t="shared" si="146"/>
        <v>239.39471445648454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86.723146499445463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86.723146499445463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69.155174129129904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-1.1368683772161603E-13</v>
      </c>
      <c r="BZ147" s="13">
        <f>BY147*VLOOKUP('Données projet'!$B$12,Paramètres!$A$1:$I$89,3,0)*VLOOKUP('Données projet'!$B$12,Paramètres!$A$1:$I$89,5,0)</f>
        <v>-1.1527845344971866E-13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428.33148932885132</v>
      </c>
      <c r="CE147" s="59">
        <f t="shared" si="148"/>
        <v>262.27548054534373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97.189733145930205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97.189733145930205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69.155174129129904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-1.1368683772161603E-13</v>
      </c>
      <c r="CU147" s="17">
        <f>CT147*VLOOKUP('Données projet'!$B$13,Paramètres!$A$1:$I$89,3,0)*VLOOKUP('Données projet'!$B$13,Paramètres!$A$1:$I$89,5,0)</f>
        <v>-1.0818439477588981E-13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307.62549820830162</v>
      </c>
      <c r="CZ147" s="59">
        <f t="shared" si="150"/>
        <v>160.26466014910304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66.24105367326041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66.24105367326041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69.155174129129904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-1.7053025658242404E-13</v>
      </c>
      <c r="DP147" s="17">
        <f>DO147*VLOOKUP('Données projet'!$B$14,Paramètres!$A$1:$I$89,3,0)*VLOOKUP('Données projet'!$B$14,Paramètres!$A$1:$I$89,5,0)</f>
        <v>-1.3567387213697657E-13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309.14579005132464</v>
      </c>
      <c r="DU147" s="59">
        <f t="shared" si="152"/>
        <v>300.60311050289533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25.920679839803356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25.920679839803356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69.155174129129904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>
        <f>EJ147*VLOOKUP('Données projet'!$B$15,Paramètres!$A$1:$I$89,3,0)*VLOOKUP('Données projet'!$B$15,Paramètres!$A$1:$I$89,5,0)</f>
        <v>0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338.59243085476896</v>
      </c>
      <c r="EP147" s="59">
        <f t="shared" si="154"/>
        <v>329.8393445823275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24.015147301716436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24.015147301716436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69.155174129129904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>
        <f>FE147*VLOOKUP('Données projet'!$B$16,Paramètres!$A$1:$I$89,3,0)*VLOOKUP('Données projet'!$B$16,Paramètres!$A$1:$I$89,5,0)</f>
        <v>0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307.50573770128085</v>
      </c>
      <c r="FK147" s="59">
        <f t="shared" si="156"/>
        <v>300.2007312562655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21.460344397278508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21.460344397278508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69.155174129129904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>
        <f>FZ147*VLOOKUP('Données projet'!$B$17,Paramètres!$A$1:$I$89,3,0)*VLOOKUP('Données projet'!$B$17,Paramètres!$A$1:$I$89,5,0)</f>
        <v>0</v>
      </c>
      <c r="GB147" s="13" t="e">
        <f t="shared" si="157"/>
        <v>#NUM!</v>
      </c>
      <c r="GC147" s="20" t="e">
        <f t="shared" si="133"/>
        <v>#NUM!</v>
      </c>
      <c r="GD147" s="59" t="e">
        <f t="shared" si="134"/>
        <v>#NUM!</v>
      </c>
      <c r="GE147" s="59">
        <f ca="1">AVERAGE(OFFSET($GD$3,0,0,'Données projet'!$E$17+1,1))-AVERAGE(OFFSET($H$3,0,0,'Données projet'!$E$17+1,1))</f>
        <v>369.60865427618342</v>
      </c>
      <c r="GF147" s="59">
        <f t="shared" si="158"/>
        <v>359.40898775279197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26.569950206154353</v>
      </c>
      <c r="GM147" s="21">
        <f>EXP(-LN(2)/25)*GM146+(1-EXP(-LN(2)/25))/(LN(2)/25)*Calculateur!GH147*Calculateur!GJ147*VLOOKUP('Données projet'!$B$17,Paramètres!$A$1:$I$89,3,0)*0.475*44/12</f>
        <v>0</v>
      </c>
      <c r="GN147" s="21">
        <f>EXP(-LN(2)/2)*GN146+(1-EXP(-LN(2)/2))/(LN(2)/2)*GH147*GK147*VLOOKUP('Données projet'!$B$17,Paramètres!$A$1:$I$89,3,0)*0.475*44/12</f>
        <v>0</v>
      </c>
      <c r="GO147" s="21">
        <f t="shared" si="135"/>
        <v>26.569950206154353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69.155174129129904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-1.7053025658242404E-13</v>
      </c>
      <c r="GV147" s="17">
        <f>GU147*VLOOKUP('Données projet'!$B$18,Paramètres!$A$1:$I$89,3,0)*VLOOKUP('Données projet'!$B$18,Paramètres!$A$1:$I$89,5,0)</f>
        <v>-1.1173142411280423E-13</v>
      </c>
      <c r="GW147" s="13" t="e">
        <f t="shared" si="159"/>
        <v>#NUM!</v>
      </c>
      <c r="GX147" s="20" t="e">
        <f t="shared" si="136"/>
        <v>#NUM!</v>
      </c>
      <c r="GY147" s="59" t="e">
        <f t="shared" si="137"/>
        <v>#NUM!</v>
      </c>
      <c r="GZ147" s="59">
        <f ca="1">AVERAGE(OFFSET($GY$3,0,0,'Données projet'!$E$18+1,1))-AVERAGE(OFFSET($H$3,0,0,'Données projet'!$E$18+1,1))</f>
        <v>262.62914256200031</v>
      </c>
      <c r="HA147" s="59">
        <f t="shared" si="160"/>
        <v>256.45129229594409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projet'!$B$18,Paramètres!$A$1:$I$89,3,0)*0.475*44/12</f>
        <v>17.31881161327594</v>
      </c>
      <c r="HH147" s="21">
        <f>EXP(-LN(2)/25)*HH146+(1-EXP(-LN(2)/25))/(LN(2)/25)*Calculateur!HC147*Calculateur!HE147*VLOOKUP('Données projet'!$B$18,Paramètres!$A$1:$I$89,3,0)*0.475*44/12</f>
        <v>0</v>
      </c>
      <c r="HI147" s="21">
        <f>EXP(-LN(2)/2)*HI146+(1-EXP(-LN(2)/2))/(LN(2)/2)*HC147*HF147*VLOOKUP('Données projet'!$B$18,Paramètres!$A$1:$I$89,3,0)*0.475*44/12</f>
        <v>0</v>
      </c>
      <c r="HJ147" s="22">
        <f t="shared" si="138"/>
        <v>17.31881161327594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2.1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7.7</v>
      </c>
      <c r="H148" s="67">
        <f t="shared" si="110"/>
        <v>225.86666666666665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69.169829969241803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5.6843418860808015E-14</v>
      </c>
      <c r="O148" s="13">
        <f>N148*VLOOKUP('Données projet'!$B$9,Paramètres!$A$1:$I$89,3,0)*VLOOKUP('Données projet'!$B$9,Paramètres!$A$1:$I$89,5,0)</f>
        <v>4.8771653382573282E-14</v>
      </c>
      <c r="P148" s="13">
        <f t="shared" si="141"/>
        <v>7.9655698259503351E-13</v>
      </c>
      <c r="Q148" s="20">
        <f t="shared" si="108"/>
        <v>1.4722807076609983E-12</v>
      </c>
      <c r="R148" s="59">
        <f t="shared" si="109"/>
        <v>290.28937655388808</v>
      </c>
      <c r="S148" s="59">
        <f ca="1">AVERAGE(OFFSET($R$3,0,0,'Données projet'!$E$9+1,1))-AVERAGE(OFFSET($H$3,0,0,'Données projet'!$E$9+1,1))</f>
        <v>476.79071915271794</v>
      </c>
      <c r="T148" s="59">
        <f t="shared" si="142"/>
        <v>264.79929759351762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139.16168795691868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139.16168795691868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69.169829969241803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-9.5769792096689348E-14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365.104658862176</v>
      </c>
      <c r="AO148" s="59">
        <f t="shared" si="144"/>
        <v>226.29232910286325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79.158933768867797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79.158933768867797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69.169829969241803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-1.1368683772161603E-13</v>
      </c>
      <c r="BE148" s="13">
        <f>BD148*VLOOKUP('Données projet'!$B$11,Paramètres!$A$1:$I$89,3,0)*VLOOKUP('Données projet'!$B$11,Paramètres!$A$1:$I$89,5,0)</f>
        <v>-1.0286385077051818E-13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388.12494342575195</v>
      </c>
      <c r="BJ148" s="59">
        <f t="shared" si="146"/>
        <v>239.39471445648454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85.022558492487661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85.022558492487661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69.169829969241803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-1.1368683772161603E-13</v>
      </c>
      <c r="BZ148" s="13">
        <f>BY148*VLOOKUP('Données projet'!$B$12,Paramètres!$A$1:$I$89,3,0)*VLOOKUP('Données projet'!$B$12,Paramètres!$A$1:$I$89,5,0)</f>
        <v>-1.1527845344971866E-13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428.33148932885132</v>
      </c>
      <c r="CE148" s="59">
        <f t="shared" si="148"/>
        <v>262.27548054534373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95.283901758822324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95.283901758822324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69.169829969241803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-1.1368683772161603E-13</v>
      </c>
      <c r="CU148" s="17">
        <f>CT148*VLOOKUP('Données projet'!$B$13,Paramètres!$A$1:$I$89,3,0)*VLOOKUP('Données projet'!$B$13,Paramètres!$A$1:$I$89,5,0)</f>
        <v>-1.0818439477588981E-13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307.62549820830162</v>
      </c>
      <c r="CZ148" s="59">
        <f t="shared" si="150"/>
        <v>160.26466014910304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64.94210701378104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64.94210701378104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69.169829969241803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-1.7053025658242404E-13</v>
      </c>
      <c r="DP148" s="17">
        <f>DO148*VLOOKUP('Données projet'!$B$14,Paramètres!$A$1:$I$89,3,0)*VLOOKUP('Données projet'!$B$14,Paramètres!$A$1:$I$89,5,0)</f>
        <v>-1.3567387213697657E-13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309.14579005132464</v>
      </c>
      <c r="DU148" s="59">
        <f t="shared" si="152"/>
        <v>300.60311050289533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25.4123911181984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25.4123911181984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69.169829969241803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>
        <f>EJ148*VLOOKUP('Données projet'!$B$15,Paramètres!$A$1:$I$89,3,0)*VLOOKUP('Données projet'!$B$15,Paramètres!$A$1:$I$89,5,0)</f>
        <v>0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338.59243085476896</v>
      </c>
      <c r="EP148" s="59">
        <f t="shared" si="154"/>
        <v>329.8393445823275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23.54422491092328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23.54422491092328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69.169829969241803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>
        <f>FE148*VLOOKUP('Données projet'!$B$16,Paramètres!$A$1:$I$89,3,0)*VLOOKUP('Données projet'!$B$16,Paramètres!$A$1:$I$89,5,0)</f>
        <v>0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307.50573770128085</v>
      </c>
      <c r="FK148" s="59">
        <f t="shared" si="156"/>
        <v>300.2007312562655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21.039520133165475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21.039520133165475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69.169829969241803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>
        <f>FZ148*VLOOKUP('Données projet'!$B$17,Paramètres!$A$1:$I$89,3,0)*VLOOKUP('Données projet'!$B$17,Paramètres!$A$1:$I$89,5,0)</f>
        <v>0</v>
      </c>
      <c r="GB148" s="13" t="e">
        <f t="shared" si="157"/>
        <v>#NUM!</v>
      </c>
      <c r="GC148" s="20" t="e">
        <f t="shared" si="133"/>
        <v>#NUM!</v>
      </c>
      <c r="GD148" s="59" t="e">
        <f t="shared" si="134"/>
        <v>#NUM!</v>
      </c>
      <c r="GE148" s="59">
        <f ca="1">AVERAGE(OFFSET($GD$3,0,0,'Données projet'!$E$17+1,1))-AVERAGE(OFFSET($H$3,0,0,'Données projet'!$E$17+1,1))</f>
        <v>369.60865427618342</v>
      </c>
      <c r="GF148" s="59">
        <f t="shared" si="158"/>
        <v>359.40898775279197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26.048929688681074</v>
      </c>
      <c r="GM148" s="21">
        <f>EXP(-LN(2)/25)*GM147+(1-EXP(-LN(2)/25))/(LN(2)/25)*Calculateur!GH148*Calculateur!GJ148*VLOOKUP('Données projet'!$B$17,Paramètres!$A$1:$I$89,3,0)*0.475*44/12</f>
        <v>0</v>
      </c>
      <c r="GN148" s="21">
        <f>EXP(-LN(2)/2)*GN147+(1-EXP(-LN(2)/2))/(LN(2)/2)*GH148*GK148*VLOOKUP('Données projet'!$B$17,Paramètres!$A$1:$I$89,3,0)*0.475*44/12</f>
        <v>0</v>
      </c>
      <c r="GO148" s="21">
        <f t="shared" si="135"/>
        <v>26.048929688681074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69.169829969241803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-1.7053025658242404E-13</v>
      </c>
      <c r="GV148" s="17">
        <f>GU148*VLOOKUP('Données projet'!$B$18,Paramètres!$A$1:$I$89,3,0)*VLOOKUP('Données projet'!$B$18,Paramètres!$A$1:$I$89,5,0)</f>
        <v>-1.1173142411280423E-13</v>
      </c>
      <c r="GW148" s="13" t="e">
        <f t="shared" si="159"/>
        <v>#NUM!</v>
      </c>
      <c r="GX148" s="20" t="e">
        <f t="shared" si="136"/>
        <v>#NUM!</v>
      </c>
      <c r="GY148" s="59" t="e">
        <f t="shared" si="137"/>
        <v>#NUM!</v>
      </c>
      <c r="GZ148" s="59">
        <f ca="1">AVERAGE(OFFSET($GY$3,0,0,'Données projet'!$E$18+1,1))-AVERAGE(OFFSET($H$3,0,0,'Données projet'!$E$18+1,1))</f>
        <v>262.62914256200031</v>
      </c>
      <c r="HA148" s="59">
        <f t="shared" si="160"/>
        <v>256.45129229594409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projet'!$B$18,Paramètres!$A$1:$I$89,3,0)*0.475*44/12</f>
        <v>16.979200280971632</v>
      </c>
      <c r="HH148" s="21">
        <f>EXP(-LN(2)/25)*HH147+(1-EXP(-LN(2)/25))/(LN(2)/25)*Calculateur!HC148*Calculateur!HE148*VLOOKUP('Données projet'!$B$18,Paramètres!$A$1:$I$89,3,0)*0.475*44/12</f>
        <v>0</v>
      </c>
      <c r="HI148" s="21">
        <f>EXP(-LN(2)/2)*HI147+(1-EXP(-LN(2)/2))/(LN(2)/2)*HC148*HF148*VLOOKUP('Données projet'!$B$18,Paramètres!$A$1:$I$89,3,0)*0.475*44/12</f>
        <v>0</v>
      </c>
      <c r="HJ148" s="22">
        <f t="shared" si="138"/>
        <v>16.979200280971632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2.1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7.7</v>
      </c>
      <c r="H149" s="67">
        <f t="shared" si="110"/>
        <v>225.86666666666665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69.184231563293324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5.6843418860808015E-14</v>
      </c>
      <c r="O149" s="13">
        <f>N149*VLOOKUP('Données projet'!$B$9,Paramètres!$A$1:$I$89,3,0)*VLOOKUP('Données projet'!$B$9,Paramètres!$A$1:$I$89,5,0)</f>
        <v>4.8771653382573282E-14</v>
      </c>
      <c r="P149" s="13">
        <f t="shared" si="141"/>
        <v>7.9655698259503351E-13</v>
      </c>
      <c r="Q149" s="20">
        <f t="shared" si="108"/>
        <v>1.4722807076609983E-12</v>
      </c>
      <c r="R149" s="59">
        <f t="shared" si="109"/>
        <v>290.34218239874366</v>
      </c>
      <c r="S149" s="59">
        <f ca="1">AVERAGE(OFFSET($R$3,0,0,'Données projet'!$E$9+1,1))-AVERAGE(OFFSET($H$3,0,0,'Données projet'!$E$9+1,1))</f>
        <v>476.79071915271794</v>
      </c>
      <c r="T149" s="59">
        <f t="shared" si="142"/>
        <v>264.79929759351762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136.43281213633193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136.43281213633193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69.184231563293324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-9.5769792096689348E-14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365.104658862176</v>
      </c>
      <c r="AO149" s="59">
        <f t="shared" si="144"/>
        <v>226.29232910286325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77.606675359842427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77.606675359842427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69.184231563293324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-1.1368683772161603E-13</v>
      </c>
      <c r="BE149" s="13">
        <f>BD149*VLOOKUP('Données projet'!$B$11,Paramètres!$A$1:$I$89,3,0)*VLOOKUP('Données projet'!$B$11,Paramètres!$A$1:$I$89,5,0)</f>
        <v>-1.0286385077051818E-13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388.12494342575195</v>
      </c>
      <c r="BJ149" s="59">
        <f t="shared" si="146"/>
        <v>239.39471445648454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83.355317979090046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83.355317979090046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69.184231563293324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-1.1368683772161603E-13</v>
      </c>
      <c r="BZ149" s="13">
        <f>BY149*VLOOKUP('Données projet'!$B$12,Paramètres!$A$1:$I$89,3,0)*VLOOKUP('Données projet'!$B$12,Paramètres!$A$1:$I$89,5,0)</f>
        <v>-1.1527845344971866E-13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428.33148932885132</v>
      </c>
      <c r="CE149" s="59">
        <f t="shared" si="148"/>
        <v>262.27548054534373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93.415442562773265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93.415442562773265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69.184231563293324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-1.1368683772161603E-13</v>
      </c>
      <c r="CU149" s="17">
        <f>CT149*VLOOKUP('Données projet'!$B$13,Paramètres!$A$1:$I$89,3,0)*VLOOKUP('Données projet'!$B$13,Paramètres!$A$1:$I$89,5,0)</f>
        <v>-1.0818439477588981E-13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307.62549820830162</v>
      </c>
      <c r="CZ149" s="59">
        <f t="shared" si="150"/>
        <v>160.26466014910304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63.668631906014831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63.668631906014831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69.184231563293324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-1.7053025658242404E-13</v>
      </c>
      <c r="DP149" s="17">
        <f>DO149*VLOOKUP('Données projet'!$B$14,Paramètres!$A$1:$I$89,3,0)*VLOOKUP('Données projet'!$B$14,Paramètres!$A$1:$I$89,5,0)</f>
        <v>-1.3567387213697657E-13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309.14579005132464</v>
      </c>
      <c r="DU149" s="59">
        <f t="shared" si="152"/>
        <v>300.60311050289533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24.914069628398611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24.914069628398611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69.184231563293324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>
        <f>EJ149*VLOOKUP('Données projet'!$B$15,Paramètres!$A$1:$I$89,3,0)*VLOOKUP('Données projet'!$B$15,Paramètres!$A$1:$I$89,5,0)</f>
        <v>0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338.59243085476896</v>
      </c>
      <c r="EP149" s="59">
        <f t="shared" si="154"/>
        <v>329.8393445823275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23.082537020979281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23.082537020979281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69.184231563293324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>
        <f>FE149*VLOOKUP('Données projet'!$B$16,Paramètres!$A$1:$I$89,3,0)*VLOOKUP('Données projet'!$B$16,Paramètres!$A$1:$I$89,5,0)</f>
        <v>0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307.50573770128085</v>
      </c>
      <c r="FK149" s="59">
        <f t="shared" si="156"/>
        <v>300.2007312562655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20.626947976194245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20.626947976194245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69.184231563293324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>
        <f>FZ149*VLOOKUP('Données projet'!$B$17,Paramètres!$A$1:$I$89,3,0)*VLOOKUP('Données projet'!$B$17,Paramètres!$A$1:$I$89,5,0)</f>
        <v>0</v>
      </c>
      <c r="GB149" s="13" t="e">
        <f t="shared" si="157"/>
        <v>#NUM!</v>
      </c>
      <c r="GC149" s="20" t="e">
        <f t="shared" si="133"/>
        <v>#NUM!</v>
      </c>
      <c r="GD149" s="59" t="e">
        <f t="shared" si="134"/>
        <v>#NUM!</v>
      </c>
      <c r="GE149" s="59">
        <f ca="1">AVERAGE(OFFSET($GD$3,0,0,'Données projet'!$E$17+1,1))-AVERAGE(OFFSET($H$3,0,0,'Données projet'!$E$17+1,1))</f>
        <v>369.60865427618342</v>
      </c>
      <c r="GF149" s="59">
        <f t="shared" si="158"/>
        <v>359.40898775279197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25.53812606576431</v>
      </c>
      <c r="GM149" s="21">
        <f>EXP(-LN(2)/25)*GM148+(1-EXP(-LN(2)/25))/(LN(2)/25)*Calculateur!GH149*Calculateur!GJ149*VLOOKUP('Données projet'!$B$17,Paramètres!$A$1:$I$89,3,0)*0.475*44/12</f>
        <v>0</v>
      </c>
      <c r="GN149" s="21">
        <f>EXP(-LN(2)/2)*GN148+(1-EXP(-LN(2)/2))/(LN(2)/2)*GH149*GK149*VLOOKUP('Données projet'!$B$17,Paramètres!$A$1:$I$89,3,0)*0.475*44/12</f>
        <v>0</v>
      </c>
      <c r="GO149" s="21">
        <f t="shared" si="135"/>
        <v>25.53812606576431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69.184231563293324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-1.7053025658242404E-13</v>
      </c>
      <c r="GV149" s="17">
        <f>GU149*VLOOKUP('Données projet'!$B$18,Paramètres!$A$1:$I$89,3,0)*VLOOKUP('Données projet'!$B$18,Paramètres!$A$1:$I$89,5,0)</f>
        <v>-1.1173142411280423E-13</v>
      </c>
      <c r="GW149" s="13" t="e">
        <f t="shared" si="159"/>
        <v>#NUM!</v>
      </c>
      <c r="GX149" s="20" t="e">
        <f t="shared" si="136"/>
        <v>#NUM!</v>
      </c>
      <c r="GY149" s="59" t="e">
        <f t="shared" si="137"/>
        <v>#NUM!</v>
      </c>
      <c r="GZ149" s="59">
        <f ca="1">AVERAGE(OFFSET($GY$3,0,0,'Données projet'!$E$18+1,1))-AVERAGE(OFFSET($H$3,0,0,'Données projet'!$E$18+1,1))</f>
        <v>262.62914256200031</v>
      </c>
      <c r="HA149" s="59">
        <f t="shared" si="160"/>
        <v>256.45129229594409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projet'!$B$18,Paramètres!$A$1:$I$89,3,0)*0.475*44/12</f>
        <v>16.646248519751353</v>
      </c>
      <c r="HH149" s="21">
        <f>EXP(-LN(2)/25)*HH148+(1-EXP(-LN(2)/25))/(LN(2)/25)*Calculateur!HC149*Calculateur!HE149*VLOOKUP('Données projet'!$B$18,Paramètres!$A$1:$I$89,3,0)*0.475*44/12</f>
        <v>0</v>
      </c>
      <c r="HI149" s="21">
        <f>EXP(-LN(2)/2)*HI148+(1-EXP(-LN(2)/2))/(LN(2)/2)*HC149*HF149*VLOOKUP('Données projet'!$B$18,Paramètres!$A$1:$I$89,3,0)*0.475*44/12</f>
        <v>0</v>
      </c>
      <c r="HJ149" s="22">
        <f t="shared" si="138"/>
        <v>16.646248519751353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2.1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7.7</v>
      </c>
      <c r="H150" s="67">
        <f t="shared" si="110"/>
        <v>225.86666666666665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69.198383321885174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5.6843418860808015E-14</v>
      </c>
      <c r="O150" s="13">
        <f>N150*VLOOKUP('Données projet'!$B$9,Paramètres!$A$1:$I$89,3,0)*VLOOKUP('Données projet'!$B$9,Paramètres!$A$1:$I$89,5,0)</f>
        <v>4.8771653382573282E-14</v>
      </c>
      <c r="P150" s="13">
        <f t="shared" si="141"/>
        <v>7.9655698259503351E-13</v>
      </c>
      <c r="Q150" s="20">
        <f t="shared" si="108"/>
        <v>1.4722807076609983E-12</v>
      </c>
      <c r="R150" s="59">
        <f t="shared" si="109"/>
        <v>290.39407218024712</v>
      </c>
      <c r="S150" s="59">
        <f ca="1">AVERAGE(OFFSET($R$3,0,0,'Données projet'!$E$9+1,1))-AVERAGE(OFFSET($H$3,0,0,'Données projet'!$E$9+1,1))</f>
        <v>476.79071915271794</v>
      </c>
      <c r="T150" s="59">
        <f t="shared" si="142"/>
        <v>264.79929759351762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133.757447906137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133.757447906137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69.198383321885174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-9.5769792096689348E-14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365.104658862176</v>
      </c>
      <c r="AO150" s="59">
        <f t="shared" si="144"/>
        <v>226.29232910286325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76.08485579143391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76.08485579143391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69.198383321885174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-1.1368683772161603E-13</v>
      </c>
      <c r="BE150" s="13">
        <f>BD150*VLOOKUP('Données projet'!$B$11,Paramètres!$A$1:$I$89,3,0)*VLOOKUP('Données projet'!$B$11,Paramètres!$A$1:$I$89,5,0)</f>
        <v>-1.0286385077051818E-13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388.12494342575195</v>
      </c>
      <c r="BJ150" s="59">
        <f t="shared" si="146"/>
        <v>239.39471445648454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81.720771035243857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81.720771035243857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69.198383321885174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-1.1368683772161603E-13</v>
      </c>
      <c r="BZ150" s="13">
        <f>BY150*VLOOKUP('Données projet'!$B$12,Paramètres!$A$1:$I$89,3,0)*VLOOKUP('Données projet'!$B$12,Paramètres!$A$1:$I$89,5,0)</f>
        <v>-1.1527845344971866E-13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428.33148932885132</v>
      </c>
      <c r="CE150" s="59">
        <f t="shared" si="148"/>
        <v>262.27548054534373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91.583622711911161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91.583622711911161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69.198383321885174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-1.1368683772161603E-13</v>
      </c>
      <c r="CU150" s="17">
        <f>CT150*VLOOKUP('Données projet'!$B$13,Paramètres!$A$1:$I$89,3,0)*VLOOKUP('Données projet'!$B$13,Paramètres!$A$1:$I$89,5,0)</f>
        <v>-1.0818439477588981E-13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307.62549820830162</v>
      </c>
      <c r="CZ150" s="59">
        <f t="shared" si="150"/>
        <v>160.26466014910304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62.420128868368799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62.420128868368799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69.198383321885174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-1.7053025658242404E-13</v>
      </c>
      <c r="DP150" s="17">
        <f>DO150*VLOOKUP('Données projet'!$B$14,Paramètres!$A$1:$I$89,3,0)*VLOOKUP('Données projet'!$B$14,Paramètres!$A$1:$I$89,5,0)</f>
        <v>-1.3567387213697657E-13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309.14579005132464</v>
      </c>
      <c r="DU150" s="59">
        <f t="shared" si="152"/>
        <v>300.60311050289533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24.4255199190677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24.4255199190677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69.198383321885174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>
        <f>EJ150*VLOOKUP('Données projet'!$B$15,Paramètres!$A$1:$I$89,3,0)*VLOOKUP('Données projet'!$B$15,Paramètres!$A$1:$I$89,5,0)</f>
        <v>0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338.59243085476896</v>
      </c>
      <c r="EP150" s="59">
        <f t="shared" si="154"/>
        <v>329.8393445823275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22.629902548955279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22.629902548955279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69.198383321885174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>
        <f>FE150*VLOOKUP('Données projet'!$B$16,Paramètres!$A$1:$I$89,3,0)*VLOOKUP('Données projet'!$B$16,Paramètres!$A$1:$I$89,5,0)</f>
        <v>0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307.50573770128085</v>
      </c>
      <c r="FK150" s="59">
        <f t="shared" si="156"/>
        <v>300.2007312562655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20.222466107577052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20.222466107577052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69.198383321885174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>
        <f>FZ150*VLOOKUP('Données projet'!$B$17,Paramètres!$A$1:$I$89,3,0)*VLOOKUP('Données projet'!$B$17,Paramètres!$A$1:$I$89,5,0)</f>
        <v>0</v>
      </c>
      <c r="GB150" s="13" t="e">
        <f t="shared" si="157"/>
        <v>#NUM!</v>
      </c>
      <c r="GC150" s="20" t="e">
        <f t="shared" si="133"/>
        <v>#NUM!</v>
      </c>
      <c r="GD150" s="59" t="e">
        <f t="shared" si="134"/>
        <v>#NUM!</v>
      </c>
      <c r="GE150" s="59">
        <f ca="1">AVERAGE(OFFSET($GD$3,0,0,'Données projet'!$E$17+1,1))-AVERAGE(OFFSET($H$3,0,0,'Données projet'!$E$17+1,1))</f>
        <v>369.60865427618342</v>
      </c>
      <c r="GF150" s="59">
        <f t="shared" si="158"/>
        <v>359.40898775279197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25.037338990333499</v>
      </c>
      <c r="GM150" s="21">
        <f>EXP(-LN(2)/25)*GM149+(1-EXP(-LN(2)/25))/(LN(2)/25)*Calculateur!GH150*Calculateur!GJ150*VLOOKUP('Données projet'!$B$17,Paramètres!$A$1:$I$89,3,0)*0.475*44/12</f>
        <v>0</v>
      </c>
      <c r="GN150" s="21">
        <f>EXP(-LN(2)/2)*GN149+(1-EXP(-LN(2)/2))/(LN(2)/2)*GH150*GK150*VLOOKUP('Données projet'!$B$17,Paramètres!$A$1:$I$89,3,0)*0.475*44/12</f>
        <v>0</v>
      </c>
      <c r="GO150" s="21">
        <f t="shared" si="135"/>
        <v>25.037338990333499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69.198383321885174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-1.7053025658242404E-13</v>
      </c>
      <c r="GV150" s="17">
        <f>GU150*VLOOKUP('Données projet'!$B$18,Paramètres!$A$1:$I$89,3,0)*VLOOKUP('Données projet'!$B$18,Paramètres!$A$1:$I$89,5,0)</f>
        <v>-1.1173142411280423E-13</v>
      </c>
      <c r="GW150" s="13" t="e">
        <f t="shared" si="159"/>
        <v>#NUM!</v>
      </c>
      <c r="GX150" s="20" t="e">
        <f t="shared" si="136"/>
        <v>#NUM!</v>
      </c>
      <c r="GY150" s="59" t="e">
        <f t="shared" si="137"/>
        <v>#NUM!</v>
      </c>
      <c r="GZ150" s="59">
        <f ca="1">AVERAGE(OFFSET($GY$3,0,0,'Données projet'!$E$18+1,1))-AVERAGE(OFFSET($H$3,0,0,'Données projet'!$E$18+1,1))</f>
        <v>262.62914256200031</v>
      </c>
      <c r="HA150" s="59">
        <f t="shared" si="160"/>
        <v>256.45129229594409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projet'!$B$18,Paramètres!$A$1:$I$89,3,0)*0.475*44/12</f>
        <v>16.319825739488081</v>
      </c>
      <c r="HH150" s="21">
        <f>EXP(-LN(2)/25)*HH149+(1-EXP(-LN(2)/25))/(LN(2)/25)*Calculateur!HC150*Calculateur!HE150*VLOOKUP('Données projet'!$B$18,Paramètres!$A$1:$I$89,3,0)*0.475*44/12</f>
        <v>0</v>
      </c>
      <c r="HI150" s="21">
        <f>EXP(-LN(2)/2)*HI149+(1-EXP(-LN(2)/2))/(LN(2)/2)*HC150*HF150*VLOOKUP('Données projet'!$B$18,Paramètres!$A$1:$I$89,3,0)*0.475*44/12</f>
        <v>0</v>
      </c>
      <c r="HJ150" s="22">
        <f t="shared" si="138"/>
        <v>16.319825739488081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2.1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7.7</v>
      </c>
      <c r="H151" s="67">
        <f t="shared" si="110"/>
        <v>225.86666666666665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69.212289579104066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5.6843418860808015E-14</v>
      </c>
      <c r="O151" s="13">
        <f>N151*VLOOKUP('Données projet'!$B$9,Paramètres!$A$1:$I$89,3,0)*VLOOKUP('Données projet'!$B$9,Paramètres!$A$1:$I$89,5,0)</f>
        <v>4.8771653382573282E-14</v>
      </c>
      <c r="P151" s="13">
        <f t="shared" si="141"/>
        <v>7.9655698259503351E-13</v>
      </c>
      <c r="Q151" s="20">
        <f t="shared" si="108"/>
        <v>1.4722807076609983E-12</v>
      </c>
      <c r="R151" s="59">
        <f t="shared" si="109"/>
        <v>290.44506179004969</v>
      </c>
      <c r="S151" s="59">
        <f ca="1">AVERAGE(OFFSET($R$3,0,0,'Données projet'!$E$9+1,1))-AVERAGE(OFFSET($H$3,0,0,'Données projet'!$E$9+1,1))</f>
        <v>476.79071915271794</v>
      </c>
      <c r="T151" s="59">
        <f t="shared" si="142"/>
        <v>264.79929759351762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131.13454593668513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131.13454593668513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69.212289579104066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-9.5769792096689348E-14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365.104658862176</v>
      </c>
      <c r="AO151" s="59">
        <f t="shared" si="144"/>
        <v>226.29232910286325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74.592878176543593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74.592878176543593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69.212289579104066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-1.1368683772161603E-13</v>
      </c>
      <c r="BE151" s="13">
        <f>BD151*VLOOKUP('Données projet'!$B$11,Paramètres!$A$1:$I$89,3,0)*VLOOKUP('Données projet'!$B$11,Paramètres!$A$1:$I$89,5,0)</f>
        <v>-1.0286385077051818E-13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388.12494342575195</v>
      </c>
      <c r="BJ151" s="59">
        <f t="shared" si="146"/>
        <v>239.39471445648454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80.118276559991301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80.118276559991301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69.212289579104066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-1.1368683772161603E-13</v>
      </c>
      <c r="BZ151" s="13">
        <f>BY151*VLOOKUP('Données projet'!$B$12,Paramètres!$A$1:$I$89,3,0)*VLOOKUP('Données projet'!$B$12,Paramètres!$A$1:$I$89,5,0)</f>
        <v>-1.1527845344971866E-13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428.33148932885132</v>
      </c>
      <c r="CE151" s="59">
        <f t="shared" si="148"/>
        <v>262.27548054534373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89.78772373102467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89.78772373102467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69.212289579104066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-1.1368683772161603E-13</v>
      </c>
      <c r="CU151" s="17">
        <f>CT151*VLOOKUP('Données projet'!$B$13,Paramètres!$A$1:$I$89,3,0)*VLOOKUP('Données projet'!$B$13,Paramètres!$A$1:$I$89,5,0)</f>
        <v>-1.0818439477588981E-13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307.62549820830162</v>
      </c>
      <c r="CZ151" s="59">
        <f t="shared" si="150"/>
        <v>160.26466014910304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61.196108213779347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61.196108213779347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69.212289579104066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-1.7053025658242404E-13</v>
      </c>
      <c r="DP151" s="17">
        <f>DO151*VLOOKUP('Données projet'!$B$14,Paramètres!$A$1:$I$89,3,0)*VLOOKUP('Données projet'!$B$14,Paramètres!$A$1:$I$89,5,0)</f>
        <v>-1.3567387213697657E-13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309.14579005132464</v>
      </c>
      <c r="DU151" s="59">
        <f t="shared" si="152"/>
        <v>300.60311050289533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23.946550371550867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23.946550371550867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69.212289579104066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>
        <f>EJ151*VLOOKUP('Données projet'!$B$15,Paramètres!$A$1:$I$89,3,0)*VLOOKUP('Données projet'!$B$15,Paramètres!$A$1:$I$89,5,0)</f>
        <v>0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338.59243085476896</v>
      </c>
      <c r="EP151" s="59">
        <f t="shared" si="154"/>
        <v>329.8393445823275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22.1861439628479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22.1861439628479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69.212289579104066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>
        <f>FE151*VLOOKUP('Données projet'!$B$16,Paramètres!$A$1:$I$89,3,0)*VLOOKUP('Données projet'!$B$16,Paramètres!$A$1:$I$89,5,0)</f>
        <v>0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307.50573770128085</v>
      </c>
      <c r="FK151" s="59">
        <f t="shared" si="156"/>
        <v>300.2007312562655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19.825915881693863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19.825915881693863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69.212289579104066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>
        <f>FZ151*VLOOKUP('Données projet'!$B$17,Paramètres!$A$1:$I$89,3,0)*VLOOKUP('Données projet'!$B$17,Paramètres!$A$1:$I$89,5,0)</f>
        <v>0</v>
      </c>
      <c r="GB151" s="13" t="e">
        <f t="shared" si="157"/>
        <v>#NUM!</v>
      </c>
      <c r="GC151" s="20" t="e">
        <f t="shared" si="133"/>
        <v>#NUM!</v>
      </c>
      <c r="GD151" s="59" t="e">
        <f t="shared" si="134"/>
        <v>#NUM!</v>
      </c>
      <c r="GE151" s="59">
        <f ca="1">AVERAGE(OFFSET($GD$3,0,0,'Données projet'!$E$17+1,1))-AVERAGE(OFFSET($H$3,0,0,'Données projet'!$E$17+1,1))</f>
        <v>369.60865427618342</v>
      </c>
      <c r="GF151" s="59">
        <f t="shared" si="158"/>
        <v>359.40898775279197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24.546372044001931</v>
      </c>
      <c r="GM151" s="21">
        <f>EXP(-LN(2)/25)*GM150+(1-EXP(-LN(2)/25))/(LN(2)/25)*Calculateur!GH151*Calculateur!GJ151*VLOOKUP('Données projet'!$B$17,Paramètres!$A$1:$I$89,3,0)*0.475*44/12</f>
        <v>0</v>
      </c>
      <c r="GN151" s="21">
        <f>EXP(-LN(2)/2)*GN150+(1-EXP(-LN(2)/2))/(LN(2)/2)*GH151*GK151*VLOOKUP('Données projet'!$B$17,Paramètres!$A$1:$I$89,3,0)*0.475*44/12</f>
        <v>0</v>
      </c>
      <c r="GO151" s="21">
        <f t="shared" si="135"/>
        <v>24.546372044001931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69.212289579104066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-1.7053025658242404E-13</v>
      </c>
      <c r="GV151" s="17">
        <f>GU151*VLOOKUP('Données projet'!$B$18,Paramètres!$A$1:$I$89,3,0)*VLOOKUP('Données projet'!$B$18,Paramètres!$A$1:$I$89,5,0)</f>
        <v>-1.1173142411280423E-13</v>
      </c>
      <c r="GW151" s="13" t="e">
        <f t="shared" si="159"/>
        <v>#NUM!</v>
      </c>
      <c r="GX151" s="20" t="e">
        <f t="shared" si="136"/>
        <v>#NUM!</v>
      </c>
      <c r="GY151" s="59" t="e">
        <f t="shared" si="137"/>
        <v>#NUM!</v>
      </c>
      <c r="GZ151" s="59">
        <f ca="1">AVERAGE(OFFSET($GY$3,0,0,'Données projet'!$E$18+1,1))-AVERAGE(OFFSET($H$3,0,0,'Données projet'!$E$18+1,1))</f>
        <v>262.62914256200031</v>
      </c>
      <c r="HA151" s="59">
        <f t="shared" si="160"/>
        <v>256.45129229594409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projet'!$B$18,Paramètres!$A$1:$I$89,3,0)*0.475*44/12</f>
        <v>15.999803910847534</v>
      </c>
      <c r="HH151" s="21">
        <f>EXP(-LN(2)/25)*HH150+(1-EXP(-LN(2)/25))/(LN(2)/25)*Calculateur!HC151*Calculateur!HE151*VLOOKUP('Données projet'!$B$18,Paramètres!$A$1:$I$89,3,0)*0.475*44/12</f>
        <v>0</v>
      </c>
      <c r="HI151" s="21">
        <f>EXP(-LN(2)/2)*HI150+(1-EXP(-LN(2)/2))/(LN(2)/2)*HC151*HF151*VLOOKUP('Données projet'!$B$18,Paramètres!$A$1:$I$89,3,0)*0.475*44/12</f>
        <v>0</v>
      </c>
      <c r="HJ151" s="22">
        <f t="shared" si="138"/>
        <v>15.999803910847534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2.1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7.7</v>
      </c>
      <c r="H152" s="67">
        <f t="shared" si="110"/>
        <v>225.86666666666665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69.225954593849934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5.6843418860808015E-14</v>
      </c>
      <c r="O152" s="13">
        <f>N152*VLOOKUP('Données projet'!$B$9,Paramètres!$A$1:$I$89,3,0)*VLOOKUP('Données projet'!$B$9,Paramètres!$A$1:$I$89,5,0)</f>
        <v>4.8771653382573282E-14</v>
      </c>
      <c r="P152" s="13">
        <f t="shared" si="141"/>
        <v>7.9655698259503351E-13</v>
      </c>
      <c r="Q152" s="20">
        <f t="shared" si="108"/>
        <v>1.4722807076609983E-12</v>
      </c>
      <c r="R152" s="59">
        <f t="shared" si="109"/>
        <v>290.49516684411793</v>
      </c>
      <c r="S152" s="59">
        <f ca="1">AVERAGE(OFFSET($R$3,0,0,'Données projet'!$E$9+1,1))-AVERAGE(OFFSET($H$3,0,0,'Données projet'!$E$9+1,1))</f>
        <v>476.79071915271794</v>
      </c>
      <c r="T152" s="59">
        <f t="shared" si="142"/>
        <v>264.79929759351762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128.56307747504198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128.56307747504198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69.225954593849934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-9.5769792096689348E-14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365.104658862176</v>
      </c>
      <c r="AO152" s="59">
        <f t="shared" si="144"/>
        <v>226.29232910286325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73.130157332664794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73.130157332664794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69.225954593849934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-1.1368683772161603E-13</v>
      </c>
      <c r="BE152" s="13">
        <f>BD152*VLOOKUP('Données projet'!$B$11,Paramètres!$A$1:$I$89,3,0)*VLOOKUP('Données projet'!$B$11,Paramètres!$A$1:$I$89,5,0)</f>
        <v>-1.0286385077051818E-13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388.12494342575195</v>
      </c>
      <c r="BJ152" s="59">
        <f t="shared" si="146"/>
        <v>239.39471445648454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78.547206023973331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78.547206023973331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69.225954593849934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-1.1368683772161603E-13</v>
      </c>
      <c r="BZ152" s="13">
        <f>BY152*VLOOKUP('Données projet'!$B$12,Paramètres!$A$1:$I$89,3,0)*VLOOKUP('Données projet'!$B$12,Paramètres!$A$1:$I$89,5,0)</f>
        <v>-1.1527845344971866E-13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428.33148932885132</v>
      </c>
      <c r="CE152" s="59">
        <f t="shared" si="148"/>
        <v>262.27548054534373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88.027041233763143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88.027041233763143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69.225954593849934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-1.1368683772161603E-13</v>
      </c>
      <c r="CU152" s="17">
        <f>CT152*VLOOKUP('Données projet'!$B$13,Paramètres!$A$1:$I$89,3,0)*VLOOKUP('Données projet'!$B$13,Paramètres!$A$1:$I$89,5,0)</f>
        <v>-1.0818439477588981E-13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307.62549820830162</v>
      </c>
      <c r="CZ152" s="59">
        <f t="shared" si="150"/>
        <v>160.26466014910304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59.996089857647512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59.996089857647512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69.225954593849934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-1.7053025658242404E-13</v>
      </c>
      <c r="DP152" s="17">
        <f>DO152*VLOOKUP('Données projet'!$B$14,Paramètres!$A$1:$I$89,3,0)*VLOOKUP('Données projet'!$B$14,Paramètres!$A$1:$I$89,5,0)</f>
        <v>-1.3567387213697657E-13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309.14579005132464</v>
      </c>
      <c r="DU152" s="59">
        <f t="shared" si="152"/>
        <v>300.60311050289533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23.476973124718263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23.476973124718263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69.225954593849934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>
        <f>EJ152*VLOOKUP('Données projet'!$B$15,Paramètres!$A$1:$I$89,3,0)*VLOOKUP('Données projet'!$B$15,Paramètres!$A$1:$I$89,5,0)</f>
        <v>0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338.59243085476896</v>
      </c>
      <c r="EP152" s="59">
        <f t="shared" si="154"/>
        <v>329.8393445823275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21.751087211948075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21.751087211948075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69.225954593849934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>
        <f>FE152*VLOOKUP('Données projet'!$B$16,Paramètres!$A$1:$I$89,3,0)*VLOOKUP('Données projet'!$B$16,Paramètres!$A$1:$I$89,5,0)</f>
        <v>0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307.50573770128085</v>
      </c>
      <c r="FK152" s="59">
        <f t="shared" si="156"/>
        <v>300.2007312562655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19.437141763868489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19.437141763868489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69.225954593849934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>
        <f>FZ152*VLOOKUP('Données projet'!$B$17,Paramètres!$A$1:$I$89,3,0)*VLOOKUP('Données projet'!$B$17,Paramètres!$A$1:$I$89,5,0)</f>
        <v>0</v>
      </c>
      <c r="GB152" s="13" t="e">
        <f t="shared" si="157"/>
        <v>#NUM!</v>
      </c>
      <c r="GC152" s="20" t="e">
        <f t="shared" si="133"/>
        <v>#NUM!</v>
      </c>
      <c r="GD152" s="59" t="e">
        <f t="shared" si="134"/>
        <v>#NUM!</v>
      </c>
      <c r="GE152" s="59">
        <f ca="1">AVERAGE(OFFSET($GD$3,0,0,'Données projet'!$E$17+1,1))-AVERAGE(OFFSET($H$3,0,0,'Données projet'!$E$17+1,1))</f>
        <v>369.60865427618342</v>
      </c>
      <c r="GF152" s="59">
        <f t="shared" si="158"/>
        <v>359.40898775279197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24.065032660027658</v>
      </c>
      <c r="GM152" s="21">
        <f>EXP(-LN(2)/25)*GM151+(1-EXP(-LN(2)/25))/(LN(2)/25)*Calculateur!GH152*Calculateur!GJ152*VLOOKUP('Données projet'!$B$17,Paramètres!$A$1:$I$89,3,0)*0.475*44/12</f>
        <v>0</v>
      </c>
      <c r="GN152" s="21">
        <f>EXP(-LN(2)/2)*GN151+(1-EXP(-LN(2)/2))/(LN(2)/2)*GH152*GK152*VLOOKUP('Données projet'!$B$17,Paramètres!$A$1:$I$89,3,0)*0.475*44/12</f>
        <v>0</v>
      </c>
      <c r="GO152" s="21">
        <f t="shared" si="135"/>
        <v>24.065032660027658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69.225954593849934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-1.7053025658242404E-13</v>
      </c>
      <c r="GV152" s="17">
        <f>GU152*VLOOKUP('Données projet'!$B$18,Paramètres!$A$1:$I$89,3,0)*VLOOKUP('Données projet'!$B$18,Paramètres!$A$1:$I$89,5,0)</f>
        <v>-1.1173142411280423E-13</v>
      </c>
      <c r="GW152" s="13" t="e">
        <f t="shared" si="159"/>
        <v>#NUM!</v>
      </c>
      <c r="GX152" s="20" t="e">
        <f t="shared" si="136"/>
        <v>#NUM!</v>
      </c>
      <c r="GY152" s="59" t="e">
        <f t="shared" si="137"/>
        <v>#NUM!</v>
      </c>
      <c r="GZ152" s="59">
        <f ca="1">AVERAGE(OFFSET($GY$3,0,0,'Données projet'!$E$18+1,1))-AVERAGE(OFFSET($H$3,0,0,'Données projet'!$E$18+1,1))</f>
        <v>262.62914256200031</v>
      </c>
      <c r="HA152" s="59">
        <f t="shared" si="160"/>
        <v>256.45129229594409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projet'!$B$18,Paramètres!$A$1:$I$89,3,0)*0.475*44/12</f>
        <v>15.686057515072587</v>
      </c>
      <c r="HH152" s="21">
        <f>EXP(-LN(2)/25)*HH151+(1-EXP(-LN(2)/25))/(LN(2)/25)*Calculateur!HC152*Calculateur!HE152*VLOOKUP('Données projet'!$B$18,Paramètres!$A$1:$I$89,3,0)*0.475*44/12</f>
        <v>0</v>
      </c>
      <c r="HI152" s="21">
        <f>EXP(-LN(2)/2)*HI151+(1-EXP(-LN(2)/2))/(LN(2)/2)*HC152*HF152*VLOOKUP('Données projet'!$B$18,Paramètres!$A$1:$I$89,3,0)*0.475*44/12</f>
        <v>0</v>
      </c>
      <c r="HJ152" s="22">
        <f t="shared" si="138"/>
        <v>15.686057515072587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2.1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7.7</v>
      </c>
      <c r="H153" s="67">
        <f t="shared" si="110"/>
        <v>225.86666666666665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69.239382551140352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5.6843418860808015E-14</v>
      </c>
      <c r="O153" s="13">
        <f>N153*VLOOKUP('Données projet'!$B$9,Paramètres!$A$1:$I$89,3,0)*VLOOKUP('Données projet'!$B$9,Paramètres!$A$1:$I$89,5,0)</f>
        <v>4.8771653382573282E-14</v>
      </c>
      <c r="P153" s="13">
        <f t="shared" si="141"/>
        <v>7.9655698259503351E-13</v>
      </c>
      <c r="Q153" s="20">
        <f t="shared" si="108"/>
        <v>1.4722807076609983E-12</v>
      </c>
      <c r="R153" s="59">
        <f t="shared" si="109"/>
        <v>290.54440268751608</v>
      </c>
      <c r="S153" s="59">
        <f ca="1">AVERAGE(OFFSET($R$3,0,0,'Données projet'!$E$9+1,1))-AVERAGE(OFFSET($H$3,0,0,'Données projet'!$E$9+1,1))</f>
        <v>476.79071915271794</v>
      </c>
      <c r="T153" s="59">
        <f t="shared" si="142"/>
        <v>264.79929759351762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126.04203394149076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126.04203394149076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69.239382551140352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-9.5769792096689348E-14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365.104658862176</v>
      </c>
      <c r="AO153" s="59">
        <f t="shared" si="144"/>
        <v>226.29232910286325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71.696119552362831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71.696119552362831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69.239382551140352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-1.1368683772161603E-13</v>
      </c>
      <c r="BE153" s="13">
        <f>BD153*VLOOKUP('Données projet'!$B$11,Paramètres!$A$1:$I$89,3,0)*VLOOKUP('Données projet'!$B$11,Paramètres!$A$1:$I$89,5,0)</f>
        <v>-1.0286385077051818E-13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388.12494342575195</v>
      </c>
      <c r="BJ153" s="59">
        <f t="shared" si="146"/>
        <v>239.39471445648454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77.006943222908262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77.006943222908262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69.239382551140352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-1.1368683772161603E-13</v>
      </c>
      <c r="BZ153" s="13">
        <f>BY153*VLOOKUP('Données projet'!$B$12,Paramètres!$A$1:$I$89,3,0)*VLOOKUP('Données projet'!$B$12,Paramètres!$A$1:$I$89,5,0)</f>
        <v>-1.1527845344971866E-13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428.33148932885132</v>
      </c>
      <c r="CE153" s="59">
        <f t="shared" si="148"/>
        <v>262.27548054534373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86.300884646362633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86.300884646362633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69.239382551140352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-1.1368683772161603E-13</v>
      </c>
      <c r="CU153" s="17">
        <f>CT153*VLOOKUP('Données projet'!$B$13,Paramètres!$A$1:$I$89,3,0)*VLOOKUP('Données projet'!$B$13,Paramètres!$A$1:$I$89,5,0)</f>
        <v>-1.0818439477588981E-13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307.62549820830162</v>
      </c>
      <c r="CZ153" s="59">
        <f t="shared" si="150"/>
        <v>160.26466014910304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58.819603129540496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58.819603129540496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69.239382551140352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-1.7053025658242404E-13</v>
      </c>
      <c r="DP153" s="17">
        <f>DO153*VLOOKUP('Données projet'!$B$14,Paramètres!$A$1:$I$89,3,0)*VLOOKUP('Données projet'!$B$14,Paramètres!$A$1:$I$89,5,0)</f>
        <v>-1.3567387213697657E-13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309.14579005132464</v>
      </c>
      <c r="DU153" s="59">
        <f t="shared" si="152"/>
        <v>300.60311050289533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23.016604001282207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23.016604001282207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69.239382551140352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>
        <f>EJ153*VLOOKUP('Données projet'!$B$15,Paramètres!$A$1:$I$89,3,0)*VLOOKUP('Données projet'!$B$15,Paramètres!$A$1:$I$89,5,0)</f>
        <v>0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338.59243085476896</v>
      </c>
      <c r="EP153" s="59">
        <f t="shared" si="154"/>
        <v>329.8393445823275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21.324561658574979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21.324561658574979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69.239382551140352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>
        <f>FE153*VLOOKUP('Données projet'!$B$16,Paramètres!$A$1:$I$89,3,0)*VLOOKUP('Données projet'!$B$16,Paramètres!$A$1:$I$89,5,0)</f>
        <v>0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307.50573770128085</v>
      </c>
      <c r="FK153" s="59">
        <f t="shared" si="156"/>
        <v>300.2007312562655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19.055991269364871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19.055991269364871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69.239382551140352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>
        <f>FZ153*VLOOKUP('Données projet'!$B$17,Paramètres!$A$1:$I$89,3,0)*VLOOKUP('Données projet'!$B$17,Paramètres!$A$1:$I$89,5,0)</f>
        <v>0</v>
      </c>
      <c r="GB153" s="13" t="e">
        <f t="shared" si="157"/>
        <v>#NUM!</v>
      </c>
      <c r="GC153" s="20" t="e">
        <f t="shared" si="133"/>
        <v>#NUM!</v>
      </c>
      <c r="GD153" s="59" t="e">
        <f t="shared" si="134"/>
        <v>#NUM!</v>
      </c>
      <c r="GE153" s="59">
        <f ca="1">AVERAGE(OFFSET($GD$3,0,0,'Données projet'!$E$17+1,1))-AVERAGE(OFFSET($H$3,0,0,'Données projet'!$E$17+1,1))</f>
        <v>369.60865427618342</v>
      </c>
      <c r="GF153" s="59">
        <f t="shared" si="158"/>
        <v>359.40898775279197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23.593132047785083</v>
      </c>
      <c r="GM153" s="21">
        <f>EXP(-LN(2)/25)*GM152+(1-EXP(-LN(2)/25))/(LN(2)/25)*Calculateur!GH153*Calculateur!GJ153*VLOOKUP('Données projet'!$B$17,Paramètres!$A$1:$I$89,3,0)*0.475*44/12</f>
        <v>0</v>
      </c>
      <c r="GN153" s="21">
        <f>EXP(-LN(2)/2)*GN152+(1-EXP(-LN(2)/2))/(LN(2)/2)*GH153*GK153*VLOOKUP('Données projet'!$B$17,Paramètres!$A$1:$I$89,3,0)*0.475*44/12</f>
        <v>0</v>
      </c>
      <c r="GO153" s="21">
        <f t="shared" si="135"/>
        <v>23.593132047785083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69.239382551140352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-1.7053025658242404E-13</v>
      </c>
      <c r="GV153" s="17">
        <f>GU153*VLOOKUP('Données projet'!$B$18,Paramètres!$A$1:$I$89,3,0)*VLOOKUP('Données projet'!$B$18,Paramètres!$A$1:$I$89,5,0)</f>
        <v>-1.1173142411280423E-13</v>
      </c>
      <c r="GW153" s="13" t="e">
        <f t="shared" si="159"/>
        <v>#NUM!</v>
      </c>
      <c r="GX153" s="20" t="e">
        <f t="shared" si="136"/>
        <v>#NUM!</v>
      </c>
      <c r="GY153" s="59" t="e">
        <f t="shared" si="137"/>
        <v>#NUM!</v>
      </c>
      <c r="GZ153" s="59">
        <f ca="1">AVERAGE(OFFSET($GY$3,0,0,'Données projet'!$E$18+1,1))-AVERAGE(OFFSET($H$3,0,0,'Données projet'!$E$18+1,1))</f>
        <v>262.62914256200031</v>
      </c>
      <c r="HA153" s="59">
        <f t="shared" si="160"/>
        <v>256.45129229594409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projet'!$B$18,Paramètres!$A$1:$I$89,3,0)*0.475*44/12</f>
        <v>15.378463494752381</v>
      </c>
      <c r="HH153" s="21">
        <f>EXP(-LN(2)/25)*HH152+(1-EXP(-LN(2)/25))/(LN(2)/25)*Calculateur!HC153*Calculateur!HE153*VLOOKUP('Données projet'!$B$18,Paramètres!$A$1:$I$89,3,0)*0.475*44/12</f>
        <v>0</v>
      </c>
      <c r="HI153" s="21">
        <f>EXP(-LN(2)/2)*HI152+(1-EXP(-LN(2)/2))/(LN(2)/2)*HC153*HF153*VLOOKUP('Données projet'!$B$18,Paramètres!$A$1:$I$89,3,0)*0.475*44/12</f>
        <v>0</v>
      </c>
      <c r="HJ153" s="22">
        <f t="shared" si="138"/>
        <v>15.378463494752381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2.1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7.7</v>
      </c>
      <c r="H154" s="67">
        <f t="shared" si="110"/>
        <v>225.86666666666665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69.252577563392208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5.6843418860808015E-14</v>
      </c>
      <c r="O154" s="13">
        <f>N154*VLOOKUP('Données projet'!$B$9,Paramètres!$A$1:$I$89,3,0)*VLOOKUP('Données projet'!$B$9,Paramètres!$A$1:$I$89,5,0)</f>
        <v>4.8771653382573282E-14</v>
      </c>
      <c r="P154" s="13">
        <f t="shared" si="141"/>
        <v>7.9655698259503351E-13</v>
      </c>
      <c r="Q154" s="20">
        <f t="shared" ref="Q154:Q203" si="162">(O154+P154)*0.475*44/12</f>
        <v>1.4722807076609983E-12</v>
      </c>
      <c r="R154" s="59">
        <f t="shared" si="109"/>
        <v>290.59278439910628</v>
      </c>
      <c r="S154" s="59">
        <f ca="1">AVERAGE(OFFSET($R$3,0,0,'Données projet'!$E$9+1,1))-AVERAGE(OFFSET($H$3,0,0,'Données projet'!$E$9+1,1))</f>
        <v>476.79071915271794</v>
      </c>
      <c r="T154" s="59">
        <f t="shared" si="142"/>
        <v>264.79929759351762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123.57042653394775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123.57042653394775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69.252577563392208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-9.5769792096689348E-14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365.104658862176</v>
      </c>
      <c r="AO154" s="59">
        <f t="shared" si="144"/>
        <v>226.29232910286325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70.290202378255913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70.290202378255913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69.252577563392208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-1.1368683772161603E-13</v>
      </c>
      <c r="BE154" s="13">
        <f>BD154*VLOOKUP('Données projet'!$B$11,Paramètres!$A$1:$I$89,3,0)*VLOOKUP('Données projet'!$B$11,Paramètres!$A$1:$I$89,5,0)</f>
        <v>-1.0286385077051818E-13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388.12494342575195</v>
      </c>
      <c r="BJ154" s="59">
        <f t="shared" si="146"/>
        <v>239.39471445648454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75.496884035904529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75.496884035904529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69.252577563392208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-1.1368683772161603E-13</v>
      </c>
      <c r="BZ154" s="13">
        <f>BY154*VLOOKUP('Données projet'!$B$12,Paramètres!$A$1:$I$89,3,0)*VLOOKUP('Données projet'!$B$12,Paramètres!$A$1:$I$89,5,0)</f>
        <v>-1.1527845344971866E-13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428.33148932885132</v>
      </c>
      <c r="CE154" s="59">
        <f t="shared" si="148"/>
        <v>262.27548054534373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84.60857693678949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84.60857693678949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69.252577563392208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-1.1368683772161603E-13</v>
      </c>
      <c r="CU154" s="17">
        <f>CT154*VLOOKUP('Données projet'!$B$13,Paramètres!$A$1:$I$89,3,0)*VLOOKUP('Données projet'!$B$13,Paramètres!$A$1:$I$89,5,0)</f>
        <v>-1.0818439477588981E-13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307.62549820830162</v>
      </c>
      <c r="CZ154" s="59">
        <f t="shared" si="150"/>
        <v>160.26466014910304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57.666186588585617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57.666186588585617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69.252577563392208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-1.7053025658242404E-13</v>
      </c>
      <c r="DP154" s="17">
        <f>DO154*VLOOKUP('Données projet'!$B$14,Paramètres!$A$1:$I$89,3,0)*VLOOKUP('Données projet'!$B$14,Paramètres!$A$1:$I$89,5,0)</f>
        <v>-1.3567387213697657E-13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309.14579005132464</v>
      </c>
      <c r="DU154" s="59">
        <f t="shared" si="152"/>
        <v>300.60311050289533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22.565262435559294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22.565262435559294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69.252577563392208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>
        <f>EJ154*VLOOKUP('Données projet'!$B$15,Paramètres!$A$1:$I$89,3,0)*VLOOKUP('Données projet'!$B$15,Paramètres!$A$1:$I$89,5,0)</f>
        <v>0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338.59243085476896</v>
      </c>
      <c r="EP154" s="59">
        <f t="shared" si="154"/>
        <v>329.8393445823275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20.90640001114863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20.90640001114863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69.252577563392208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>
        <f>FE154*VLOOKUP('Données projet'!$B$16,Paramètres!$A$1:$I$89,3,0)*VLOOKUP('Données projet'!$B$16,Paramètres!$A$1:$I$89,5,0)</f>
        <v>0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307.50573770128085</v>
      </c>
      <c r="FK154" s="59">
        <f t="shared" si="156"/>
        <v>300.2007312562655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18.682314903579623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18.682314903579623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69.252577563392208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>
        <f>FZ154*VLOOKUP('Données projet'!$B$17,Paramètres!$A$1:$I$89,3,0)*VLOOKUP('Données projet'!$B$17,Paramètres!$A$1:$I$89,5,0)</f>
        <v>0</v>
      </c>
      <c r="GB154" s="13" t="e">
        <f t="shared" ref="GB154:GB203" si="185">EXP(-1.0587+0.8836*LN(GA154)+0.284)</f>
        <v>#NUM!</v>
      </c>
      <c r="GC154" s="20" t="e">
        <f t="shared" ref="GC154:GC203" si="186">(GA154+GB154)*0.475*44/12</f>
        <v>#NUM!</v>
      </c>
      <c r="GD154" s="59" t="e">
        <f t="shared" si="134"/>
        <v>#NUM!</v>
      </c>
      <c r="GE154" s="59">
        <f ca="1">AVERAGE(OFFSET($GD$3,0,0,'Données projet'!$E$17+1,1))-AVERAGE(OFFSET($H$3,0,0,'Données projet'!$E$17+1,1))</f>
        <v>369.60865427618342</v>
      </c>
      <c r="GF154" s="59">
        <f t="shared" si="158"/>
        <v>359.40898775279197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23.130485118717633</v>
      </c>
      <c r="GM154" s="21">
        <f>EXP(-LN(2)/25)*GM153+(1-EXP(-LN(2)/25))/(LN(2)/25)*Calculateur!GH154*Calculateur!GJ154*VLOOKUP('Données projet'!$B$17,Paramètres!$A$1:$I$89,3,0)*0.475*44/12</f>
        <v>0</v>
      </c>
      <c r="GN154" s="21">
        <f>EXP(-LN(2)/2)*GN153+(1-EXP(-LN(2)/2))/(LN(2)/2)*GH154*GK154*VLOOKUP('Données projet'!$B$17,Paramètres!$A$1:$I$89,3,0)*0.475*44/12</f>
        <v>0</v>
      </c>
      <c r="GO154" s="21">
        <f t="shared" ref="GO154:GO203" si="187">SUM(GL154:GN154)</f>
        <v>23.130485118717633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69.252577563392208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-1.7053025658242404E-13</v>
      </c>
      <c r="GV154" s="17">
        <f>GU154*VLOOKUP('Données projet'!$B$18,Paramètres!$A$1:$I$89,3,0)*VLOOKUP('Données projet'!$B$18,Paramètres!$A$1:$I$89,5,0)</f>
        <v>-1.1173142411280423E-13</v>
      </c>
      <c r="GW154" s="13" t="e">
        <f t="shared" ref="GW154:GW203" si="188">EXP(-1.0587+0.8836*LN(GV154)+0.284)</f>
        <v>#NUM!</v>
      </c>
      <c r="GX154" s="20" t="e">
        <f t="shared" ref="GX154:GX203" si="189">(GV154+GW154)*0.475*44/12</f>
        <v>#NUM!</v>
      </c>
      <c r="GY154" s="59" t="e">
        <f t="shared" si="137"/>
        <v>#NUM!</v>
      </c>
      <c r="GZ154" s="59">
        <f ca="1">AVERAGE(OFFSET($GY$3,0,0,'Données projet'!$E$18+1,1))-AVERAGE(OFFSET($H$3,0,0,'Données projet'!$E$18+1,1))</f>
        <v>262.62914256200031</v>
      </c>
      <c r="HA154" s="59">
        <f t="shared" si="160"/>
        <v>256.45129229594409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projet'!$B$18,Paramètres!$A$1:$I$89,3,0)*0.475*44/12</f>
        <v>15.076901205556828</v>
      </c>
      <c r="HH154" s="21">
        <f>EXP(-LN(2)/25)*HH153+(1-EXP(-LN(2)/25))/(LN(2)/25)*Calculateur!HC154*Calculateur!HE154*VLOOKUP('Données projet'!$B$18,Paramètres!$A$1:$I$89,3,0)*0.475*44/12</f>
        <v>0</v>
      </c>
      <c r="HI154" s="21">
        <f>EXP(-LN(2)/2)*HI153+(1-EXP(-LN(2)/2))/(LN(2)/2)*HC154*HF154*VLOOKUP('Données projet'!$B$18,Paramètres!$A$1:$I$89,3,0)*0.475*44/12</f>
        <v>0</v>
      </c>
      <c r="HJ154" s="22">
        <f t="shared" ref="HJ154:HJ203" si="190">SUM(HG154:HI154)</f>
        <v>15.076901205556828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2.1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7.7</v>
      </c>
      <c r="H155" s="67">
        <f t="shared" si="110"/>
        <v>225.86666666666665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69.265543671681115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5.6843418860808015E-14</v>
      </c>
      <c r="O155" s="13">
        <f>N155*VLOOKUP('Données projet'!$B$9,Paramètres!$A$1:$I$89,3,0)*VLOOKUP('Données projet'!$B$9,Paramètres!$A$1:$I$89,5,0)</f>
        <v>4.8771653382573282E-14</v>
      </c>
      <c r="P155" s="13">
        <f t="shared" si="141"/>
        <v>7.9655698259503351E-13</v>
      </c>
      <c r="Q155" s="20">
        <f t="shared" si="162"/>
        <v>1.4722807076609983E-12</v>
      </c>
      <c r="R155" s="59">
        <f t="shared" si="109"/>
        <v>290.64032679616554</v>
      </c>
      <c r="S155" s="59">
        <f ca="1">AVERAGE(OFFSET($R$3,0,0,'Données projet'!$E$9+1,1))-AVERAGE(OFFSET($H$3,0,0,'Données projet'!$E$9+1,1))</f>
        <v>476.79071915271794</v>
      </c>
      <c r="T155" s="59">
        <f t="shared" si="142"/>
        <v>264.79929759351762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121.147285840135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121.147285840135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69.265543671681115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-9.5769792096689348E-14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365.104658862176</v>
      </c>
      <c r="AO155" s="59">
        <f t="shared" si="144"/>
        <v>226.29232910286325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68.911854382408436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68.911854382408436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69.265543671681115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-1.1368683772161603E-13</v>
      </c>
      <c r="BE155" s="13">
        <f>BD155*VLOOKUP('Données projet'!$B$11,Paramètres!$A$1:$I$89,3,0)*VLOOKUP('Données projet'!$B$11,Paramètres!$A$1:$I$89,5,0)</f>
        <v>-1.0286385077051818E-13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388.12494342575195</v>
      </c>
      <c r="BJ155" s="59">
        <f t="shared" si="146"/>
        <v>239.39471445648454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74.016436188512785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74.016436188512785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69.265543671681115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-1.1368683772161603E-13</v>
      </c>
      <c r="BZ155" s="13">
        <f>BY155*VLOOKUP('Données projet'!$B$12,Paramètres!$A$1:$I$89,3,0)*VLOOKUP('Données projet'!$B$12,Paramètres!$A$1:$I$89,5,0)</f>
        <v>-1.1527845344971866E-13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428.33148932885132</v>
      </c>
      <c r="CE155" s="59">
        <f t="shared" si="148"/>
        <v>262.27548054534373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82.949454349195292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82.949454349195292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69.265543671681115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-1.1368683772161603E-13</v>
      </c>
      <c r="CU155" s="17">
        <f>CT155*VLOOKUP('Données projet'!$B$13,Paramètres!$A$1:$I$89,3,0)*VLOOKUP('Données projet'!$B$13,Paramètres!$A$1:$I$89,5,0)</f>
        <v>-1.0818439477588981E-13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307.62549820830162</v>
      </c>
      <c r="CZ155" s="59">
        <f t="shared" si="150"/>
        <v>160.26466014910304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56.535387842484234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56.535387842484234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69.265543671681115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-1.7053025658242404E-13</v>
      </c>
      <c r="DP155" s="17">
        <f>DO155*VLOOKUP('Données projet'!$B$14,Paramètres!$A$1:$I$89,3,0)*VLOOKUP('Données projet'!$B$14,Paramètres!$A$1:$I$89,5,0)</f>
        <v>-1.3567387213697657E-13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309.14579005132464</v>
      </c>
      <c r="DU155" s="59">
        <f t="shared" si="152"/>
        <v>300.60311050289533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22.122771402649033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22.122771402649033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69.265543671681115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>
        <f>EJ155*VLOOKUP('Données projet'!$B$15,Paramètres!$A$1:$I$89,3,0)*VLOOKUP('Données projet'!$B$15,Paramètres!$A$1:$I$89,5,0)</f>
        <v>0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338.59243085476896</v>
      </c>
      <c r="EP155" s="59">
        <f t="shared" si="154"/>
        <v>329.8393445823275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20.496438258574891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20.496438258574891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69.265543671681115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>
        <f>FE155*VLOOKUP('Données projet'!$B$16,Paramètres!$A$1:$I$89,3,0)*VLOOKUP('Données projet'!$B$16,Paramètres!$A$1:$I$89,5,0)</f>
        <v>0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307.50573770128085</v>
      </c>
      <c r="FK155" s="59">
        <f t="shared" si="156"/>
        <v>300.2007312562655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18.315966103407348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18.315966103407348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69.265543671681115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>
        <f>FZ155*VLOOKUP('Données projet'!$B$17,Paramètres!$A$1:$I$89,3,0)*VLOOKUP('Données projet'!$B$17,Paramètres!$A$1:$I$89,5,0)</f>
        <v>0</v>
      </c>
      <c r="GB155" s="13" t="e">
        <f t="shared" si="185"/>
        <v>#NUM!</v>
      </c>
      <c r="GC155" s="20" t="e">
        <f t="shared" si="186"/>
        <v>#NUM!</v>
      </c>
      <c r="GD155" s="59" t="e">
        <f t="shared" si="134"/>
        <v>#NUM!</v>
      </c>
      <c r="GE155" s="59">
        <f ca="1">AVERAGE(OFFSET($GD$3,0,0,'Données projet'!$E$17+1,1))-AVERAGE(OFFSET($H$3,0,0,'Données projet'!$E$17+1,1))</f>
        <v>369.60865427618342</v>
      </c>
      <c r="GF155" s="59">
        <f t="shared" si="158"/>
        <v>359.40898775279197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22.676910413742434</v>
      </c>
      <c r="GM155" s="21">
        <f>EXP(-LN(2)/25)*GM154+(1-EXP(-LN(2)/25))/(LN(2)/25)*Calculateur!GH155*Calculateur!GJ155*VLOOKUP('Données projet'!$B$17,Paramètres!$A$1:$I$89,3,0)*0.475*44/12</f>
        <v>0</v>
      </c>
      <c r="GN155" s="21">
        <f>EXP(-LN(2)/2)*GN154+(1-EXP(-LN(2)/2))/(LN(2)/2)*GH155*GK155*VLOOKUP('Données projet'!$B$17,Paramètres!$A$1:$I$89,3,0)*0.475*44/12</f>
        <v>0</v>
      </c>
      <c r="GO155" s="21">
        <f t="shared" si="187"/>
        <v>22.676910413742434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69.265543671681115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-1.7053025658242404E-13</v>
      </c>
      <c r="GV155" s="17">
        <f>GU155*VLOOKUP('Données projet'!$B$18,Paramètres!$A$1:$I$89,3,0)*VLOOKUP('Données projet'!$B$18,Paramètres!$A$1:$I$89,5,0)</f>
        <v>-1.1173142411280423E-13</v>
      </c>
      <c r="GW155" s="13" t="e">
        <f t="shared" si="188"/>
        <v>#NUM!</v>
      </c>
      <c r="GX155" s="20" t="e">
        <f t="shared" si="189"/>
        <v>#NUM!</v>
      </c>
      <c r="GY155" s="59" t="e">
        <f t="shared" si="137"/>
        <v>#NUM!</v>
      </c>
      <c r="GZ155" s="59">
        <f ca="1">AVERAGE(OFFSET($GY$3,0,0,'Données projet'!$E$18+1,1))-AVERAGE(OFFSET($H$3,0,0,'Données projet'!$E$18+1,1))</f>
        <v>262.62914256200031</v>
      </c>
      <c r="HA155" s="59">
        <f t="shared" si="160"/>
        <v>256.45129229594409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projet'!$B$18,Paramètres!$A$1:$I$89,3,0)*0.475*44/12</f>
        <v>14.781252368917563</v>
      </c>
      <c r="HH155" s="21">
        <f>EXP(-LN(2)/25)*HH154+(1-EXP(-LN(2)/25))/(LN(2)/25)*Calculateur!HC155*Calculateur!HE155*VLOOKUP('Données projet'!$B$18,Paramètres!$A$1:$I$89,3,0)*0.475*44/12</f>
        <v>0</v>
      </c>
      <c r="HI155" s="21">
        <f>EXP(-LN(2)/2)*HI154+(1-EXP(-LN(2)/2))/(LN(2)/2)*HC155*HF155*VLOOKUP('Données projet'!$B$18,Paramètres!$A$1:$I$89,3,0)*0.475*44/12</f>
        <v>0</v>
      </c>
      <c r="HJ155" s="22">
        <f t="shared" si="190"/>
        <v>14.781252368917563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2.1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7.7</v>
      </c>
      <c r="H156" s="67">
        <f t="shared" si="110"/>
        <v>225.86666666666665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69.278284846979091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5.6843418860808015E-14</v>
      </c>
      <c r="O156" s="13">
        <f>N156*VLOOKUP('Données projet'!$B$9,Paramètres!$A$1:$I$89,3,0)*VLOOKUP('Données projet'!$B$9,Paramètres!$A$1:$I$89,5,0)</f>
        <v>4.8771653382573282E-14</v>
      </c>
      <c r="P156" s="13">
        <f t="shared" si="141"/>
        <v>7.9655698259503351E-13</v>
      </c>
      <c r="Q156" s="20">
        <f t="shared" si="162"/>
        <v>1.4722807076609983E-12</v>
      </c>
      <c r="R156" s="59">
        <f t="shared" si="109"/>
        <v>290.68704443892483</v>
      </c>
      <c r="S156" s="59">
        <f ca="1">AVERAGE(OFFSET($R$3,0,0,'Données projet'!$E$9+1,1))-AVERAGE(OFFSET($H$3,0,0,'Données projet'!$E$9+1,1))</f>
        <v>476.79071915271794</v>
      </c>
      <c r="T156" s="59">
        <f t="shared" si="142"/>
        <v>264.79929759351762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118.77166145735804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118.77166145735804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69.278284846979091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-9.5769792096689348E-14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365.104658862176</v>
      </c>
      <c r="AO156" s="59">
        <f t="shared" si="144"/>
        <v>226.29232910286325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67.560534950050254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67.560534950050254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69.278284846979091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-1.1368683772161603E-13</v>
      </c>
      <c r="BE156" s="13">
        <f>BD156*VLOOKUP('Données projet'!$B$11,Paramètres!$A$1:$I$89,3,0)*VLOOKUP('Données projet'!$B$11,Paramètres!$A$1:$I$89,5,0)</f>
        <v>-1.0286385077051818E-13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388.12494342575195</v>
      </c>
      <c r="BJ156" s="59">
        <f t="shared" si="146"/>
        <v>239.39471445648454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72.565019020424373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72.565019020424373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69.278284846979091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-1.1368683772161603E-13</v>
      </c>
      <c r="BZ156" s="13">
        <f>BY156*VLOOKUP('Données projet'!$B$12,Paramètres!$A$1:$I$89,3,0)*VLOOKUP('Données projet'!$B$12,Paramètres!$A$1:$I$89,5,0)</f>
        <v>-1.1527845344971866E-13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428.33148932885132</v>
      </c>
      <c r="CE156" s="59">
        <f t="shared" si="148"/>
        <v>262.27548054534373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81.322866143578963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81.322866143578963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69.278284846979091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-1.1368683772161603E-13</v>
      </c>
      <c r="CU156" s="17">
        <f>CT156*VLOOKUP('Données projet'!$B$13,Paramètres!$A$1:$I$89,3,0)*VLOOKUP('Données projet'!$B$13,Paramètres!$A$1:$I$89,5,0)</f>
        <v>-1.0818439477588981E-13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307.62549820830162</v>
      </c>
      <c r="CZ156" s="59">
        <f t="shared" si="150"/>
        <v>160.26466014910304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55.426763370074774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55.426763370074774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69.278284846979091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-1.7053025658242404E-13</v>
      </c>
      <c r="DP156" s="17">
        <f>DO156*VLOOKUP('Données projet'!$B$14,Paramètres!$A$1:$I$89,3,0)*VLOOKUP('Données projet'!$B$14,Paramètres!$A$1:$I$89,5,0)</f>
        <v>-1.3567387213697657E-13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309.14579005132464</v>
      </c>
      <c r="DU156" s="59">
        <f t="shared" si="152"/>
        <v>300.60311050289533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21.688957349001264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21.688957349001264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69.278284846979091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>
        <f>EJ156*VLOOKUP('Données projet'!$B$15,Paramètres!$A$1:$I$89,3,0)*VLOOKUP('Données projet'!$B$15,Paramètres!$A$1:$I$89,5,0)</f>
        <v>0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338.59243085476896</v>
      </c>
      <c r="EP156" s="59">
        <f t="shared" si="154"/>
        <v>329.8393445823275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20.094515605917145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20.094515605917145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69.278284846979091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>
        <f>FE156*VLOOKUP('Données projet'!$B$16,Paramètres!$A$1:$I$89,3,0)*VLOOKUP('Données projet'!$B$16,Paramètres!$A$1:$I$89,5,0)</f>
        <v>0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307.50573770128085</v>
      </c>
      <c r="FK156" s="59">
        <f t="shared" si="156"/>
        <v>300.2007312562655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17.956801179755747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17.956801179755747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69.278284846979091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>
        <f>FZ156*VLOOKUP('Données projet'!$B$17,Paramètres!$A$1:$I$89,3,0)*VLOOKUP('Données projet'!$B$17,Paramètres!$A$1:$I$89,5,0)</f>
        <v>0</v>
      </c>
      <c r="GB156" s="13" t="e">
        <f t="shared" si="185"/>
        <v>#NUM!</v>
      </c>
      <c r="GC156" s="20" t="e">
        <f t="shared" si="186"/>
        <v>#NUM!</v>
      </c>
      <c r="GD156" s="59" t="e">
        <f t="shared" si="134"/>
        <v>#NUM!</v>
      </c>
      <c r="GE156" s="59">
        <f ca="1">AVERAGE(OFFSET($GD$3,0,0,'Données projet'!$E$17+1,1))-AVERAGE(OFFSET($H$3,0,0,'Données projet'!$E$17+1,1))</f>
        <v>369.60865427618342</v>
      </c>
      <c r="GF156" s="59">
        <f t="shared" si="158"/>
        <v>359.40898775279197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22.232230032078544</v>
      </c>
      <c r="GM156" s="21">
        <f>EXP(-LN(2)/25)*GM155+(1-EXP(-LN(2)/25))/(LN(2)/25)*Calculateur!GH156*Calculateur!GJ156*VLOOKUP('Données projet'!$B$17,Paramètres!$A$1:$I$89,3,0)*0.475*44/12</f>
        <v>0</v>
      </c>
      <c r="GN156" s="21">
        <f>EXP(-LN(2)/2)*GN155+(1-EXP(-LN(2)/2))/(LN(2)/2)*GH156*GK156*VLOOKUP('Données projet'!$B$17,Paramètres!$A$1:$I$89,3,0)*0.475*44/12</f>
        <v>0</v>
      </c>
      <c r="GO156" s="21">
        <f t="shared" si="187"/>
        <v>22.232230032078544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69.278284846979091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-1.7053025658242404E-13</v>
      </c>
      <c r="GV156" s="17">
        <f>GU156*VLOOKUP('Données projet'!$B$18,Paramètres!$A$1:$I$89,3,0)*VLOOKUP('Données projet'!$B$18,Paramètres!$A$1:$I$89,5,0)</f>
        <v>-1.1173142411280423E-13</v>
      </c>
      <c r="GW156" s="13" t="e">
        <f t="shared" si="188"/>
        <v>#NUM!</v>
      </c>
      <c r="GX156" s="20" t="e">
        <f t="shared" si="189"/>
        <v>#NUM!</v>
      </c>
      <c r="GY156" s="59" t="e">
        <f t="shared" si="137"/>
        <v>#NUM!</v>
      </c>
      <c r="GZ156" s="59">
        <f ca="1">AVERAGE(OFFSET($GY$3,0,0,'Données projet'!$E$18+1,1))-AVERAGE(OFFSET($H$3,0,0,'Données projet'!$E$18+1,1))</f>
        <v>262.62914256200031</v>
      </c>
      <c r="HA156" s="59">
        <f t="shared" si="160"/>
        <v>256.45129229594409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projet'!$B$18,Paramètres!$A$1:$I$89,3,0)*0.475*44/12</f>
        <v>14.491401025636812</v>
      </c>
      <c r="HH156" s="21">
        <f>EXP(-LN(2)/25)*HH155+(1-EXP(-LN(2)/25))/(LN(2)/25)*Calculateur!HC156*Calculateur!HE156*VLOOKUP('Données projet'!$B$18,Paramètres!$A$1:$I$89,3,0)*0.475*44/12</f>
        <v>0</v>
      </c>
      <c r="HI156" s="21">
        <f>EXP(-LN(2)/2)*HI155+(1-EXP(-LN(2)/2))/(LN(2)/2)*HC156*HF156*VLOOKUP('Données projet'!$B$18,Paramètres!$A$1:$I$89,3,0)*0.475*44/12</f>
        <v>0</v>
      </c>
      <c r="HJ156" s="22">
        <f t="shared" si="190"/>
        <v>14.491401025636812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2.1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7.7</v>
      </c>
      <c r="H157" s="67">
        <f t="shared" si="110"/>
        <v>225.86666666666665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69.290804991370635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5.6843418860808015E-14</v>
      </c>
      <c r="O157" s="13">
        <f>N157*VLOOKUP('Données projet'!$B$9,Paramètres!$A$1:$I$89,3,0)*VLOOKUP('Données projet'!$B$9,Paramètres!$A$1:$I$89,5,0)</f>
        <v>4.8771653382573282E-14</v>
      </c>
      <c r="P157" s="13">
        <f t="shared" si="141"/>
        <v>7.9655698259503351E-13</v>
      </c>
      <c r="Q157" s="20">
        <f t="shared" si="162"/>
        <v>1.4722807076609983E-12</v>
      </c>
      <c r="R157" s="59">
        <f t="shared" si="109"/>
        <v>290.73295163502718</v>
      </c>
      <c r="S157" s="59">
        <f ca="1">AVERAGE(OFFSET($R$3,0,0,'Données projet'!$E$9+1,1))-AVERAGE(OFFSET($H$3,0,0,'Données projet'!$E$9+1,1))</f>
        <v>476.79071915271794</v>
      </c>
      <c r="T157" s="59">
        <f t="shared" si="142"/>
        <v>264.79929759351762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116.44262161973953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116.44262161973953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69.290804991370635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-9.5769792096689348E-14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365.104658862176</v>
      </c>
      <c r="AO157" s="59">
        <f t="shared" si="144"/>
        <v>226.29232910286325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66.235714067537145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66.235714067537145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69.290804991370635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-1.1368683772161603E-13</v>
      </c>
      <c r="BE157" s="13">
        <f>BD157*VLOOKUP('Données projet'!$B$11,Paramètres!$A$1:$I$89,3,0)*VLOOKUP('Données projet'!$B$11,Paramètres!$A$1:$I$89,5,0)</f>
        <v>-1.0286385077051818E-13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388.12494342575195</v>
      </c>
      <c r="BJ157" s="59">
        <f t="shared" si="146"/>
        <v>239.39471445648454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71.142063257725113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71.142063257725113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69.290804991370635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-1.1368683772161603E-13</v>
      </c>
      <c r="BZ157" s="13">
        <f>BY157*VLOOKUP('Données projet'!$B$12,Paramètres!$A$1:$I$89,3,0)*VLOOKUP('Données projet'!$B$12,Paramètres!$A$1:$I$89,5,0)</f>
        <v>-1.1527845344971866E-13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428.33148932885132</v>
      </c>
      <c r="CE157" s="59">
        <f t="shared" si="148"/>
        <v>262.27548054534373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79.728174340553934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79.728174340553934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69.290804991370635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-1.1368683772161603E-13</v>
      </c>
      <c r="CU157" s="17">
        <f>CT157*VLOOKUP('Données projet'!$B$13,Paramètres!$A$1:$I$89,3,0)*VLOOKUP('Données projet'!$B$13,Paramètres!$A$1:$I$89,5,0)</f>
        <v>-1.0818439477588981E-13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307.62549820830162</v>
      </c>
      <c r="CZ157" s="59">
        <f t="shared" si="150"/>
        <v>160.26466014910304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54.339878347375098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54.339878347375098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69.290804991370635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-1.7053025658242404E-13</v>
      </c>
      <c r="DP157" s="17">
        <f>DO157*VLOOKUP('Données projet'!$B$14,Paramètres!$A$1:$I$89,3,0)*VLOOKUP('Données projet'!$B$14,Paramètres!$A$1:$I$89,5,0)</f>
        <v>-1.3567387213697657E-13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309.14579005132464</v>
      </c>
      <c r="DU157" s="59">
        <f t="shared" si="152"/>
        <v>300.60311050289533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21.26365012434508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21.26365012434508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69.290804991370635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>
        <f>EJ157*VLOOKUP('Données projet'!$B$15,Paramètres!$A$1:$I$89,3,0)*VLOOKUP('Données projet'!$B$15,Paramètres!$A$1:$I$89,5,0)</f>
        <v>0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338.59243085476896</v>
      </c>
      <c r="EP157" s="59">
        <f t="shared" si="154"/>
        <v>329.8393445823275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19.700474411329406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19.700474411329406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69.290804991370635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>
        <f>FE157*VLOOKUP('Données projet'!$B$16,Paramètres!$A$1:$I$89,3,0)*VLOOKUP('Données projet'!$B$16,Paramètres!$A$1:$I$89,5,0)</f>
        <v>0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307.50573770128085</v>
      </c>
      <c r="FK157" s="59">
        <f t="shared" si="156"/>
        <v>300.2007312562655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17.604679261187979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17.604679261187979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69.290804991370635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>
        <f>FZ157*VLOOKUP('Données projet'!$B$17,Paramètres!$A$1:$I$89,3,0)*VLOOKUP('Données projet'!$B$17,Paramètres!$A$1:$I$89,5,0)</f>
        <v>0</v>
      </c>
      <c r="GB157" s="13" t="e">
        <f t="shared" si="185"/>
        <v>#NUM!</v>
      </c>
      <c r="GC157" s="20" t="e">
        <f t="shared" si="186"/>
        <v>#NUM!</v>
      </c>
      <c r="GD157" s="59" t="e">
        <f t="shared" si="134"/>
        <v>#NUM!</v>
      </c>
      <c r="GE157" s="59">
        <f ca="1">AVERAGE(OFFSET($GD$3,0,0,'Données projet'!$E$17+1,1))-AVERAGE(OFFSET($H$3,0,0,'Données projet'!$E$17+1,1))</f>
        <v>369.60865427618342</v>
      </c>
      <c r="GF157" s="59">
        <f t="shared" si="158"/>
        <v>359.40898775279197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21.796269561470833</v>
      </c>
      <c r="GM157" s="21">
        <f>EXP(-LN(2)/25)*GM156+(1-EXP(-LN(2)/25))/(LN(2)/25)*Calculateur!GH157*Calculateur!GJ157*VLOOKUP('Données projet'!$B$17,Paramètres!$A$1:$I$89,3,0)*0.475*44/12</f>
        <v>0</v>
      </c>
      <c r="GN157" s="21">
        <f>EXP(-LN(2)/2)*GN156+(1-EXP(-LN(2)/2))/(LN(2)/2)*GH157*GK157*VLOOKUP('Données projet'!$B$17,Paramètres!$A$1:$I$89,3,0)*0.475*44/12</f>
        <v>0</v>
      </c>
      <c r="GO157" s="21">
        <f t="shared" si="187"/>
        <v>21.796269561470833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69.290804991370635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-1.7053025658242404E-13</v>
      </c>
      <c r="GV157" s="17">
        <f>GU157*VLOOKUP('Données projet'!$B$18,Paramètres!$A$1:$I$89,3,0)*VLOOKUP('Données projet'!$B$18,Paramètres!$A$1:$I$89,5,0)</f>
        <v>-1.1173142411280423E-13</v>
      </c>
      <c r="GW157" s="13" t="e">
        <f t="shared" si="188"/>
        <v>#NUM!</v>
      </c>
      <c r="GX157" s="20" t="e">
        <f t="shared" si="189"/>
        <v>#NUM!</v>
      </c>
      <c r="GY157" s="59" t="e">
        <f t="shared" si="137"/>
        <v>#NUM!</v>
      </c>
      <c r="GZ157" s="59">
        <f ca="1">AVERAGE(OFFSET($GY$3,0,0,'Données projet'!$E$18+1,1))-AVERAGE(OFFSET($H$3,0,0,'Données projet'!$E$18+1,1))</f>
        <v>262.62914256200031</v>
      </c>
      <c r="HA157" s="59">
        <f t="shared" si="160"/>
        <v>256.45129229594409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projet'!$B$18,Paramètres!$A$1:$I$89,3,0)*0.475*44/12</f>
        <v>14.207233490405931</v>
      </c>
      <c r="HH157" s="21">
        <f>EXP(-LN(2)/25)*HH156+(1-EXP(-LN(2)/25))/(LN(2)/25)*Calculateur!HC157*Calculateur!HE157*VLOOKUP('Données projet'!$B$18,Paramètres!$A$1:$I$89,3,0)*0.475*44/12</f>
        <v>0</v>
      </c>
      <c r="HI157" s="21">
        <f>EXP(-LN(2)/2)*HI156+(1-EXP(-LN(2)/2))/(LN(2)/2)*HC157*HF157*VLOOKUP('Données projet'!$B$18,Paramètres!$A$1:$I$89,3,0)*0.475*44/12</f>
        <v>0</v>
      </c>
      <c r="HJ157" s="22">
        <f t="shared" si="190"/>
        <v>14.207233490405931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2.1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7.7</v>
      </c>
      <c r="H158" s="67">
        <f t="shared" si="110"/>
        <v>225.86666666666665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69.303107939247838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5.6843418860808015E-14</v>
      </c>
      <c r="O158" s="13">
        <f>N158*VLOOKUP('Données projet'!$B$9,Paramètres!$A$1:$I$89,3,0)*VLOOKUP('Données projet'!$B$9,Paramètres!$A$1:$I$89,5,0)</f>
        <v>4.8771653382573282E-14</v>
      </c>
      <c r="P158" s="13">
        <f t="shared" si="141"/>
        <v>7.9655698259503351E-13</v>
      </c>
      <c r="Q158" s="20">
        <f t="shared" si="162"/>
        <v>1.4722807076609983E-12</v>
      </c>
      <c r="R158" s="59">
        <f t="shared" si="109"/>
        <v>290.77806244391019</v>
      </c>
      <c r="S158" s="59">
        <f ca="1">AVERAGE(OFFSET($R$3,0,0,'Données projet'!$E$9+1,1))-AVERAGE(OFFSET($H$3,0,0,'Données projet'!$E$9+1,1))</f>
        <v>476.79071915271794</v>
      </c>
      <c r="T158" s="59">
        <f t="shared" si="142"/>
        <v>264.79929759351762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114.15925283276269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114.15925283276269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69.303107939247838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-9.5769792096689348E-14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365.104658862176</v>
      </c>
      <c r="AO158" s="59">
        <f t="shared" si="144"/>
        <v>226.29232910286325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64.936872114469168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64.936872114469168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69.303107939247838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-1.1368683772161603E-13</v>
      </c>
      <c r="BE158" s="13">
        <f>BD158*VLOOKUP('Données projet'!$B$11,Paramètres!$A$1:$I$89,3,0)*VLOOKUP('Données projet'!$B$11,Paramètres!$A$1:$I$89,5,0)</f>
        <v>-1.0286385077051818E-13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388.12494342575195</v>
      </c>
      <c r="BJ158" s="59">
        <f t="shared" si="146"/>
        <v>239.39471445648454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69.747010789615075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69.747010789615075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69.303107939247838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-1.1368683772161603E-13</v>
      </c>
      <c r="BZ158" s="13">
        <f>BY158*VLOOKUP('Données projet'!$B$12,Paramètres!$A$1:$I$89,3,0)*VLOOKUP('Données projet'!$B$12,Paramètres!$A$1:$I$89,5,0)</f>
        <v>-1.1527845344971866E-13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428.33148932885132</v>
      </c>
      <c r="CE158" s="59">
        <f t="shared" si="148"/>
        <v>262.27548054534373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78.164753471120264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78.164753471120264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69.303107939247838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-1.1368683772161603E-13</v>
      </c>
      <c r="CU158" s="17">
        <f>CT158*VLOOKUP('Données projet'!$B$13,Paramètres!$A$1:$I$89,3,0)*VLOOKUP('Données projet'!$B$13,Paramètres!$A$1:$I$89,5,0)</f>
        <v>-1.0818439477588981E-13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307.62549820830162</v>
      </c>
      <c r="CZ158" s="59">
        <f t="shared" si="150"/>
        <v>160.26466014910304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53.274306477036163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53.274306477036163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69.303107939247838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-1.7053025658242404E-13</v>
      </c>
      <c r="DP158" s="17">
        <f>DO158*VLOOKUP('Données projet'!$B$14,Paramètres!$A$1:$I$89,3,0)*VLOOKUP('Données projet'!$B$14,Paramètres!$A$1:$I$89,5,0)</f>
        <v>-1.3567387213697657E-13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309.14579005132464</v>
      </c>
      <c r="DU158" s="59">
        <f t="shared" si="152"/>
        <v>300.60311050289533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20.846682914952613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20.846682914952613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69.303107939247838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>
        <f>EJ158*VLOOKUP('Données projet'!$B$15,Paramètres!$A$1:$I$89,3,0)*VLOOKUP('Données projet'!$B$15,Paramètres!$A$1:$I$89,5,0)</f>
        <v>0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338.59243085476896</v>
      </c>
      <c r="EP158" s="59">
        <f t="shared" si="154"/>
        <v>329.8393445823275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19.314160124226134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19.314160124226134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69.303107939247838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>
        <f>FE158*VLOOKUP('Données projet'!$B$16,Paramètres!$A$1:$I$89,3,0)*VLOOKUP('Données projet'!$B$16,Paramètres!$A$1:$I$89,5,0)</f>
        <v>0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307.50573770128085</v>
      </c>
      <c r="FK158" s="59">
        <f t="shared" si="156"/>
        <v>300.2007312562655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17.259462238670164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17.259462238670164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69.303107939247838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>
        <f>FZ158*VLOOKUP('Données projet'!$B$17,Paramètres!$A$1:$I$89,3,0)*VLOOKUP('Données projet'!$B$17,Paramètres!$A$1:$I$89,5,0)</f>
        <v>0</v>
      </c>
      <c r="GB158" s="13" t="e">
        <f t="shared" si="185"/>
        <v>#NUM!</v>
      </c>
      <c r="GC158" s="20" t="e">
        <f t="shared" si="186"/>
        <v>#NUM!</v>
      </c>
      <c r="GD158" s="59" t="e">
        <f t="shared" si="134"/>
        <v>#NUM!</v>
      </c>
      <c r="GE158" s="59">
        <f ca="1">AVERAGE(OFFSET($GD$3,0,0,'Données projet'!$E$17+1,1))-AVERAGE(OFFSET($H$3,0,0,'Données projet'!$E$17+1,1))</f>
        <v>369.60865427618342</v>
      </c>
      <c r="GF158" s="59">
        <f t="shared" si="158"/>
        <v>359.40898775279197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21.368858009782109</v>
      </c>
      <c r="GM158" s="21">
        <f>EXP(-LN(2)/25)*GM157+(1-EXP(-LN(2)/25))/(LN(2)/25)*Calculateur!GH158*Calculateur!GJ158*VLOOKUP('Données projet'!$B$17,Paramètres!$A$1:$I$89,3,0)*0.475*44/12</f>
        <v>0</v>
      </c>
      <c r="GN158" s="21">
        <f>EXP(-LN(2)/2)*GN157+(1-EXP(-LN(2)/2))/(LN(2)/2)*GH158*GK158*VLOOKUP('Données projet'!$B$17,Paramètres!$A$1:$I$89,3,0)*0.475*44/12</f>
        <v>0</v>
      </c>
      <c r="GO158" s="21">
        <f t="shared" si="187"/>
        <v>21.368858009782109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69.303107939247838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-1.7053025658242404E-13</v>
      </c>
      <c r="GV158" s="17">
        <f>GU158*VLOOKUP('Données projet'!$B$18,Paramètres!$A$1:$I$89,3,0)*VLOOKUP('Données projet'!$B$18,Paramètres!$A$1:$I$89,5,0)</f>
        <v>-1.1173142411280423E-13</v>
      </c>
      <c r="GW158" s="13" t="e">
        <f t="shared" si="188"/>
        <v>#NUM!</v>
      </c>
      <c r="GX158" s="20" t="e">
        <f t="shared" si="189"/>
        <v>#NUM!</v>
      </c>
      <c r="GY158" s="59" t="e">
        <f t="shared" si="137"/>
        <v>#NUM!</v>
      </c>
      <c r="GZ158" s="59">
        <f ca="1">AVERAGE(OFFSET($GY$3,0,0,'Données projet'!$E$18+1,1))-AVERAGE(OFFSET($H$3,0,0,'Données projet'!$E$18+1,1))</f>
        <v>262.62914256200031</v>
      </c>
      <c r="HA158" s="59">
        <f t="shared" si="160"/>
        <v>256.45129229594409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projet'!$B$18,Paramètres!$A$1:$I$89,3,0)*0.475*44/12</f>
        <v>13.928638307215847</v>
      </c>
      <c r="HH158" s="21">
        <f>EXP(-LN(2)/25)*HH157+(1-EXP(-LN(2)/25))/(LN(2)/25)*Calculateur!HC158*Calculateur!HE158*VLOOKUP('Données projet'!$B$18,Paramètres!$A$1:$I$89,3,0)*0.475*44/12</f>
        <v>0</v>
      </c>
      <c r="HI158" s="21">
        <f>EXP(-LN(2)/2)*HI157+(1-EXP(-LN(2)/2))/(LN(2)/2)*HC158*HF158*VLOOKUP('Données projet'!$B$18,Paramètres!$A$1:$I$89,3,0)*0.475*44/12</f>
        <v>0</v>
      </c>
      <c r="HJ158" s="22">
        <f t="shared" si="190"/>
        <v>13.928638307215847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2.1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7.7</v>
      </c>
      <c r="H159" s="67">
        <f t="shared" si="110"/>
        <v>225.86666666666665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69.315197458484647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5.6843418860808015E-14</v>
      </c>
      <c r="O159" s="13">
        <f>N159*VLOOKUP('Données projet'!$B$9,Paramètres!$A$1:$I$89,3,0)*VLOOKUP('Données projet'!$B$9,Paramètres!$A$1:$I$89,5,0)</f>
        <v>4.8771653382573282E-14</v>
      </c>
      <c r="P159" s="13">
        <f t="shared" si="141"/>
        <v>7.9655698259503351E-13</v>
      </c>
      <c r="Q159" s="20">
        <f t="shared" si="162"/>
        <v>1.4722807076609983E-12</v>
      </c>
      <c r="R159" s="59">
        <f t="shared" si="109"/>
        <v>290.82239068111187</v>
      </c>
      <c r="S159" s="59">
        <f ca="1">AVERAGE(OFFSET($R$3,0,0,'Données projet'!$E$9+1,1))-AVERAGE(OFFSET($H$3,0,0,'Données projet'!$E$9+1,1))</f>
        <v>476.79071915271794</v>
      </c>
      <c r="T159" s="59">
        <f t="shared" si="142"/>
        <v>264.79929759351762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111.92065951498103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111.92065951498103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69.315197458484647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-9.5769792096689348E-14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365.104658862176</v>
      </c>
      <c r="AO159" s="59">
        <f t="shared" si="144"/>
        <v>226.29232910286325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63.663499659885495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63.663499659885495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69.315197458484647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-1.1368683772161603E-13</v>
      </c>
      <c r="BE159" s="13">
        <f>BD159*VLOOKUP('Données projet'!$B$11,Paramètres!$A$1:$I$89,3,0)*VLOOKUP('Données projet'!$B$11,Paramètres!$A$1:$I$89,5,0)</f>
        <v>-1.0286385077051818E-13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388.12494342575195</v>
      </c>
      <c r="BJ159" s="59">
        <f t="shared" si="146"/>
        <v>239.39471445648454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68.37931444950668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68.37931444950668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69.315197458484647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-1.1368683772161603E-13</v>
      </c>
      <c r="BZ159" s="13">
        <f>BY159*VLOOKUP('Données projet'!$B$12,Paramètres!$A$1:$I$89,3,0)*VLOOKUP('Données projet'!$B$12,Paramètres!$A$1:$I$89,5,0)</f>
        <v>-1.1527845344971866E-13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428.33148932885132</v>
      </c>
      <c r="CE159" s="59">
        <f t="shared" si="148"/>
        <v>262.27548054534373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76.631990331343616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76.631990331343616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69.315197458484647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-1.1368683772161603E-13</v>
      </c>
      <c r="CU159" s="17">
        <f>CT159*VLOOKUP('Données projet'!$B$13,Paramètres!$A$1:$I$89,3,0)*VLOOKUP('Données projet'!$B$13,Paramètres!$A$1:$I$89,5,0)</f>
        <v>-1.0818439477588981E-13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307.62549820830162</v>
      </c>
      <c r="CZ159" s="59">
        <f t="shared" si="150"/>
        <v>160.26466014910304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52.229629821139909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52.229629821139909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69.315197458484647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-1.7053025658242404E-13</v>
      </c>
      <c r="DP159" s="17">
        <f>DO159*VLOOKUP('Données projet'!$B$14,Paramètres!$A$1:$I$89,3,0)*VLOOKUP('Données projet'!$B$14,Paramètres!$A$1:$I$89,5,0)</f>
        <v>-1.3567387213697657E-13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309.14579005132464</v>
      </c>
      <c r="DU159" s="59">
        <f t="shared" si="152"/>
        <v>300.60311050289533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20.437892178211445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20.437892178211445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69.315197458484647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>
        <f>EJ159*VLOOKUP('Données projet'!$B$15,Paramètres!$A$1:$I$89,3,0)*VLOOKUP('Données projet'!$B$15,Paramètres!$A$1:$I$89,5,0)</f>
        <v>0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338.59243085476896</v>
      </c>
      <c r="EP159" s="59">
        <f t="shared" si="154"/>
        <v>329.8393445823275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18.935421224664509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18.935421224664509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69.315197458484647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>
        <f>FE159*VLOOKUP('Données projet'!$B$16,Paramètres!$A$1:$I$89,3,0)*VLOOKUP('Données projet'!$B$16,Paramètres!$A$1:$I$89,5,0)</f>
        <v>0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307.50573770128085</v>
      </c>
      <c r="FK159" s="59">
        <f t="shared" si="156"/>
        <v>300.2007312562655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16.921014711402329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16.921014711402329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69.315197458484647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>
        <f>FZ159*VLOOKUP('Données projet'!$B$17,Paramètres!$A$1:$I$89,3,0)*VLOOKUP('Données projet'!$B$17,Paramètres!$A$1:$I$89,5,0)</f>
        <v>0</v>
      </c>
      <c r="GB159" s="13" t="e">
        <f t="shared" si="185"/>
        <v>#NUM!</v>
      </c>
      <c r="GC159" s="20" t="e">
        <f t="shared" si="186"/>
        <v>#NUM!</v>
      </c>
      <c r="GD159" s="59" t="e">
        <f t="shared" si="134"/>
        <v>#NUM!</v>
      </c>
      <c r="GE159" s="59">
        <f ca="1">AVERAGE(OFFSET($GD$3,0,0,'Données projet'!$E$17+1,1))-AVERAGE(OFFSET($H$3,0,0,'Données projet'!$E$17+1,1))</f>
        <v>369.60865427618342</v>
      </c>
      <c r="GF159" s="59">
        <f t="shared" si="158"/>
        <v>359.40898775279197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20.949827737926697</v>
      </c>
      <c r="GM159" s="21">
        <f>EXP(-LN(2)/25)*GM158+(1-EXP(-LN(2)/25))/(LN(2)/25)*Calculateur!GH159*Calculateur!GJ159*VLOOKUP('Données projet'!$B$17,Paramètres!$A$1:$I$89,3,0)*0.475*44/12</f>
        <v>0</v>
      </c>
      <c r="GN159" s="21">
        <f>EXP(-LN(2)/2)*GN158+(1-EXP(-LN(2)/2))/(LN(2)/2)*GH159*GK159*VLOOKUP('Données projet'!$B$17,Paramètres!$A$1:$I$89,3,0)*0.475*44/12</f>
        <v>0</v>
      </c>
      <c r="GO159" s="21">
        <f t="shared" si="187"/>
        <v>20.949827737926697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69.315197458484647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-1.7053025658242404E-13</v>
      </c>
      <c r="GV159" s="17">
        <f>GU159*VLOOKUP('Données projet'!$B$18,Paramètres!$A$1:$I$89,3,0)*VLOOKUP('Données projet'!$B$18,Paramètres!$A$1:$I$89,5,0)</f>
        <v>-1.1173142411280423E-13</v>
      </c>
      <c r="GW159" s="13" t="e">
        <f t="shared" si="188"/>
        <v>#NUM!</v>
      </c>
      <c r="GX159" s="20" t="e">
        <f t="shared" si="189"/>
        <v>#NUM!</v>
      </c>
      <c r="GY159" s="59" t="e">
        <f t="shared" si="137"/>
        <v>#NUM!</v>
      </c>
      <c r="GZ159" s="59">
        <f ca="1">AVERAGE(OFFSET($GY$3,0,0,'Données projet'!$E$18+1,1))-AVERAGE(OFFSET($H$3,0,0,'Données projet'!$E$18+1,1))</f>
        <v>262.62914256200031</v>
      </c>
      <c r="HA159" s="59">
        <f t="shared" si="160"/>
        <v>256.45129229594409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projet'!$B$18,Paramètres!$A$1:$I$89,3,0)*0.475*44/12</f>
        <v>13.655506205641837</v>
      </c>
      <c r="HH159" s="21">
        <f>EXP(-LN(2)/25)*HH158+(1-EXP(-LN(2)/25))/(LN(2)/25)*Calculateur!HC159*Calculateur!HE159*VLOOKUP('Données projet'!$B$18,Paramètres!$A$1:$I$89,3,0)*0.475*44/12</f>
        <v>0</v>
      </c>
      <c r="HI159" s="21">
        <f>EXP(-LN(2)/2)*HI158+(1-EXP(-LN(2)/2))/(LN(2)/2)*HC159*HF159*VLOOKUP('Données projet'!$B$18,Paramètres!$A$1:$I$89,3,0)*0.475*44/12</f>
        <v>0</v>
      </c>
      <c r="HJ159" s="22">
        <f t="shared" si="190"/>
        <v>13.655506205641837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2.1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7.7</v>
      </c>
      <c r="H160" s="67">
        <f t="shared" si="110"/>
        <v>225.86666666666665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69.327077251590822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5.6843418860808015E-14</v>
      </c>
      <c r="O160" s="13">
        <f>N160*VLOOKUP('Données projet'!$B$9,Paramètres!$A$1:$I$89,3,0)*VLOOKUP('Données projet'!$B$9,Paramètres!$A$1:$I$89,5,0)</f>
        <v>4.8771653382573282E-14</v>
      </c>
      <c r="P160" s="13">
        <f t="shared" si="141"/>
        <v>7.9655698259503351E-13</v>
      </c>
      <c r="Q160" s="20">
        <f t="shared" si="162"/>
        <v>1.4722807076609983E-12</v>
      </c>
      <c r="R160" s="59">
        <f t="shared" si="109"/>
        <v>290.86594992250116</v>
      </c>
      <c r="S160" s="59">
        <f ca="1">AVERAGE(OFFSET($R$3,0,0,'Données projet'!$E$9+1,1))-AVERAGE(OFFSET($H$3,0,0,'Données projet'!$E$9+1,1))</f>
        <v>476.79071915271794</v>
      </c>
      <c r="T160" s="59">
        <f t="shared" si="142"/>
        <v>264.79929759351762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109.72596364675395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109.72596364675395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69.327077251590822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-9.5769792096689348E-14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365.104658862176</v>
      </c>
      <c r="AO160" s="59">
        <f t="shared" si="144"/>
        <v>226.29232910286325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62.415097262455703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62.415097262455703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69.327077251590822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-1.1368683772161603E-13</v>
      </c>
      <c r="BE160" s="13">
        <f>BD160*VLOOKUP('Données projet'!$B$11,Paramètres!$A$1:$I$89,3,0)*VLOOKUP('Données projet'!$B$11,Paramètres!$A$1:$I$89,5,0)</f>
        <v>-1.0286385077051818E-13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388.12494342575195</v>
      </c>
      <c r="BJ160" s="59">
        <f t="shared" si="146"/>
        <v>239.39471445648454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67.038437800415423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67.038437800415423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69.327077251590822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-1.1368683772161603E-13</v>
      </c>
      <c r="BZ160" s="13">
        <f>BY160*VLOOKUP('Données projet'!$B$12,Paramètres!$A$1:$I$89,3,0)*VLOOKUP('Données projet'!$B$12,Paramètres!$A$1:$I$89,5,0)</f>
        <v>-1.1527845344971866E-13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428.33148932885132</v>
      </c>
      <c r="CE160" s="59">
        <f t="shared" si="148"/>
        <v>262.27548054534373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75.129283741844787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75.129283741844787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69.327077251590822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-1.1368683772161603E-13</v>
      </c>
      <c r="CU160" s="17">
        <f>CT160*VLOOKUP('Données projet'!$B$13,Paramètres!$A$1:$I$89,3,0)*VLOOKUP('Données projet'!$B$13,Paramètres!$A$1:$I$89,5,0)</f>
        <v>-1.0818439477588981E-13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307.62549820830162</v>
      </c>
      <c r="CZ160" s="59">
        <f t="shared" si="150"/>
        <v>160.26466014910304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51.205438637275932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51.205438637275932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69.327077251590822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-1.7053025658242404E-13</v>
      </c>
      <c r="DP160" s="17">
        <f>DO160*VLOOKUP('Données projet'!$B$14,Paramètres!$A$1:$I$89,3,0)*VLOOKUP('Données projet'!$B$14,Paramètres!$A$1:$I$89,5,0)</f>
        <v>-1.3567387213697657E-13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309.14579005132464</v>
      </c>
      <c r="DU160" s="59">
        <f t="shared" si="152"/>
        <v>300.60311050289533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20.037117578480043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20.037117578480043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69.327077251590822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>
        <f>EJ160*VLOOKUP('Données projet'!$B$15,Paramètres!$A$1:$I$89,3,0)*VLOOKUP('Données projet'!$B$15,Paramètres!$A$1:$I$89,5,0)</f>
        <v>0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338.59243085476896</v>
      </c>
      <c r="EP160" s="59">
        <f t="shared" si="154"/>
        <v>329.8393445823275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18.564109163915369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18.564109163915369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69.327077251590822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>
        <f>FE160*VLOOKUP('Données projet'!$B$16,Paramètres!$A$1:$I$89,3,0)*VLOOKUP('Données projet'!$B$16,Paramètres!$A$1:$I$89,5,0)</f>
        <v>0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307.50573770128085</v>
      </c>
      <c r="FK160" s="59">
        <f t="shared" si="156"/>
        <v>300.2007312562655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16.589203933711609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16.589203933711609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69.327077251590822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>
        <f>FZ160*VLOOKUP('Données projet'!$B$17,Paramètres!$A$1:$I$89,3,0)*VLOOKUP('Données projet'!$B$17,Paramètres!$A$1:$I$89,5,0)</f>
        <v>0</v>
      </c>
      <c r="GB160" s="13" t="e">
        <f t="shared" si="185"/>
        <v>#NUM!</v>
      </c>
      <c r="GC160" s="20" t="e">
        <f t="shared" si="186"/>
        <v>#NUM!</v>
      </c>
      <c r="GD160" s="59" t="e">
        <f t="shared" si="134"/>
        <v>#NUM!</v>
      </c>
      <c r="GE160" s="59">
        <f ca="1">AVERAGE(OFFSET($GD$3,0,0,'Données projet'!$E$17+1,1))-AVERAGE(OFFSET($H$3,0,0,'Données projet'!$E$17+1,1))</f>
        <v>369.60865427618342</v>
      </c>
      <c r="GF160" s="59">
        <f t="shared" si="158"/>
        <v>359.40898775279197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20.539014394119139</v>
      </c>
      <c r="GM160" s="21">
        <f>EXP(-LN(2)/25)*GM159+(1-EXP(-LN(2)/25))/(LN(2)/25)*Calculateur!GH160*Calculateur!GJ160*VLOOKUP('Données projet'!$B$17,Paramètres!$A$1:$I$89,3,0)*0.475*44/12</f>
        <v>0</v>
      </c>
      <c r="GN160" s="21">
        <f>EXP(-LN(2)/2)*GN159+(1-EXP(-LN(2)/2))/(LN(2)/2)*GH160*GK160*VLOOKUP('Données projet'!$B$17,Paramètres!$A$1:$I$89,3,0)*0.475*44/12</f>
        <v>0</v>
      </c>
      <c r="GO160" s="21">
        <f t="shared" si="187"/>
        <v>20.539014394119139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69.327077251590822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-1.7053025658242404E-13</v>
      </c>
      <c r="GV160" s="17">
        <f>GU160*VLOOKUP('Données projet'!$B$18,Paramètres!$A$1:$I$89,3,0)*VLOOKUP('Données projet'!$B$18,Paramètres!$A$1:$I$89,5,0)</f>
        <v>-1.1173142411280423E-13</v>
      </c>
      <c r="GW160" s="13" t="e">
        <f t="shared" si="188"/>
        <v>#NUM!</v>
      </c>
      <c r="GX160" s="20" t="e">
        <f t="shared" si="189"/>
        <v>#NUM!</v>
      </c>
      <c r="GY160" s="59" t="e">
        <f t="shared" si="137"/>
        <v>#NUM!</v>
      </c>
      <c r="GZ160" s="59">
        <f ca="1">AVERAGE(OFFSET($GY$3,0,0,'Données projet'!$E$18+1,1))-AVERAGE(OFFSET($H$3,0,0,'Données projet'!$E$18+1,1))</f>
        <v>262.62914256200031</v>
      </c>
      <c r="HA160" s="59">
        <f t="shared" si="160"/>
        <v>256.45129229594409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projet'!$B$18,Paramètres!$A$1:$I$89,3,0)*0.475*44/12</f>
        <v>13.387730057985562</v>
      </c>
      <c r="HH160" s="21">
        <f>EXP(-LN(2)/25)*HH159+(1-EXP(-LN(2)/25))/(LN(2)/25)*Calculateur!HC160*Calculateur!HE160*VLOOKUP('Données projet'!$B$18,Paramètres!$A$1:$I$89,3,0)*0.475*44/12</f>
        <v>0</v>
      </c>
      <c r="HI160" s="21">
        <f>EXP(-LN(2)/2)*HI159+(1-EXP(-LN(2)/2))/(LN(2)/2)*HC160*HF160*VLOOKUP('Données projet'!$B$18,Paramètres!$A$1:$I$89,3,0)*0.475*44/12</f>
        <v>0</v>
      </c>
      <c r="HJ160" s="22">
        <f t="shared" si="190"/>
        <v>13.387730057985562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2.1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7.7</v>
      </c>
      <c r="H161" s="67">
        <f t="shared" si="110"/>
        <v>225.86666666666665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69.338750956845843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5.6843418860808015E-14</v>
      </c>
      <c r="O161" s="13">
        <f>N161*VLOOKUP('Données projet'!$B$9,Paramètres!$A$1:$I$89,3,0)*VLOOKUP('Données projet'!$B$9,Paramètres!$A$1:$I$89,5,0)</f>
        <v>4.8771653382573282E-14</v>
      </c>
      <c r="P161" s="13">
        <f t="shared" si="141"/>
        <v>7.9655698259503351E-13</v>
      </c>
      <c r="Q161" s="20">
        <f t="shared" si="162"/>
        <v>1.4722807076609983E-12</v>
      </c>
      <c r="R161" s="59">
        <f t="shared" si="109"/>
        <v>290.90875350843623</v>
      </c>
      <c r="S161" s="59">
        <f ca="1">AVERAGE(OFFSET($R$3,0,0,'Données projet'!$E$9+1,1))-AVERAGE(OFFSET($H$3,0,0,'Données projet'!$E$9+1,1))</f>
        <v>476.79071915271794</v>
      </c>
      <c r="T161" s="59">
        <f t="shared" si="142"/>
        <v>264.79929759351762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107.57430442587052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107.57430442587052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69.338750956845843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-9.5769792096689348E-14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365.104658862176</v>
      </c>
      <c r="AO161" s="59">
        <f t="shared" si="144"/>
        <v>226.29232910286325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61.191175274589227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61.191175274589227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69.338750956845843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-1.1368683772161603E-13</v>
      </c>
      <c r="BE161" s="13">
        <f>BD161*VLOOKUP('Données projet'!$B$11,Paramètres!$A$1:$I$89,3,0)*VLOOKUP('Données projet'!$B$11,Paramètres!$A$1:$I$89,5,0)</f>
        <v>-1.0286385077051818E-13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388.12494342575195</v>
      </c>
      <c r="BJ161" s="59">
        <f t="shared" si="146"/>
        <v>239.39471445648454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65.723854924558836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65.723854924558836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69.338750956845843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-1.1368683772161603E-13</v>
      </c>
      <c r="BZ161" s="13">
        <f>BY161*VLOOKUP('Données projet'!$B$12,Paramètres!$A$1:$I$89,3,0)*VLOOKUP('Données projet'!$B$12,Paramètres!$A$1:$I$89,5,0)</f>
        <v>-1.1527845344971866E-13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428.33148932885132</v>
      </c>
      <c r="CE161" s="59">
        <f t="shared" si="148"/>
        <v>262.27548054534373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73.65604431200552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73.65604431200552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69.338750956845843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-1.1368683772161603E-13</v>
      </c>
      <c r="CU161" s="17">
        <f>CT161*VLOOKUP('Données projet'!$B$13,Paramètres!$A$1:$I$89,3,0)*VLOOKUP('Données projet'!$B$13,Paramètres!$A$1:$I$89,5,0)</f>
        <v>-1.0818439477588981E-13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307.62549820830162</v>
      </c>
      <c r="CZ161" s="59">
        <f t="shared" si="150"/>
        <v>160.26466014910304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50.201331217832596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50.201331217832596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69.338750956845843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-1.7053025658242404E-13</v>
      </c>
      <c r="DP161" s="17">
        <f>DO161*VLOOKUP('Données projet'!$B$14,Paramètres!$A$1:$I$89,3,0)*VLOOKUP('Données projet'!$B$14,Paramètres!$A$1:$I$89,5,0)</f>
        <v>-1.3567387213697657E-13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309.14579005132464</v>
      </c>
      <c r="DU161" s="59">
        <f t="shared" si="152"/>
        <v>300.60311050289533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19.644201924201006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19.644201924201006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69.338750956845843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>
        <f>EJ161*VLOOKUP('Données projet'!$B$15,Paramètres!$A$1:$I$89,3,0)*VLOOKUP('Données projet'!$B$15,Paramètres!$A$1:$I$89,5,0)</f>
        <v>0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338.59243085476896</v>
      </c>
      <c r="EP161" s="59">
        <f t="shared" si="154"/>
        <v>329.8393445823275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18.200078306199526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18.200078306199526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69.338750956845843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>
        <f>FE161*VLOOKUP('Données projet'!$B$16,Paramètres!$A$1:$I$89,3,0)*VLOOKUP('Données projet'!$B$16,Paramètres!$A$1:$I$89,5,0)</f>
        <v>0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307.50573770128085</v>
      </c>
      <c r="FK161" s="59">
        <f t="shared" si="156"/>
        <v>300.2007312562655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16.263899762986814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16.263899762986814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69.338750956845843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>
        <f>FZ161*VLOOKUP('Données projet'!$B$17,Paramètres!$A$1:$I$89,3,0)*VLOOKUP('Données projet'!$B$17,Paramètres!$A$1:$I$89,5,0)</f>
        <v>0</v>
      </c>
      <c r="GB161" s="13" t="e">
        <f t="shared" si="185"/>
        <v>#NUM!</v>
      </c>
      <c r="GC161" s="20" t="e">
        <f t="shared" si="186"/>
        <v>#NUM!</v>
      </c>
      <c r="GD161" s="59" t="e">
        <f t="shared" si="134"/>
        <v>#NUM!</v>
      </c>
      <c r="GE161" s="59">
        <f ca="1">AVERAGE(OFFSET($GD$3,0,0,'Données projet'!$E$17+1,1))-AVERAGE(OFFSET($H$3,0,0,'Données projet'!$E$17+1,1))</f>
        <v>369.60865427618342</v>
      </c>
      <c r="GF161" s="59">
        <f t="shared" si="158"/>
        <v>359.40898775279197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20.136256849412248</v>
      </c>
      <c r="GM161" s="21">
        <f>EXP(-LN(2)/25)*GM160+(1-EXP(-LN(2)/25))/(LN(2)/25)*Calculateur!GH161*Calculateur!GJ161*VLOOKUP('Données projet'!$B$17,Paramètres!$A$1:$I$89,3,0)*0.475*44/12</f>
        <v>0</v>
      </c>
      <c r="GN161" s="21">
        <f>EXP(-LN(2)/2)*GN160+(1-EXP(-LN(2)/2))/(LN(2)/2)*GH161*GK161*VLOOKUP('Données projet'!$B$17,Paramètres!$A$1:$I$89,3,0)*0.475*44/12</f>
        <v>0</v>
      </c>
      <c r="GO161" s="21">
        <f t="shared" si="187"/>
        <v>20.136256849412248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69.338750956845843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-1.7053025658242404E-13</v>
      </c>
      <c r="GV161" s="17">
        <f>GU161*VLOOKUP('Données projet'!$B$18,Paramètres!$A$1:$I$89,3,0)*VLOOKUP('Données projet'!$B$18,Paramètres!$A$1:$I$89,5,0)</f>
        <v>-1.1173142411280423E-13</v>
      </c>
      <c r="GW161" s="13" t="e">
        <f t="shared" si="188"/>
        <v>#NUM!</v>
      </c>
      <c r="GX161" s="20" t="e">
        <f t="shared" si="189"/>
        <v>#NUM!</v>
      </c>
      <c r="GY161" s="59" t="e">
        <f t="shared" si="137"/>
        <v>#NUM!</v>
      </c>
      <c r="GZ161" s="59">
        <f ca="1">AVERAGE(OFFSET($GY$3,0,0,'Données projet'!$E$18+1,1))-AVERAGE(OFFSET($H$3,0,0,'Données projet'!$E$18+1,1))</f>
        <v>262.62914256200031</v>
      </c>
      <c r="HA161" s="59">
        <f t="shared" si="160"/>
        <v>256.45129229594409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projet'!$B$18,Paramètres!$A$1:$I$89,3,0)*0.475*44/12</f>
        <v>13.125204837257504</v>
      </c>
      <c r="HH161" s="21">
        <f>EXP(-LN(2)/25)*HH160+(1-EXP(-LN(2)/25))/(LN(2)/25)*Calculateur!HC161*Calculateur!HE161*VLOOKUP('Données projet'!$B$18,Paramètres!$A$1:$I$89,3,0)*0.475*44/12</f>
        <v>0</v>
      </c>
      <c r="HI161" s="21">
        <f>EXP(-LN(2)/2)*HI160+(1-EXP(-LN(2)/2))/(LN(2)/2)*HC161*HF161*VLOOKUP('Données projet'!$B$18,Paramètres!$A$1:$I$89,3,0)*0.475*44/12</f>
        <v>0</v>
      </c>
      <c r="HJ161" s="22">
        <f t="shared" si="190"/>
        <v>13.125204837257504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2.1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7.7</v>
      </c>
      <c r="H162" s="67">
        <f t="shared" si="110"/>
        <v>225.86666666666665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69.35022214941317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5.6843418860808015E-14</v>
      </c>
      <c r="O162" s="13">
        <f>N162*VLOOKUP('Données projet'!$B$9,Paramètres!$A$1:$I$89,3,0)*VLOOKUP('Données projet'!$B$9,Paramètres!$A$1:$I$89,5,0)</f>
        <v>4.8771653382573282E-14</v>
      </c>
      <c r="P162" s="13">
        <f t="shared" si="141"/>
        <v>7.9655698259503351E-13</v>
      </c>
      <c r="Q162" s="20">
        <f t="shared" si="162"/>
        <v>1.4722807076609983E-12</v>
      </c>
      <c r="R162" s="59">
        <f t="shared" si="109"/>
        <v>290.9508145478498</v>
      </c>
      <c r="S162" s="59">
        <f ca="1">AVERAGE(OFFSET($R$3,0,0,'Données projet'!$E$9+1,1))-AVERAGE(OFFSET($H$3,0,0,'Données projet'!$E$9+1,1))</f>
        <v>476.79071915271794</v>
      </c>
      <c r="T162" s="59">
        <f t="shared" si="142"/>
        <v>264.79929759351762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105.46483792992608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105.46483792992608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69.35022214941317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-9.5769792096689348E-14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365.104658862176</v>
      </c>
      <c r="AO162" s="59">
        <f t="shared" si="144"/>
        <v>226.29232910286325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59.991253650386113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59.991253650386113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69.35022214941317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-1.1368683772161603E-13</v>
      </c>
      <c r="BE162" s="13">
        <f>BD162*VLOOKUP('Données projet'!$B$11,Paramètres!$A$1:$I$89,3,0)*VLOOKUP('Données projet'!$B$11,Paramètres!$A$1:$I$89,5,0)</f>
        <v>-1.0286385077051818E-13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388.12494342575195</v>
      </c>
      <c r="BJ162" s="59">
        <f t="shared" si="146"/>
        <v>239.39471445648454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64.435050217081425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64.435050217081425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69.35022214941317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-1.1368683772161603E-13</v>
      </c>
      <c r="BZ162" s="13">
        <f>BY162*VLOOKUP('Données projet'!$B$12,Paramètres!$A$1:$I$89,3,0)*VLOOKUP('Données projet'!$B$12,Paramètres!$A$1:$I$89,5,0)</f>
        <v>-1.1527845344971866E-13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428.33148932885132</v>
      </c>
      <c r="CE162" s="59">
        <f t="shared" si="148"/>
        <v>262.27548054534373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72.211694208798079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72.211694208798079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69.35022214941317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-1.1368683772161603E-13</v>
      </c>
      <c r="CU162" s="17">
        <f>CT162*VLOOKUP('Données projet'!$B$13,Paramètres!$A$1:$I$89,3,0)*VLOOKUP('Données projet'!$B$13,Paramètres!$A$1:$I$89,5,0)</f>
        <v>-1.0818439477588981E-13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307.62549820830162</v>
      </c>
      <c r="CZ162" s="59">
        <f t="shared" si="150"/>
        <v>160.26466014910304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49.216913732439487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49.216913732439487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69.35022214941317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-1.7053025658242404E-13</v>
      </c>
      <c r="DP162" s="17">
        <f>DO162*VLOOKUP('Données projet'!$B$14,Paramètres!$A$1:$I$89,3,0)*VLOOKUP('Données projet'!$B$14,Paramètres!$A$1:$I$89,5,0)</f>
        <v>-1.3567387213697657E-13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309.14579005132464</v>
      </c>
      <c r="DU162" s="59">
        <f t="shared" si="152"/>
        <v>300.60311050289533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19.258991106247496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19.258991106247496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69.35022214941317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>
        <f>EJ162*VLOOKUP('Données projet'!$B$15,Paramètres!$A$1:$I$89,3,0)*VLOOKUP('Données projet'!$B$15,Paramètres!$A$1:$I$89,5,0)</f>
        <v>0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338.59243085476896</v>
      </c>
      <c r="EP162" s="59">
        <f t="shared" si="154"/>
        <v>329.8393445823275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17.843185871566593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17.843185871566593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69.35022214941317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>
        <f>FE162*VLOOKUP('Données projet'!$B$16,Paramètres!$A$1:$I$89,3,0)*VLOOKUP('Données projet'!$B$16,Paramètres!$A$1:$I$89,5,0)</f>
        <v>0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307.50573770128085</v>
      </c>
      <c r="FK162" s="59">
        <f t="shared" si="156"/>
        <v>300.2007312562655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15.944974608633979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15.944974608633979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69.35022214941317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>
        <f>FZ162*VLOOKUP('Données projet'!$B$17,Paramètres!$A$1:$I$89,3,0)*VLOOKUP('Données projet'!$B$17,Paramètres!$A$1:$I$89,5,0)</f>
        <v>0</v>
      </c>
      <c r="GB162" s="13" t="e">
        <f t="shared" si="185"/>
        <v>#NUM!</v>
      </c>
      <c r="GC162" s="20" t="e">
        <f t="shared" si="186"/>
        <v>#NUM!</v>
      </c>
      <c r="GD162" s="59" t="e">
        <f t="shared" si="134"/>
        <v>#NUM!</v>
      </c>
      <c r="GE162" s="59">
        <f ca="1">AVERAGE(OFFSET($GD$3,0,0,'Données projet'!$E$17+1,1))-AVERAGE(OFFSET($H$3,0,0,'Données projet'!$E$17+1,1))</f>
        <v>369.60865427618342</v>
      </c>
      <c r="GF162" s="59">
        <f t="shared" si="158"/>
        <v>359.40898775279197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19.741397134499216</v>
      </c>
      <c r="GM162" s="21">
        <f>EXP(-LN(2)/25)*GM161+(1-EXP(-LN(2)/25))/(LN(2)/25)*Calculateur!GH162*Calculateur!GJ162*VLOOKUP('Données projet'!$B$17,Paramètres!$A$1:$I$89,3,0)*0.475*44/12</f>
        <v>0</v>
      </c>
      <c r="GN162" s="21">
        <f>EXP(-LN(2)/2)*GN161+(1-EXP(-LN(2)/2))/(LN(2)/2)*GH162*GK162*VLOOKUP('Données projet'!$B$17,Paramètres!$A$1:$I$89,3,0)*0.475*44/12</f>
        <v>0</v>
      </c>
      <c r="GO162" s="21">
        <f t="shared" si="187"/>
        <v>19.741397134499216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69.35022214941317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-1.7053025658242404E-13</v>
      </c>
      <c r="GV162" s="17">
        <f>GU162*VLOOKUP('Données projet'!$B$18,Paramètres!$A$1:$I$89,3,0)*VLOOKUP('Données projet'!$B$18,Paramètres!$A$1:$I$89,5,0)</f>
        <v>-1.1173142411280423E-13</v>
      </c>
      <c r="GW162" s="13" t="e">
        <f t="shared" si="188"/>
        <v>#NUM!</v>
      </c>
      <c r="GX162" s="20" t="e">
        <f t="shared" si="189"/>
        <v>#NUM!</v>
      </c>
      <c r="GY162" s="59" t="e">
        <f t="shared" si="137"/>
        <v>#NUM!</v>
      </c>
      <c r="GZ162" s="59">
        <f ca="1">AVERAGE(OFFSET($GY$3,0,0,'Données projet'!$E$18+1,1))-AVERAGE(OFFSET($H$3,0,0,'Données projet'!$E$18+1,1))</f>
        <v>262.62914256200031</v>
      </c>
      <c r="HA162" s="59">
        <f t="shared" si="160"/>
        <v>256.45129229594409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projet'!$B$18,Paramètres!$A$1:$I$89,3,0)*0.475*44/12</f>
        <v>12.86782757598335</v>
      </c>
      <c r="HH162" s="21">
        <f>EXP(-LN(2)/25)*HH161+(1-EXP(-LN(2)/25))/(LN(2)/25)*Calculateur!HC162*Calculateur!HE162*VLOOKUP('Données projet'!$B$18,Paramètres!$A$1:$I$89,3,0)*0.475*44/12</f>
        <v>0</v>
      </c>
      <c r="HI162" s="21">
        <f>EXP(-LN(2)/2)*HI161+(1-EXP(-LN(2)/2))/(LN(2)/2)*HC162*HF162*VLOOKUP('Données projet'!$B$18,Paramètres!$A$1:$I$89,3,0)*0.475*44/12</f>
        <v>0</v>
      </c>
      <c r="HJ162" s="22">
        <f t="shared" si="190"/>
        <v>12.86782757598335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2.1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7.7</v>
      </c>
      <c r="H163" s="67">
        <f t="shared" si="110"/>
        <v>225.86666666666665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69.361494342435208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5.6843418860808015E-14</v>
      </c>
      <c r="O163" s="13">
        <f>N163*VLOOKUP('Données projet'!$B$9,Paramètres!$A$1:$I$89,3,0)*VLOOKUP('Données projet'!$B$9,Paramètres!$A$1:$I$89,5,0)</f>
        <v>4.8771653382573282E-14</v>
      </c>
      <c r="P163" s="13">
        <f t="shared" si="141"/>
        <v>7.9655698259503351E-13</v>
      </c>
      <c r="Q163" s="20">
        <f t="shared" si="162"/>
        <v>1.4722807076609983E-12</v>
      </c>
      <c r="R163" s="59">
        <f t="shared" si="109"/>
        <v>290.99214592226389</v>
      </c>
      <c r="S163" s="59">
        <f ca="1">AVERAGE(OFFSET($R$3,0,0,'Données projet'!$E$9+1,1))-AVERAGE(OFFSET($H$3,0,0,'Données projet'!$E$9+1,1))</f>
        <v>476.79071915271794</v>
      </c>
      <c r="T163" s="59">
        <f t="shared" si="142"/>
        <v>264.79929759351762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103.39673678531958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103.39673678531958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69.361494342435208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-9.5769792096689348E-14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365.104658862176</v>
      </c>
      <c r="AO163" s="59">
        <f t="shared" si="144"/>
        <v>226.29232910286325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58.814861757353704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58.814861757353704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69.361494342435208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-1.1368683772161603E-13</v>
      </c>
      <c r="BE163" s="13">
        <f>BD163*VLOOKUP('Données projet'!$B$11,Paramètres!$A$1:$I$89,3,0)*VLOOKUP('Données projet'!$B$11,Paramètres!$A$1:$I$89,5,0)</f>
        <v>-1.0286385077051818E-13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388.12494342575195</v>
      </c>
      <c r="BJ163" s="59">
        <f t="shared" si="146"/>
        <v>239.39471445648454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63.171518183824389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63.171518183824389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69.361494342435208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-1.1368683772161603E-13</v>
      </c>
      <c r="BZ163" s="13">
        <f>BY163*VLOOKUP('Données projet'!$B$12,Paramètres!$A$1:$I$89,3,0)*VLOOKUP('Données projet'!$B$12,Paramètres!$A$1:$I$89,5,0)</f>
        <v>-1.1527845344971866E-13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428.33148932885132</v>
      </c>
      <c r="CE163" s="59">
        <f t="shared" si="148"/>
        <v>262.27548054534373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70.795666930147959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70.795666930147959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69.361494342435208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-1.1368683772161603E-13</v>
      </c>
      <c r="CU163" s="17">
        <f>CT163*VLOOKUP('Données projet'!$B$13,Paramètres!$A$1:$I$89,3,0)*VLOOKUP('Données projet'!$B$13,Paramètres!$A$1:$I$89,5,0)</f>
        <v>-1.0818439477588981E-13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307.62549820830162</v>
      </c>
      <c r="CZ163" s="59">
        <f t="shared" si="150"/>
        <v>160.26466014910304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48.25180007349956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48.25180007349956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69.361494342435208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-1.7053025658242404E-13</v>
      </c>
      <c r="DP163" s="17">
        <f>DO163*VLOOKUP('Données projet'!$B$14,Paramètres!$A$1:$I$89,3,0)*VLOOKUP('Données projet'!$B$14,Paramètres!$A$1:$I$89,5,0)</f>
        <v>-1.3567387213697657E-13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309.14579005132464</v>
      </c>
      <c r="DU163" s="59">
        <f t="shared" si="152"/>
        <v>300.60311050289533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18.881334037478656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18.881334037478656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69.361494342435208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>
        <f>EJ163*VLOOKUP('Données projet'!$B$15,Paramètres!$A$1:$I$89,3,0)*VLOOKUP('Données projet'!$B$15,Paramètres!$A$1:$I$89,5,0)</f>
        <v>0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338.59243085476896</v>
      </c>
      <c r="EP163" s="59">
        <f t="shared" si="154"/>
        <v>329.8393445823275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17.493291879893921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17.493291879893921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69.361494342435208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>
        <f>FE163*VLOOKUP('Données projet'!$B$16,Paramètres!$A$1:$I$89,3,0)*VLOOKUP('Données projet'!$B$16,Paramètres!$A$1:$I$89,5,0)</f>
        <v>0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307.50573770128085</v>
      </c>
      <c r="FK163" s="59">
        <f t="shared" si="156"/>
        <v>300.2007312562655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15.632303382032868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15.632303382032868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69.361494342435208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>
        <f>FZ163*VLOOKUP('Données projet'!$B$17,Paramètres!$A$1:$I$89,3,0)*VLOOKUP('Données projet'!$B$17,Paramètres!$A$1:$I$89,5,0)</f>
        <v>0</v>
      </c>
      <c r="GB163" s="13" t="e">
        <f t="shared" si="185"/>
        <v>#NUM!</v>
      </c>
      <c r="GC163" s="20" t="e">
        <f t="shared" si="186"/>
        <v>#NUM!</v>
      </c>
      <c r="GD163" s="59" t="e">
        <f t="shared" si="134"/>
        <v>#NUM!</v>
      </c>
      <c r="GE163" s="59">
        <f ca="1">AVERAGE(OFFSET($GD$3,0,0,'Données projet'!$E$17+1,1))-AVERAGE(OFFSET($H$3,0,0,'Données projet'!$E$17+1,1))</f>
        <v>369.60865427618342</v>
      </c>
      <c r="GF163" s="59">
        <f t="shared" si="158"/>
        <v>359.40898775279197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19.354280377754982</v>
      </c>
      <c r="GM163" s="21">
        <f>EXP(-LN(2)/25)*GM162+(1-EXP(-LN(2)/25))/(LN(2)/25)*Calculateur!GH163*Calculateur!GJ163*VLOOKUP('Données projet'!$B$17,Paramètres!$A$1:$I$89,3,0)*0.475*44/12</f>
        <v>0</v>
      </c>
      <c r="GN163" s="21">
        <f>EXP(-LN(2)/2)*GN162+(1-EXP(-LN(2)/2))/(LN(2)/2)*GH163*GK163*VLOOKUP('Données projet'!$B$17,Paramètres!$A$1:$I$89,3,0)*0.475*44/12</f>
        <v>0</v>
      </c>
      <c r="GO163" s="21">
        <f t="shared" si="187"/>
        <v>19.354280377754982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69.361494342435208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-1.7053025658242404E-13</v>
      </c>
      <c r="GV163" s="17">
        <f>GU163*VLOOKUP('Données projet'!$B$18,Paramètres!$A$1:$I$89,3,0)*VLOOKUP('Données projet'!$B$18,Paramètres!$A$1:$I$89,5,0)</f>
        <v>-1.1173142411280423E-13</v>
      </c>
      <c r="GW163" s="13" t="e">
        <f t="shared" si="188"/>
        <v>#NUM!</v>
      </c>
      <c r="GX163" s="20" t="e">
        <f t="shared" si="189"/>
        <v>#NUM!</v>
      </c>
      <c r="GY163" s="59" t="e">
        <f t="shared" si="137"/>
        <v>#NUM!</v>
      </c>
      <c r="GZ163" s="59">
        <f ca="1">AVERAGE(OFFSET($GY$3,0,0,'Données projet'!$E$18+1,1))-AVERAGE(OFFSET($H$3,0,0,'Données projet'!$E$18+1,1))</f>
        <v>262.62914256200031</v>
      </c>
      <c r="HA163" s="59">
        <f t="shared" si="160"/>
        <v>256.45129229594409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projet'!$B$18,Paramètres!$A$1:$I$89,3,0)*0.475*44/12</f>
        <v>12.615497325818152</v>
      </c>
      <c r="HH163" s="21">
        <f>EXP(-LN(2)/25)*HH162+(1-EXP(-LN(2)/25))/(LN(2)/25)*Calculateur!HC163*Calculateur!HE163*VLOOKUP('Données projet'!$B$18,Paramètres!$A$1:$I$89,3,0)*0.475*44/12</f>
        <v>0</v>
      </c>
      <c r="HI163" s="21">
        <f>EXP(-LN(2)/2)*HI162+(1-EXP(-LN(2)/2))/(LN(2)/2)*HC163*HF163*VLOOKUP('Données projet'!$B$18,Paramètres!$A$1:$I$89,3,0)*0.475*44/12</f>
        <v>0</v>
      </c>
      <c r="HJ163" s="22">
        <f t="shared" si="190"/>
        <v>12.615497325818152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2.1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7.7</v>
      </c>
      <c r="H164" s="67">
        <f t="shared" si="110"/>
        <v>225.86666666666665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69.37257098810916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5.6843418860808015E-14</v>
      </c>
      <c r="O164" s="13">
        <f>N164*VLOOKUP('Données projet'!$B$9,Paramètres!$A$1:$I$89,3,0)*VLOOKUP('Données projet'!$B$9,Paramètres!$A$1:$I$89,5,0)</f>
        <v>4.8771653382573282E-14</v>
      </c>
      <c r="P164" s="13">
        <f t="shared" si="141"/>
        <v>7.9655698259503351E-13</v>
      </c>
      <c r="Q164" s="20">
        <f t="shared" si="162"/>
        <v>1.4722807076609983E-12</v>
      </c>
      <c r="R164" s="59">
        <f t="shared" si="109"/>
        <v>291.03276028973505</v>
      </c>
      <c r="S164" s="59">
        <f ca="1">AVERAGE(OFFSET($R$3,0,0,'Données projet'!$E$9+1,1))-AVERAGE(OFFSET($H$3,0,0,'Données projet'!$E$9+1,1))</f>
        <v>476.79071915271794</v>
      </c>
      <c r="T164" s="59">
        <f t="shared" si="142"/>
        <v>264.79929759351762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101.36918984274166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101.36918984274166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69.37257098810916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-9.5769792096689348E-14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365.104658862176</v>
      </c>
      <c r="AO164" s="59">
        <f t="shared" si="144"/>
        <v>226.29232910286325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57.661538191815453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57.661538191815453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69.37257098810916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-1.1368683772161603E-13</v>
      </c>
      <c r="BE164" s="13">
        <f>BD164*VLOOKUP('Données projet'!$B$11,Paramètres!$A$1:$I$89,3,0)*VLOOKUP('Données projet'!$B$11,Paramètres!$A$1:$I$89,5,0)</f>
        <v>-1.0286385077051818E-13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388.12494342575195</v>
      </c>
      <c r="BJ164" s="59">
        <f t="shared" si="146"/>
        <v>239.39471445648454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61.932763243061082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61.932763243061082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69.37257098810916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-1.1368683772161603E-13</v>
      </c>
      <c r="BZ164" s="13">
        <f>BY164*VLOOKUP('Données projet'!$B$12,Paramètres!$A$1:$I$89,3,0)*VLOOKUP('Données projet'!$B$12,Paramètres!$A$1:$I$89,5,0)</f>
        <v>-1.1527845344971866E-13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428.33148932885132</v>
      </c>
      <c r="CE164" s="59">
        <f t="shared" si="148"/>
        <v>262.27548054534373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69.407407082740804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69.407407082740804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69.37257098810916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-1.1368683772161603E-13</v>
      </c>
      <c r="CU164" s="17">
        <f>CT164*VLOOKUP('Données projet'!$B$13,Paramètres!$A$1:$I$89,3,0)*VLOOKUP('Données projet'!$B$13,Paramètres!$A$1:$I$89,5,0)</f>
        <v>-1.0818439477588981E-13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307.62549820830162</v>
      </c>
      <c r="CZ164" s="59">
        <f t="shared" si="150"/>
        <v>160.26466014910304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47.305611704750241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47.305611704750241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69.37257098810916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-1.7053025658242404E-13</v>
      </c>
      <c r="DP164" s="17">
        <f>DO164*VLOOKUP('Données projet'!$B$14,Paramètres!$A$1:$I$89,3,0)*VLOOKUP('Données projet'!$B$14,Paramètres!$A$1:$I$89,5,0)</f>
        <v>-1.3567387213697657E-13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309.14579005132464</v>
      </c>
      <c r="DU164" s="59">
        <f t="shared" si="152"/>
        <v>300.60311050289533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18.511082593480303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18.511082593480303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69.37257098810916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>
        <f>EJ164*VLOOKUP('Données projet'!$B$15,Paramètres!$A$1:$I$89,3,0)*VLOOKUP('Données projet'!$B$15,Paramètres!$A$1:$I$89,5,0)</f>
        <v>0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338.59243085476896</v>
      </c>
      <c r="EP164" s="59">
        <f t="shared" si="154"/>
        <v>329.8393445823275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17.150259095983685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17.150259095983685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69.37257098810916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>
        <f>FE164*VLOOKUP('Données projet'!$B$16,Paramètres!$A$1:$I$89,3,0)*VLOOKUP('Données projet'!$B$16,Paramètres!$A$1:$I$89,5,0)</f>
        <v>0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307.50573770128085</v>
      </c>
      <c r="FK164" s="59">
        <f t="shared" si="156"/>
        <v>300.2007312562655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15.325763447474786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15.325763447474786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69.37257098810916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>
        <f>FZ164*VLOOKUP('Données projet'!$B$17,Paramètres!$A$1:$I$89,3,0)*VLOOKUP('Données projet'!$B$17,Paramètres!$A$1:$I$89,5,0)</f>
        <v>0</v>
      </c>
      <c r="GB164" s="13" t="e">
        <f t="shared" si="185"/>
        <v>#NUM!</v>
      </c>
      <c r="GC164" s="20" t="e">
        <f t="shared" si="186"/>
        <v>#NUM!</v>
      </c>
      <c r="GD164" s="59" t="e">
        <f t="shared" si="134"/>
        <v>#NUM!</v>
      </c>
      <c r="GE164" s="59">
        <f ca="1">AVERAGE(OFFSET($GD$3,0,0,'Données projet'!$E$17+1,1))-AVERAGE(OFFSET($H$3,0,0,'Données projet'!$E$17+1,1))</f>
        <v>369.60865427618342</v>
      </c>
      <c r="GF164" s="59">
        <f t="shared" si="158"/>
        <v>359.40898775279197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18.974754744492596</v>
      </c>
      <c r="GM164" s="21">
        <f>EXP(-LN(2)/25)*GM163+(1-EXP(-LN(2)/25))/(LN(2)/25)*Calculateur!GH164*Calculateur!GJ164*VLOOKUP('Données projet'!$B$17,Paramètres!$A$1:$I$89,3,0)*0.475*44/12</f>
        <v>0</v>
      </c>
      <c r="GN164" s="21">
        <f>EXP(-LN(2)/2)*GN163+(1-EXP(-LN(2)/2))/(LN(2)/2)*GH164*GK164*VLOOKUP('Données projet'!$B$17,Paramètres!$A$1:$I$89,3,0)*0.475*44/12</f>
        <v>0</v>
      </c>
      <c r="GO164" s="21">
        <f t="shared" si="187"/>
        <v>18.974754744492596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69.37257098810916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-1.7053025658242404E-13</v>
      </c>
      <c r="GV164" s="17">
        <f>GU164*VLOOKUP('Données projet'!$B$18,Paramètres!$A$1:$I$89,3,0)*VLOOKUP('Données projet'!$B$18,Paramètres!$A$1:$I$89,5,0)</f>
        <v>-1.1173142411280423E-13</v>
      </c>
      <c r="GW164" s="13" t="e">
        <f t="shared" si="188"/>
        <v>#NUM!</v>
      </c>
      <c r="GX164" s="20" t="e">
        <f t="shared" si="189"/>
        <v>#NUM!</v>
      </c>
      <c r="GY164" s="59" t="e">
        <f t="shared" si="137"/>
        <v>#NUM!</v>
      </c>
      <c r="GZ164" s="59">
        <f ca="1">AVERAGE(OFFSET($GY$3,0,0,'Données projet'!$E$18+1,1))-AVERAGE(OFFSET($H$3,0,0,'Données projet'!$E$18+1,1))</f>
        <v>262.62914256200031</v>
      </c>
      <c r="HA164" s="59">
        <f t="shared" si="160"/>
        <v>256.45129229594409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projet'!$B$18,Paramètres!$A$1:$I$89,3,0)*0.475*44/12</f>
        <v>12.368115117952438</v>
      </c>
      <c r="HH164" s="21">
        <f>EXP(-LN(2)/25)*HH163+(1-EXP(-LN(2)/25))/(LN(2)/25)*Calculateur!HC164*Calculateur!HE164*VLOOKUP('Données projet'!$B$18,Paramètres!$A$1:$I$89,3,0)*0.475*44/12</f>
        <v>0</v>
      </c>
      <c r="HI164" s="21">
        <f>EXP(-LN(2)/2)*HI163+(1-EXP(-LN(2)/2))/(LN(2)/2)*HC164*HF164*VLOOKUP('Données projet'!$B$18,Paramètres!$A$1:$I$89,3,0)*0.475*44/12</f>
        <v>0</v>
      </c>
      <c r="HJ164" s="22">
        <f t="shared" si="190"/>
        <v>12.368115117952438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2.1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7.7</v>
      </c>
      <c r="H165" s="67">
        <f t="shared" si="110"/>
        <v>225.86666666666665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69.383455478744338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5.6843418860808015E-14</v>
      </c>
      <c r="O165" s="13">
        <f>N165*VLOOKUP('Données projet'!$B$9,Paramètres!$A$1:$I$89,3,0)*VLOOKUP('Données projet'!$B$9,Paramètres!$A$1:$I$89,5,0)</f>
        <v>4.8771653382573282E-14</v>
      </c>
      <c r="P165" s="13">
        <f t="shared" si="141"/>
        <v>7.9655698259503351E-13</v>
      </c>
      <c r="Q165" s="20">
        <f t="shared" si="162"/>
        <v>1.4722807076609983E-12</v>
      </c>
      <c r="R165" s="59">
        <f t="shared" si="109"/>
        <v>291.07267008873072</v>
      </c>
      <c r="S165" s="59">
        <f ca="1">AVERAGE(OFFSET($R$3,0,0,'Données projet'!$E$9+1,1))-AVERAGE(OFFSET($H$3,0,0,'Données projet'!$E$9+1,1))</f>
        <v>476.79071915271794</v>
      </c>
      <c r="T165" s="59">
        <f t="shared" si="142"/>
        <v>264.79929759351762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99.381401859026184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99.381401859026184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69.383455478744338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-9.5769792096689348E-14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365.104658862176</v>
      </c>
      <c r="AO165" s="59">
        <f t="shared" si="144"/>
        <v>226.29232910286325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56.530830597939492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56.530830597939492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69.383455478744338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-1.1368683772161603E-13</v>
      </c>
      <c r="BE165" s="13">
        <f>BD165*VLOOKUP('Données projet'!$B$11,Paramètres!$A$1:$I$89,3,0)*VLOOKUP('Données projet'!$B$11,Paramètres!$A$1:$I$89,5,0)</f>
        <v>-1.0286385077051818E-13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388.12494342575195</v>
      </c>
      <c r="BJ165" s="59">
        <f t="shared" si="146"/>
        <v>239.39471445648454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60.718299531120238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60.718299531120238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69.383455478744338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-1.1368683772161603E-13</v>
      </c>
      <c r="BZ165" s="13">
        <f>BY165*VLOOKUP('Données projet'!$B$12,Paramètres!$A$1:$I$89,3,0)*VLOOKUP('Données projet'!$B$12,Paramètres!$A$1:$I$89,5,0)</f>
        <v>-1.1527845344971866E-13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428.33148932885132</v>
      </c>
      <c r="CE165" s="59">
        <f t="shared" si="148"/>
        <v>262.27548054534373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68.046370164186413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68.046370164186413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69.383455478744338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-1.1368683772161603E-13</v>
      </c>
      <c r="CU165" s="17">
        <f>CT165*VLOOKUP('Données projet'!$B$13,Paramètres!$A$1:$I$89,3,0)*VLOOKUP('Données projet'!$B$13,Paramètres!$A$1:$I$89,5,0)</f>
        <v>-1.0818439477588981E-13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307.62549820830162</v>
      </c>
      <c r="CZ165" s="59">
        <f t="shared" si="150"/>
        <v>160.26466014910304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46.377977512794175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46.377977512794175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69.383455478744338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-1.7053025658242404E-13</v>
      </c>
      <c r="DP165" s="17">
        <f>DO165*VLOOKUP('Données projet'!$B$14,Paramètres!$A$1:$I$89,3,0)*VLOOKUP('Données projet'!$B$14,Paramètres!$A$1:$I$89,5,0)</f>
        <v>-1.3567387213697657E-13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309.14579005132464</v>
      </c>
      <c r="DU165" s="59">
        <f t="shared" si="152"/>
        <v>300.60311050289533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18.148091554467676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18.148091554467676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69.383455478744338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>
        <f>EJ165*VLOOKUP('Données projet'!$B$15,Paramètres!$A$1:$I$89,3,0)*VLOOKUP('Données projet'!$B$15,Paramètres!$A$1:$I$89,5,0)</f>
        <v>0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338.59243085476896</v>
      </c>
      <c r="EP165" s="59">
        <f t="shared" si="154"/>
        <v>329.8393445823275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16.813952975736594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16.813952975736594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69.383455478744338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>
        <f>FE165*VLOOKUP('Données projet'!$B$16,Paramètres!$A$1:$I$89,3,0)*VLOOKUP('Données projet'!$B$16,Paramètres!$A$1:$I$89,5,0)</f>
        <v>0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307.50573770128085</v>
      </c>
      <c r="FK165" s="59">
        <f t="shared" si="156"/>
        <v>300.2007312562655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15.025234574062491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15.025234574062491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69.383455478744338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>
        <f>FZ165*VLOOKUP('Données projet'!$B$17,Paramètres!$A$1:$I$89,3,0)*VLOOKUP('Données projet'!$B$17,Paramètres!$A$1:$I$89,5,0)</f>
        <v>0</v>
      </c>
      <c r="GB165" s="13" t="e">
        <f t="shared" si="185"/>
        <v>#NUM!</v>
      </c>
      <c r="GC165" s="20" t="e">
        <f t="shared" si="186"/>
        <v>#NUM!</v>
      </c>
      <c r="GD165" s="59" t="e">
        <f t="shared" si="134"/>
        <v>#NUM!</v>
      </c>
      <c r="GE165" s="59">
        <f ca="1">AVERAGE(OFFSET($GD$3,0,0,'Données projet'!$E$17+1,1))-AVERAGE(OFFSET($H$3,0,0,'Données projet'!$E$17+1,1))</f>
        <v>369.60865427618342</v>
      </c>
      <c r="GF165" s="59">
        <f t="shared" si="158"/>
        <v>359.40898775279197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18.602671377410708</v>
      </c>
      <c r="GM165" s="21">
        <f>EXP(-LN(2)/25)*GM164+(1-EXP(-LN(2)/25))/(LN(2)/25)*Calculateur!GH165*Calculateur!GJ165*VLOOKUP('Données projet'!$B$17,Paramètres!$A$1:$I$89,3,0)*0.475*44/12</f>
        <v>0</v>
      </c>
      <c r="GN165" s="21">
        <f>EXP(-LN(2)/2)*GN164+(1-EXP(-LN(2)/2))/(LN(2)/2)*GH165*GK165*VLOOKUP('Données projet'!$B$17,Paramètres!$A$1:$I$89,3,0)*0.475*44/12</f>
        <v>0</v>
      </c>
      <c r="GO165" s="21">
        <f t="shared" si="187"/>
        <v>18.602671377410708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69.383455478744338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-1.7053025658242404E-13</v>
      </c>
      <c r="GV165" s="17">
        <f>GU165*VLOOKUP('Données projet'!$B$18,Paramètres!$A$1:$I$89,3,0)*VLOOKUP('Données projet'!$B$18,Paramètres!$A$1:$I$89,5,0)</f>
        <v>-1.1173142411280423E-13</v>
      </c>
      <c r="GW165" s="13" t="e">
        <f t="shared" si="188"/>
        <v>#NUM!</v>
      </c>
      <c r="GX165" s="20" t="e">
        <f t="shared" si="189"/>
        <v>#NUM!</v>
      </c>
      <c r="GY165" s="59" t="e">
        <f t="shared" si="137"/>
        <v>#NUM!</v>
      </c>
      <c r="GZ165" s="59">
        <f ca="1">AVERAGE(OFFSET($GY$3,0,0,'Données projet'!$E$18+1,1))-AVERAGE(OFFSET($H$3,0,0,'Données projet'!$E$18+1,1))</f>
        <v>262.62914256200031</v>
      </c>
      <c r="HA165" s="59">
        <f t="shared" si="160"/>
        <v>256.45129229594409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projet'!$B$18,Paramètres!$A$1:$I$89,3,0)*0.475*44/12</f>
        <v>12.125583924294725</v>
      </c>
      <c r="HH165" s="21">
        <f>EXP(-LN(2)/25)*HH164+(1-EXP(-LN(2)/25))/(LN(2)/25)*Calculateur!HC165*Calculateur!HE165*VLOOKUP('Données projet'!$B$18,Paramètres!$A$1:$I$89,3,0)*0.475*44/12</f>
        <v>0</v>
      </c>
      <c r="HI165" s="21">
        <f>EXP(-LN(2)/2)*HI164+(1-EXP(-LN(2)/2))/(LN(2)/2)*HC165*HF165*VLOOKUP('Données projet'!$B$18,Paramètres!$A$1:$I$89,3,0)*0.475*44/12</f>
        <v>0</v>
      </c>
      <c r="HJ165" s="22">
        <f t="shared" si="190"/>
        <v>12.125583924294725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2.1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7.7</v>
      </c>
      <c r="H166" s="67">
        <f t="shared" si="110"/>
        <v>225.86666666666665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69.394151147801068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5.6843418860808015E-14</v>
      </c>
      <c r="O166" s="13">
        <f>N166*VLOOKUP('Données projet'!$B$9,Paramètres!$A$1:$I$89,3,0)*VLOOKUP('Données projet'!$B$9,Paramètres!$A$1:$I$89,5,0)</f>
        <v>4.8771653382573282E-14</v>
      </c>
      <c r="P166" s="13">
        <f t="shared" si="141"/>
        <v>7.9655698259503351E-13</v>
      </c>
      <c r="Q166" s="20">
        <f t="shared" si="162"/>
        <v>1.4722807076609983E-12</v>
      </c>
      <c r="R166" s="59">
        <f t="shared" si="109"/>
        <v>291.11188754193876</v>
      </c>
      <c r="S166" s="59">
        <f ca="1">AVERAGE(OFFSET($R$3,0,0,'Données projet'!$E$9+1,1))-AVERAGE(OFFSET($H$3,0,0,'Données projet'!$E$9+1,1))</f>
        <v>476.79071915271794</v>
      </c>
      <c r="T166" s="59">
        <f t="shared" si="142"/>
        <v>264.79929759351762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97.432593185240421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97.432593185240421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69.394151147801068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-9.5769792096689348E-14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365.104658862176</v>
      </c>
      <c r="AO166" s="59">
        <f t="shared" si="144"/>
        <v>226.29232910286325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55.422295490315904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55.422295490315904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69.394151147801068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-1.1368683772161603E-13</v>
      </c>
      <c r="BE166" s="13">
        <f>BD166*VLOOKUP('Données projet'!$B$11,Paramètres!$A$1:$I$89,3,0)*VLOOKUP('Données projet'!$B$11,Paramètres!$A$1:$I$89,5,0)</f>
        <v>-1.0286385077051818E-13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388.12494342575195</v>
      </c>
      <c r="BJ166" s="59">
        <f t="shared" si="146"/>
        <v>239.39471445648454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59.527650711820833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59.527650711820833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69.394151147801068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-1.1368683772161603E-13</v>
      </c>
      <c r="BZ166" s="13">
        <f>BY166*VLOOKUP('Données projet'!$B$12,Paramètres!$A$1:$I$89,3,0)*VLOOKUP('Données projet'!$B$12,Paramètres!$A$1:$I$89,5,0)</f>
        <v>-1.1527845344971866E-13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428.33148932885132</v>
      </c>
      <c r="CE166" s="59">
        <f t="shared" si="148"/>
        <v>262.27548054534373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66.712022349454315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66.712022349454315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69.394151147801068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-1.1368683772161603E-13</v>
      </c>
      <c r="CU166" s="17">
        <f>CT166*VLOOKUP('Données projet'!$B$13,Paramètres!$A$1:$I$89,3,0)*VLOOKUP('Données projet'!$B$13,Paramètres!$A$1:$I$89,5,0)</f>
        <v>-1.0818439477588981E-13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307.62549820830162</v>
      </c>
      <c r="CZ166" s="59">
        <f t="shared" si="150"/>
        <v>160.26466014910304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45.468533661541379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45.468533661541379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69.394151147801068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-1.7053025658242404E-13</v>
      </c>
      <c r="DP166" s="17">
        <f>DO166*VLOOKUP('Données projet'!$B$14,Paramètres!$A$1:$I$89,3,0)*VLOOKUP('Données projet'!$B$14,Paramètres!$A$1:$I$89,5,0)</f>
        <v>-1.3567387213697657E-13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309.14579005132464</v>
      </c>
      <c r="DU166" s="59">
        <f t="shared" si="152"/>
        <v>300.60311050289533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17.792218548327416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17.792218548327416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69.394151147801068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>
        <f>EJ166*VLOOKUP('Données projet'!$B$15,Paramètres!$A$1:$I$89,3,0)*VLOOKUP('Données projet'!$B$15,Paramètres!$A$1:$I$89,5,0)</f>
        <v>0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338.59243085476896</v>
      </c>
      <c r="EP166" s="59">
        <f t="shared" si="154"/>
        <v>329.8393445823275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16.484241613381069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16.484241613381069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69.394151147801068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>
        <f>FE166*VLOOKUP('Données projet'!$B$16,Paramètres!$A$1:$I$89,3,0)*VLOOKUP('Données projet'!$B$16,Paramètres!$A$1:$I$89,5,0)</f>
        <v>0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307.50573770128085</v>
      </c>
      <c r="FK166" s="59">
        <f t="shared" si="156"/>
        <v>300.2007312562655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14.730598888553297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14.730598888553297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69.394151147801068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>
        <f>FZ166*VLOOKUP('Données projet'!$B$17,Paramètres!$A$1:$I$89,3,0)*VLOOKUP('Données projet'!$B$17,Paramètres!$A$1:$I$89,5,0)</f>
        <v>0</v>
      </c>
      <c r="GB166" s="13" t="e">
        <f t="shared" si="185"/>
        <v>#NUM!</v>
      </c>
      <c r="GC166" s="20" t="e">
        <f t="shared" si="186"/>
        <v>#NUM!</v>
      </c>
      <c r="GD166" s="59" t="e">
        <f t="shared" si="134"/>
        <v>#NUM!</v>
      </c>
      <c r="GE166" s="59">
        <f ca="1">AVERAGE(OFFSET($GD$3,0,0,'Données projet'!$E$17+1,1))-AVERAGE(OFFSET($H$3,0,0,'Données projet'!$E$17+1,1))</f>
        <v>369.60865427618342</v>
      </c>
      <c r="GF166" s="59">
        <f t="shared" si="158"/>
        <v>359.40898775279197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18.23788433820885</v>
      </c>
      <c r="GM166" s="21">
        <f>EXP(-LN(2)/25)*GM165+(1-EXP(-LN(2)/25))/(LN(2)/25)*Calculateur!GH166*Calculateur!GJ166*VLOOKUP('Données projet'!$B$17,Paramètres!$A$1:$I$89,3,0)*0.475*44/12</f>
        <v>0</v>
      </c>
      <c r="GN166" s="21">
        <f>EXP(-LN(2)/2)*GN165+(1-EXP(-LN(2)/2))/(LN(2)/2)*GH166*GK166*VLOOKUP('Données projet'!$B$17,Paramètres!$A$1:$I$89,3,0)*0.475*44/12</f>
        <v>0</v>
      </c>
      <c r="GO166" s="21">
        <f t="shared" si="187"/>
        <v>18.23788433820885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69.394151147801068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-1.7053025658242404E-13</v>
      </c>
      <c r="GV166" s="17">
        <f>GU166*VLOOKUP('Données projet'!$B$18,Paramètres!$A$1:$I$89,3,0)*VLOOKUP('Données projet'!$B$18,Paramètres!$A$1:$I$89,5,0)</f>
        <v>-1.1173142411280423E-13</v>
      </c>
      <c r="GW166" s="13" t="e">
        <f t="shared" si="188"/>
        <v>#NUM!</v>
      </c>
      <c r="GX166" s="20" t="e">
        <f t="shared" si="189"/>
        <v>#NUM!</v>
      </c>
      <c r="GY166" s="59" t="e">
        <f t="shared" si="137"/>
        <v>#NUM!</v>
      </c>
      <c r="GZ166" s="59">
        <f ca="1">AVERAGE(OFFSET($GY$3,0,0,'Données projet'!$E$18+1,1))-AVERAGE(OFFSET($H$3,0,0,'Données projet'!$E$18+1,1))</f>
        <v>262.62914256200031</v>
      </c>
      <c r="HA166" s="59">
        <f t="shared" si="160"/>
        <v>256.45129229594409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projet'!$B$18,Paramètres!$A$1:$I$89,3,0)*0.475*44/12</f>
        <v>11.887808619415217</v>
      </c>
      <c r="HH166" s="21">
        <f>EXP(-LN(2)/25)*HH165+(1-EXP(-LN(2)/25))/(LN(2)/25)*Calculateur!HC166*Calculateur!HE166*VLOOKUP('Données projet'!$B$18,Paramètres!$A$1:$I$89,3,0)*0.475*44/12</f>
        <v>0</v>
      </c>
      <c r="HI166" s="21">
        <f>EXP(-LN(2)/2)*HI165+(1-EXP(-LN(2)/2))/(LN(2)/2)*HC166*HF166*VLOOKUP('Données projet'!$B$18,Paramètres!$A$1:$I$89,3,0)*0.475*44/12</f>
        <v>0</v>
      </c>
      <c r="HJ166" s="22">
        <f t="shared" si="190"/>
        <v>11.887808619415217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2.1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7.7</v>
      </c>
      <c r="H167" s="67">
        <f t="shared" si="110"/>
        <v>225.86666666666665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69.404661270911603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5.6843418860808015E-14</v>
      </c>
      <c r="O167" s="13">
        <f>N167*VLOOKUP('Données projet'!$B$9,Paramètres!$A$1:$I$89,3,0)*VLOOKUP('Données projet'!$B$9,Paramètres!$A$1:$I$89,5,0)</f>
        <v>4.8771653382573282E-14</v>
      </c>
      <c r="P167" s="13">
        <f t="shared" si="141"/>
        <v>7.9655698259503351E-13</v>
      </c>
      <c r="Q167" s="20">
        <f t="shared" si="162"/>
        <v>1.4722807076609983E-12</v>
      </c>
      <c r="R167" s="59">
        <f t="shared" si="109"/>
        <v>291.15042466001069</v>
      </c>
      <c r="S167" s="59">
        <f ca="1">AVERAGE(OFFSET($R$3,0,0,'Données projet'!$E$9+1,1))-AVERAGE(OFFSET($H$3,0,0,'Données projet'!$E$9+1,1))</f>
        <v>476.79071915271794</v>
      </c>
      <c r="T167" s="59">
        <f t="shared" si="142"/>
        <v>264.79929759351762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95.521999460891664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95.521999460891664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69.404661270911603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-9.5769792096689348E-14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365.104658862176</v>
      </c>
      <c r="AO167" s="59">
        <f t="shared" si="144"/>
        <v>226.29232910286325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54.335498080013167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54.335498080013167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69.404661270911603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-1.1368683772161603E-13</v>
      </c>
      <c r="BE167" s="13">
        <f>BD167*VLOOKUP('Données projet'!$B$11,Paramètres!$A$1:$I$89,3,0)*VLOOKUP('Données projet'!$B$11,Paramètres!$A$1:$I$89,5,0)</f>
        <v>-1.0286385077051818E-13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388.12494342575195</v>
      </c>
      <c r="BJ167" s="59">
        <f t="shared" si="146"/>
        <v>239.39471445648454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58.360349789643813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58.360349789643813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69.404661270911603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-1.1368683772161603E-13</v>
      </c>
      <c r="BZ167" s="13">
        <f>BY167*VLOOKUP('Données projet'!$B$12,Paramètres!$A$1:$I$89,3,0)*VLOOKUP('Données projet'!$B$12,Paramètres!$A$1:$I$89,5,0)</f>
        <v>-1.1527845344971866E-13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428.33148932885132</v>
      </c>
      <c r="CE167" s="59">
        <f t="shared" si="148"/>
        <v>262.27548054534373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65.40384028149731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65.40384028149731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69.404661270911603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-1.1368683772161603E-13</v>
      </c>
      <c r="CU167" s="17">
        <f>CT167*VLOOKUP('Données projet'!$B$13,Paramètres!$A$1:$I$89,3,0)*VLOOKUP('Données projet'!$B$13,Paramètres!$A$1:$I$89,5,0)</f>
        <v>-1.0818439477588981E-13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307.62549820830162</v>
      </c>
      <c r="CZ167" s="59">
        <f t="shared" si="150"/>
        <v>160.26466014910304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44.576923449505671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44.576923449505671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69.404661270911603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-1.7053025658242404E-13</v>
      </c>
      <c r="DP167" s="17">
        <f>DO167*VLOOKUP('Données projet'!$B$14,Paramètres!$A$1:$I$89,3,0)*VLOOKUP('Données projet'!$B$14,Paramètres!$A$1:$I$89,5,0)</f>
        <v>-1.3567387213697657E-13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309.14579005132464</v>
      </c>
      <c r="DU167" s="59">
        <f t="shared" si="152"/>
        <v>300.60311050289533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17.443323994776467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17.443323994776467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69.404661270911603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>
        <f>EJ167*VLOOKUP('Données projet'!$B$15,Paramètres!$A$1:$I$89,3,0)*VLOOKUP('Données projet'!$B$15,Paramètres!$A$1:$I$89,5,0)</f>
        <v>0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338.59243085476896</v>
      </c>
      <c r="EP167" s="59">
        <f t="shared" si="154"/>
        <v>329.8393445823275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16.160995689737263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16.160995689737263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69.404661270911603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>
        <f>FE167*VLOOKUP('Données projet'!$B$16,Paramètres!$A$1:$I$89,3,0)*VLOOKUP('Données projet'!$B$16,Paramètres!$A$1:$I$89,5,0)</f>
        <v>0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307.50573770128085</v>
      </c>
      <c r="FK167" s="59">
        <f t="shared" si="156"/>
        <v>300.2007312562655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14.441740829126916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14.441740829126916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69.404661270911603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>
        <f>FZ167*VLOOKUP('Données projet'!$B$17,Paramètres!$A$1:$I$89,3,0)*VLOOKUP('Données projet'!$B$17,Paramètres!$A$1:$I$89,5,0)</f>
        <v>0</v>
      </c>
      <c r="GB167" s="13" t="e">
        <f t="shared" si="185"/>
        <v>#NUM!</v>
      </c>
      <c r="GC167" s="20" t="e">
        <f t="shared" si="186"/>
        <v>#NUM!</v>
      </c>
      <c r="GD167" s="59" t="e">
        <f t="shared" si="134"/>
        <v>#NUM!</v>
      </c>
      <c r="GE167" s="59">
        <f ca="1">AVERAGE(OFFSET($GD$3,0,0,'Données projet'!$E$17+1,1))-AVERAGE(OFFSET($H$3,0,0,'Données projet'!$E$17+1,1))</f>
        <v>369.60865427618342</v>
      </c>
      <c r="GF167" s="59">
        <f t="shared" si="158"/>
        <v>359.40898775279197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17.880250550347615</v>
      </c>
      <c r="GM167" s="21">
        <f>EXP(-LN(2)/25)*GM166+(1-EXP(-LN(2)/25))/(LN(2)/25)*Calculateur!GH167*Calculateur!GJ167*VLOOKUP('Données projet'!$B$17,Paramètres!$A$1:$I$89,3,0)*0.475*44/12</f>
        <v>0</v>
      </c>
      <c r="GN167" s="21">
        <f>EXP(-LN(2)/2)*GN166+(1-EXP(-LN(2)/2))/(LN(2)/2)*GH167*GK167*VLOOKUP('Données projet'!$B$17,Paramètres!$A$1:$I$89,3,0)*0.475*44/12</f>
        <v>0</v>
      </c>
      <c r="GO167" s="21">
        <f t="shared" si="187"/>
        <v>17.880250550347615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69.404661270911603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-1.7053025658242404E-13</v>
      </c>
      <c r="GV167" s="17">
        <f>GU167*VLOOKUP('Données projet'!$B$18,Paramètres!$A$1:$I$89,3,0)*VLOOKUP('Données projet'!$B$18,Paramètres!$A$1:$I$89,5,0)</f>
        <v>-1.1173142411280423E-13</v>
      </c>
      <c r="GW167" s="13" t="e">
        <f t="shared" si="188"/>
        <v>#NUM!</v>
      </c>
      <c r="GX167" s="20" t="e">
        <f t="shared" si="189"/>
        <v>#NUM!</v>
      </c>
      <c r="GY167" s="59" t="e">
        <f t="shared" si="137"/>
        <v>#NUM!</v>
      </c>
      <c r="GZ167" s="59">
        <f ca="1">AVERAGE(OFFSET($GY$3,0,0,'Données projet'!$E$18+1,1))-AVERAGE(OFFSET($H$3,0,0,'Données projet'!$E$18+1,1))</f>
        <v>262.62914256200031</v>
      </c>
      <c r="HA167" s="59">
        <f t="shared" si="160"/>
        <v>256.45129229594409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projet'!$B$18,Paramètres!$A$1:$I$89,3,0)*0.475*44/12</f>
        <v>11.654695943235781</v>
      </c>
      <c r="HH167" s="21">
        <f>EXP(-LN(2)/25)*HH166+(1-EXP(-LN(2)/25))/(LN(2)/25)*Calculateur!HC167*Calculateur!HE167*VLOOKUP('Données projet'!$B$18,Paramètres!$A$1:$I$89,3,0)*0.475*44/12</f>
        <v>0</v>
      </c>
      <c r="HI167" s="21">
        <f>EXP(-LN(2)/2)*HI166+(1-EXP(-LN(2)/2))/(LN(2)/2)*HC167*HF167*VLOOKUP('Données projet'!$B$18,Paramètres!$A$1:$I$89,3,0)*0.475*44/12</f>
        <v>0</v>
      </c>
      <c r="HJ167" s="22">
        <f t="shared" si="190"/>
        <v>11.654695943235781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2.1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7.7</v>
      </c>
      <c r="H168" s="67">
        <f t="shared" si="110"/>
        <v>225.86666666666665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69.41498906688328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5.6843418860808015E-14</v>
      </c>
      <c r="O168" s="13">
        <f>N168*VLOOKUP('Données projet'!$B$9,Paramètres!$A$1:$I$89,3,0)*VLOOKUP('Données projet'!$B$9,Paramètres!$A$1:$I$89,5,0)</f>
        <v>4.8771653382573282E-14</v>
      </c>
      <c r="P168" s="13">
        <f t="shared" si="141"/>
        <v>7.9655698259503351E-13</v>
      </c>
      <c r="Q168" s="20">
        <f t="shared" si="162"/>
        <v>1.4722807076609983E-12</v>
      </c>
      <c r="R168" s="59">
        <f t="shared" si="109"/>
        <v>291.18829324524017</v>
      </c>
      <c r="S168" s="59">
        <f ca="1">AVERAGE(OFFSET($R$3,0,0,'Données projet'!$E$9+1,1))-AVERAGE(OFFSET($H$3,0,0,'Données projet'!$E$9+1,1))</f>
        <v>476.79071915271794</v>
      </c>
      <c r="T168" s="59">
        <f t="shared" si="142"/>
        <v>264.79929759351762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93.64887131413029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93.64887131413029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69.41498906688328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-9.5769792096689348E-14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365.104658862176</v>
      </c>
      <c r="AO168" s="59">
        <f t="shared" si="144"/>
        <v>226.29232910286325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53.270012104045499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53.270012104045499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69.41498906688328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-1.1368683772161603E-13</v>
      </c>
      <c r="BE168" s="13">
        <f>BD168*VLOOKUP('Données projet'!$B$11,Paramètres!$A$1:$I$89,3,0)*VLOOKUP('Données projet'!$B$11,Paramètres!$A$1:$I$89,5,0)</f>
        <v>-1.0286385077051818E-13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388.12494342575195</v>
      </c>
      <c r="BJ168" s="59">
        <f t="shared" si="146"/>
        <v>239.39471445648454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57.215938926567425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57.215938926567425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69.41498906688328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-1.1368683772161603E-13</v>
      </c>
      <c r="BZ168" s="13">
        <f>BY168*VLOOKUP('Données projet'!$B$12,Paramètres!$A$1:$I$89,3,0)*VLOOKUP('Données projet'!$B$12,Paramètres!$A$1:$I$89,5,0)</f>
        <v>-1.1527845344971866E-13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428.33148932885132</v>
      </c>
      <c r="CE168" s="59">
        <f t="shared" si="148"/>
        <v>262.27548054534373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64.121310865980675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64.121310865980675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69.41498906688328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-1.1368683772161603E-13</v>
      </c>
      <c r="CU168" s="17">
        <f>CT168*VLOOKUP('Données projet'!$B$13,Paramètres!$A$1:$I$89,3,0)*VLOOKUP('Données projet'!$B$13,Paramètres!$A$1:$I$89,5,0)</f>
        <v>-1.0818439477588981E-13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307.62549820830162</v>
      </c>
      <c r="CZ168" s="59">
        <f t="shared" si="150"/>
        <v>160.26466014910304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43.702797169899455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43.702797169899455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69.41498906688328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-1.7053025658242404E-13</v>
      </c>
      <c r="DP168" s="17">
        <f>DO168*VLOOKUP('Données projet'!$B$14,Paramètres!$A$1:$I$89,3,0)*VLOOKUP('Données projet'!$B$14,Paramètres!$A$1:$I$89,5,0)</f>
        <v>-1.3567387213697657E-13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309.14579005132464</v>
      </c>
      <c r="DU168" s="59">
        <f t="shared" si="152"/>
        <v>300.60311050289533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17.101271050615985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17.101271050615985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69.41498906688328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>
        <f>EJ168*VLOOKUP('Données projet'!$B$15,Paramètres!$A$1:$I$89,3,0)*VLOOKUP('Données projet'!$B$15,Paramètres!$A$1:$I$89,5,0)</f>
        <v>0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338.59243085476896</v>
      </c>
      <c r="EP168" s="59">
        <f t="shared" si="154"/>
        <v>329.8393445823275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15.844088421495565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15.844088421495565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69.41498906688328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>
        <f>FE168*VLOOKUP('Données projet'!$B$16,Paramètres!$A$1:$I$89,3,0)*VLOOKUP('Données projet'!$B$16,Paramètres!$A$1:$I$89,5,0)</f>
        <v>0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307.50573770128085</v>
      </c>
      <c r="FK168" s="59">
        <f t="shared" si="156"/>
        <v>300.2007312562655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14.158547100059867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14.158547100059867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69.41498906688328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>
        <f>FZ168*VLOOKUP('Données projet'!$B$17,Paramètres!$A$1:$I$89,3,0)*VLOOKUP('Données projet'!$B$17,Paramètres!$A$1:$I$89,5,0)</f>
        <v>0</v>
      </c>
      <c r="GB168" s="13" t="e">
        <f t="shared" si="185"/>
        <v>#NUM!</v>
      </c>
      <c r="GC168" s="20" t="e">
        <f t="shared" si="186"/>
        <v>#NUM!</v>
      </c>
      <c r="GD168" s="59" t="e">
        <f t="shared" si="134"/>
        <v>#NUM!</v>
      </c>
      <c r="GE168" s="59">
        <f ca="1">AVERAGE(OFFSET($GD$3,0,0,'Données projet'!$E$17+1,1))-AVERAGE(OFFSET($H$3,0,0,'Données projet'!$E$17+1,1))</f>
        <v>369.60865427618342</v>
      </c>
      <c r="GF168" s="59">
        <f t="shared" si="158"/>
        <v>359.40898775279197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17.529629742931267</v>
      </c>
      <c r="GM168" s="21">
        <f>EXP(-LN(2)/25)*GM167+(1-EXP(-LN(2)/25))/(LN(2)/25)*Calculateur!GH168*Calculateur!GJ168*VLOOKUP('Données projet'!$B$17,Paramètres!$A$1:$I$89,3,0)*0.475*44/12</f>
        <v>0</v>
      </c>
      <c r="GN168" s="21">
        <f>EXP(-LN(2)/2)*GN167+(1-EXP(-LN(2)/2))/(LN(2)/2)*GH168*GK168*VLOOKUP('Données projet'!$B$17,Paramètres!$A$1:$I$89,3,0)*0.475*44/12</f>
        <v>0</v>
      </c>
      <c r="GO168" s="21">
        <f t="shared" si="187"/>
        <v>17.529629742931267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69.41498906688328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-1.7053025658242404E-13</v>
      </c>
      <c r="GV168" s="17">
        <f>GU168*VLOOKUP('Données projet'!$B$18,Paramètres!$A$1:$I$89,3,0)*VLOOKUP('Données projet'!$B$18,Paramètres!$A$1:$I$89,5,0)</f>
        <v>-1.1173142411280423E-13</v>
      </c>
      <c r="GW168" s="13" t="e">
        <f t="shared" si="188"/>
        <v>#NUM!</v>
      </c>
      <c r="GX168" s="20" t="e">
        <f t="shared" si="189"/>
        <v>#NUM!</v>
      </c>
      <c r="GY168" s="59" t="e">
        <f t="shared" si="137"/>
        <v>#NUM!</v>
      </c>
      <c r="GZ168" s="59">
        <f ca="1">AVERAGE(OFFSET($GY$3,0,0,'Données projet'!$E$18+1,1))-AVERAGE(OFFSET($H$3,0,0,'Données projet'!$E$18+1,1))</f>
        <v>262.62914256200031</v>
      </c>
      <c r="HA168" s="59">
        <f t="shared" si="160"/>
        <v>256.45129229594409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projet'!$B$18,Paramètres!$A$1:$I$89,3,0)*0.475*44/12</f>
        <v>11.42615446445153</v>
      </c>
      <c r="HH168" s="21">
        <f>EXP(-LN(2)/25)*HH167+(1-EXP(-LN(2)/25))/(LN(2)/25)*Calculateur!HC168*Calculateur!HE168*VLOOKUP('Données projet'!$B$18,Paramètres!$A$1:$I$89,3,0)*0.475*44/12</f>
        <v>0</v>
      </c>
      <c r="HI168" s="21">
        <f>EXP(-LN(2)/2)*HI167+(1-EXP(-LN(2)/2))/(LN(2)/2)*HC168*HF168*VLOOKUP('Données projet'!$B$18,Paramètres!$A$1:$I$89,3,0)*0.475*44/12</f>
        <v>0</v>
      </c>
      <c r="HJ168" s="22">
        <f t="shared" si="190"/>
        <v>11.42615446445153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2.1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7.7</v>
      </c>
      <c r="H169" s="67">
        <f t="shared" si="110"/>
        <v>225.86666666666665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69.425137698684352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5.6843418860808015E-14</v>
      </c>
      <c r="O169" s="13">
        <f>N169*VLOOKUP('Données projet'!$B$9,Paramètres!$A$1:$I$89,3,0)*VLOOKUP('Données projet'!$B$9,Paramètres!$A$1:$I$89,5,0)</f>
        <v>4.8771653382573282E-14</v>
      </c>
      <c r="P169" s="13">
        <f t="shared" si="141"/>
        <v>7.9655698259503351E-13</v>
      </c>
      <c r="Q169" s="20">
        <f t="shared" si="162"/>
        <v>1.4722807076609983E-12</v>
      </c>
      <c r="R169" s="59">
        <f t="shared" si="109"/>
        <v>291.22550489517744</v>
      </c>
      <c r="S169" s="59">
        <f ca="1">AVERAGE(OFFSET($R$3,0,0,'Données projet'!$E$9+1,1))-AVERAGE(OFFSET($H$3,0,0,'Données projet'!$E$9+1,1))</f>
        <v>476.79071915271794</v>
      </c>
      <c r="T169" s="59">
        <f t="shared" si="142"/>
        <v>264.79929759351762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91.812474067831545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91.812474067831545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69.425137698684352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-9.5769792096689348E-14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365.104658862176</v>
      </c>
      <c r="AO169" s="59">
        <f t="shared" si="144"/>
        <v>226.29232910286325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52.225419658184279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52.225419658184279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69.425137698684352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-1.1368683772161603E-13</v>
      </c>
      <c r="BE169" s="13">
        <f>BD169*VLOOKUP('Données projet'!$B$11,Paramètres!$A$1:$I$89,3,0)*VLOOKUP('Données projet'!$B$11,Paramètres!$A$1:$I$89,5,0)</f>
        <v>-1.0286385077051818E-13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388.12494342575195</v>
      </c>
      <c r="BJ169" s="59">
        <f t="shared" si="146"/>
        <v>239.39471445648454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56.093969262494262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56.093969262494262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69.425137698684352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-1.1368683772161603E-13</v>
      </c>
      <c r="BZ169" s="13">
        <f>BY169*VLOOKUP('Données projet'!$B$12,Paramètres!$A$1:$I$89,3,0)*VLOOKUP('Données projet'!$B$12,Paramètres!$A$1:$I$89,5,0)</f>
        <v>-1.1527845344971866E-13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428.33148932885132</v>
      </c>
      <c r="CE169" s="59">
        <f t="shared" si="148"/>
        <v>262.27548054534373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62.863931070036614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62.863931070036614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69.425137698684352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-1.1368683772161603E-13</v>
      </c>
      <c r="CU169" s="17">
        <f>CT169*VLOOKUP('Données projet'!$B$13,Paramètres!$A$1:$I$89,3,0)*VLOOKUP('Données projet'!$B$13,Paramètres!$A$1:$I$89,5,0)</f>
        <v>-1.0818439477588981E-13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307.62549820830162</v>
      </c>
      <c r="CZ169" s="59">
        <f t="shared" si="150"/>
        <v>160.26466014910304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42.845811973471932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42.845811973471932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69.425137698684352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-1.7053025658242404E-13</v>
      </c>
      <c r="DP169" s="17">
        <f>DO169*VLOOKUP('Données projet'!$B$14,Paramètres!$A$1:$I$89,3,0)*VLOOKUP('Données projet'!$B$14,Paramètres!$A$1:$I$89,5,0)</f>
        <v>-1.3567387213697657E-13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309.14579005132464</v>
      </c>
      <c r="DU169" s="59">
        <f t="shared" si="152"/>
        <v>300.60311050289533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16.765925556058797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16.765925556058797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69.425137698684352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>
        <f>EJ169*VLOOKUP('Données projet'!$B$15,Paramètres!$A$1:$I$89,3,0)*VLOOKUP('Données projet'!$B$15,Paramètres!$A$1:$I$89,5,0)</f>
        <v>0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338.59243085476896</v>
      </c>
      <c r="EP169" s="59">
        <f t="shared" si="154"/>
        <v>329.8393445823275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15.53339551148974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15.53339551148974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69.425137698684352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>
        <f>FE169*VLOOKUP('Données projet'!$B$16,Paramètres!$A$1:$I$89,3,0)*VLOOKUP('Données projet'!$B$16,Paramètres!$A$1:$I$89,5,0)</f>
        <v>0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307.50573770128085</v>
      </c>
      <c r="FK169" s="59">
        <f t="shared" si="156"/>
        <v>300.2007312562655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13.880906627288704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13.880906627288704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69.425137698684352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>
        <f>FZ169*VLOOKUP('Données projet'!$B$17,Paramètres!$A$1:$I$89,3,0)*VLOOKUP('Données projet'!$B$17,Paramètres!$A$1:$I$89,5,0)</f>
        <v>0</v>
      </c>
      <c r="GB169" s="13" t="e">
        <f t="shared" si="185"/>
        <v>#NUM!</v>
      </c>
      <c r="GC169" s="20" t="e">
        <f t="shared" si="186"/>
        <v>#NUM!</v>
      </c>
      <c r="GD169" s="59" t="e">
        <f t="shared" si="134"/>
        <v>#NUM!</v>
      </c>
      <c r="GE169" s="59">
        <f ca="1">AVERAGE(OFFSET($GD$3,0,0,'Données projet'!$E$17+1,1))-AVERAGE(OFFSET($H$3,0,0,'Données projet'!$E$17+1,1))</f>
        <v>369.60865427618342</v>
      </c>
      <c r="GF169" s="59">
        <f t="shared" si="158"/>
        <v>359.40898775279197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17.185884395690778</v>
      </c>
      <c r="GM169" s="21">
        <f>EXP(-LN(2)/25)*GM168+(1-EXP(-LN(2)/25))/(LN(2)/25)*Calculateur!GH169*Calculateur!GJ169*VLOOKUP('Données projet'!$B$17,Paramètres!$A$1:$I$89,3,0)*0.475*44/12</f>
        <v>0</v>
      </c>
      <c r="GN169" s="21">
        <f>EXP(-LN(2)/2)*GN168+(1-EXP(-LN(2)/2))/(LN(2)/2)*GH169*GK169*VLOOKUP('Données projet'!$B$17,Paramètres!$A$1:$I$89,3,0)*0.475*44/12</f>
        <v>0</v>
      </c>
      <c r="GO169" s="21">
        <f t="shared" si="187"/>
        <v>17.185884395690778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69.425137698684352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-1.7053025658242404E-13</v>
      </c>
      <c r="GV169" s="17">
        <f>GU169*VLOOKUP('Données projet'!$B$18,Paramètres!$A$1:$I$89,3,0)*VLOOKUP('Données projet'!$B$18,Paramètres!$A$1:$I$89,5,0)</f>
        <v>-1.1173142411280423E-13</v>
      </c>
      <c r="GW169" s="13" t="e">
        <f t="shared" si="188"/>
        <v>#NUM!</v>
      </c>
      <c r="GX169" s="20" t="e">
        <f t="shared" si="189"/>
        <v>#NUM!</v>
      </c>
      <c r="GY169" s="59" t="e">
        <f t="shared" si="137"/>
        <v>#NUM!</v>
      </c>
      <c r="GZ169" s="59">
        <f ca="1">AVERAGE(OFFSET($GY$3,0,0,'Données projet'!$E$18+1,1))-AVERAGE(OFFSET($H$3,0,0,'Données projet'!$E$18+1,1))</f>
        <v>262.62914256200031</v>
      </c>
      <c r="HA169" s="59">
        <f t="shared" si="160"/>
        <v>256.45129229594409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projet'!$B$18,Paramètres!$A$1:$I$89,3,0)*0.475*44/12</f>
        <v>11.2020945446697</v>
      </c>
      <c r="HH169" s="21">
        <f>EXP(-LN(2)/25)*HH168+(1-EXP(-LN(2)/25))/(LN(2)/25)*Calculateur!HC169*Calculateur!HE169*VLOOKUP('Données projet'!$B$18,Paramètres!$A$1:$I$89,3,0)*0.475*44/12</f>
        <v>0</v>
      </c>
      <c r="HI169" s="21">
        <f>EXP(-LN(2)/2)*HI168+(1-EXP(-LN(2)/2))/(LN(2)/2)*HC169*HF169*VLOOKUP('Données projet'!$B$18,Paramètres!$A$1:$I$89,3,0)*0.475*44/12</f>
        <v>0</v>
      </c>
      <c r="HJ169" s="22">
        <f t="shared" si="190"/>
        <v>11.2020945446697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2.1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7.7</v>
      </c>
      <c r="H170" s="67">
        <f t="shared" si="110"/>
        <v>225.86666666666665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69.435110274412608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5.6843418860808015E-14</v>
      </c>
      <c r="O170" s="13">
        <f>N170*VLOOKUP('Données projet'!$B$9,Paramètres!$A$1:$I$89,3,0)*VLOOKUP('Données projet'!$B$9,Paramètres!$A$1:$I$89,5,0)</f>
        <v>4.8771653382573282E-14</v>
      </c>
      <c r="P170" s="13">
        <f t="shared" si="141"/>
        <v>7.9655698259503351E-13</v>
      </c>
      <c r="Q170" s="20">
        <f t="shared" si="162"/>
        <v>1.4722807076609983E-12</v>
      </c>
      <c r="R170" s="59">
        <f t="shared" si="109"/>
        <v>291.26207100618103</v>
      </c>
      <c r="S170" s="59">
        <f ca="1">AVERAGE(OFFSET($R$3,0,0,'Données projet'!$E$9+1,1))-AVERAGE(OFFSET($H$3,0,0,'Données projet'!$E$9+1,1))</f>
        <v>476.79071915271794</v>
      </c>
      <c r="T170" s="59">
        <f t="shared" si="142"/>
        <v>264.79929759351762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90.012087451441005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90.012087451441005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69.435110274412608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-9.5769792096689348E-14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365.104658862176</v>
      </c>
      <c r="AO170" s="59">
        <f t="shared" si="144"/>
        <v>226.29232910286325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51.201311033047922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51.201311033047922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69.435110274412608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-1.1368683772161603E-13</v>
      </c>
      <c r="BE170" s="13">
        <f>BD170*VLOOKUP('Données projet'!$B$11,Paramètres!$A$1:$I$89,3,0)*VLOOKUP('Données projet'!$B$11,Paramètres!$A$1:$I$89,5,0)</f>
        <v>-1.0286385077051818E-13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388.12494342575195</v>
      </c>
      <c r="BJ170" s="59">
        <f t="shared" si="146"/>
        <v>239.39471445648454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54.994000739199656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54.994000739199656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69.435110274412608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-1.1368683772161603E-13</v>
      </c>
      <c r="BZ170" s="13">
        <f>BY170*VLOOKUP('Données projet'!$B$12,Paramètres!$A$1:$I$89,3,0)*VLOOKUP('Données projet'!$B$12,Paramètres!$A$1:$I$89,5,0)</f>
        <v>-1.1527845344971866E-13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428.33148932885132</v>
      </c>
      <c r="CE170" s="59">
        <f t="shared" si="148"/>
        <v>262.27548054534373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61.631207724965073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61.631207724965073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69.435110274412608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-1.1368683772161603E-13</v>
      </c>
      <c r="CU170" s="17">
        <f>CT170*VLOOKUP('Données projet'!$B$13,Paramètres!$A$1:$I$89,3,0)*VLOOKUP('Données projet'!$B$13,Paramètres!$A$1:$I$89,5,0)</f>
        <v>-1.0818439477588981E-13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307.62549820830162</v>
      </c>
      <c r="CZ170" s="59">
        <f t="shared" si="150"/>
        <v>160.26466014910304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42.005631734036996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42.005631734036996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69.435110274412608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-1.7053025658242404E-13</v>
      </c>
      <c r="DP170" s="17">
        <f>DO170*VLOOKUP('Données projet'!$B$14,Paramètres!$A$1:$I$89,3,0)*VLOOKUP('Données projet'!$B$14,Paramètres!$A$1:$I$89,5,0)</f>
        <v>-1.3567387213697657E-13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309.14579005132464</v>
      </c>
      <c r="DU170" s="59">
        <f t="shared" si="152"/>
        <v>300.60311050289533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16.437155982109317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16.437155982109317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69.435110274412608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>
        <f>EJ170*VLOOKUP('Données projet'!$B$15,Paramètres!$A$1:$I$89,3,0)*VLOOKUP('Données projet'!$B$15,Paramètres!$A$1:$I$89,5,0)</f>
        <v>0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338.59243085476896</v>
      </c>
      <c r="EP170" s="59">
        <f t="shared" si="154"/>
        <v>329.8393445823275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15.228795099945165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15.228795099945165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69.435110274412608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>
        <f>FE170*VLOOKUP('Données projet'!$B$16,Paramètres!$A$1:$I$89,3,0)*VLOOKUP('Données projet'!$B$16,Paramètres!$A$1:$I$89,5,0)</f>
        <v>0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307.50573770128085</v>
      </c>
      <c r="FK170" s="59">
        <f t="shared" si="156"/>
        <v>300.2007312562655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13.608710514844615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13.608710514844615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69.435110274412608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>
        <f>FZ170*VLOOKUP('Données projet'!$B$17,Paramètres!$A$1:$I$89,3,0)*VLOOKUP('Données projet'!$B$17,Paramètres!$A$1:$I$89,5,0)</f>
        <v>0</v>
      </c>
      <c r="GB170" s="13" t="e">
        <f t="shared" si="185"/>
        <v>#NUM!</v>
      </c>
      <c r="GC170" s="20" t="e">
        <f t="shared" si="186"/>
        <v>#NUM!</v>
      </c>
      <c r="GD170" s="59" t="e">
        <f t="shared" si="134"/>
        <v>#NUM!</v>
      </c>
      <c r="GE170" s="59">
        <f ca="1">AVERAGE(OFFSET($GD$3,0,0,'Données projet'!$E$17+1,1))-AVERAGE(OFFSET($H$3,0,0,'Données projet'!$E$17+1,1))</f>
        <v>369.60865427618342</v>
      </c>
      <c r="GF170" s="59">
        <f t="shared" si="158"/>
        <v>359.40898775279197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16.848879685045716</v>
      </c>
      <c r="GM170" s="21">
        <f>EXP(-LN(2)/25)*GM169+(1-EXP(-LN(2)/25))/(LN(2)/25)*Calculateur!GH170*Calculateur!GJ170*VLOOKUP('Données projet'!$B$17,Paramètres!$A$1:$I$89,3,0)*0.475*44/12</f>
        <v>0</v>
      </c>
      <c r="GN170" s="21">
        <f>EXP(-LN(2)/2)*GN169+(1-EXP(-LN(2)/2))/(LN(2)/2)*GH170*GK170*VLOOKUP('Données projet'!$B$17,Paramètres!$A$1:$I$89,3,0)*0.475*44/12</f>
        <v>0</v>
      </c>
      <c r="GO170" s="21">
        <f t="shared" si="187"/>
        <v>16.848879685045716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69.435110274412608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-1.7053025658242404E-13</v>
      </c>
      <c r="GV170" s="17">
        <f>GU170*VLOOKUP('Données projet'!$B$18,Paramètres!$A$1:$I$89,3,0)*VLOOKUP('Données projet'!$B$18,Paramètres!$A$1:$I$89,5,0)</f>
        <v>-1.1173142411280423E-13</v>
      </c>
      <c r="GW170" s="13" t="e">
        <f t="shared" si="188"/>
        <v>#NUM!</v>
      </c>
      <c r="GX170" s="20" t="e">
        <f t="shared" si="189"/>
        <v>#NUM!</v>
      </c>
      <c r="GY170" s="59" t="e">
        <f t="shared" si="137"/>
        <v>#NUM!</v>
      </c>
      <c r="GZ170" s="59">
        <f ca="1">AVERAGE(OFFSET($GY$3,0,0,'Données projet'!$E$18+1,1))-AVERAGE(OFFSET($H$3,0,0,'Données projet'!$E$18+1,1))</f>
        <v>262.62914256200031</v>
      </c>
      <c r="HA170" s="59">
        <f t="shared" si="160"/>
        <v>256.45129229594409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projet'!$B$18,Paramètres!$A$1:$I$89,3,0)*0.475*44/12</f>
        <v>10.982428303251735</v>
      </c>
      <c r="HH170" s="21">
        <f>EXP(-LN(2)/25)*HH169+(1-EXP(-LN(2)/25))/(LN(2)/25)*Calculateur!HC170*Calculateur!HE170*VLOOKUP('Données projet'!$B$18,Paramètres!$A$1:$I$89,3,0)*0.475*44/12</f>
        <v>0</v>
      </c>
      <c r="HI170" s="21">
        <f>EXP(-LN(2)/2)*HI169+(1-EXP(-LN(2)/2))/(LN(2)/2)*HC170*HF170*VLOOKUP('Données projet'!$B$18,Paramètres!$A$1:$I$89,3,0)*0.475*44/12</f>
        <v>0</v>
      </c>
      <c r="HJ170" s="22">
        <f t="shared" si="190"/>
        <v>10.982428303251735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2.1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7.7</v>
      </c>
      <c r="H171" s="67">
        <f t="shared" si="110"/>
        <v>225.86666666666665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69.444909848247306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5.6843418860808015E-14</v>
      </c>
      <c r="O171" s="13">
        <f>N171*VLOOKUP('Données projet'!$B$9,Paramètres!$A$1:$I$89,3,0)*VLOOKUP('Données projet'!$B$9,Paramètres!$A$1:$I$89,5,0)</f>
        <v>4.8771653382573282E-14</v>
      </c>
      <c r="P171" s="13">
        <f t="shared" si="141"/>
        <v>7.9655698259503351E-13</v>
      </c>
      <c r="Q171" s="20">
        <f t="shared" si="162"/>
        <v>1.4722807076609983E-12</v>
      </c>
      <c r="R171" s="59">
        <f t="shared" si="109"/>
        <v>291.29800277690828</v>
      </c>
      <c r="S171" s="59">
        <f ca="1">AVERAGE(OFFSET($R$3,0,0,'Données projet'!$E$9+1,1))-AVERAGE(OFFSET($H$3,0,0,'Données projet'!$E$9+1,1))</f>
        <v>476.79071915271794</v>
      </c>
      <c r="T171" s="59">
        <f t="shared" si="142"/>
        <v>264.79929759351762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88.247005318470471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88.247005318470471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69.444909848247306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-9.5769792096689348E-14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365.104658862176</v>
      </c>
      <c r="AO171" s="59">
        <f t="shared" si="144"/>
        <v>226.29232910286325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50.197284553405908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50.197284553405908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69.444909848247306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-1.1368683772161603E-13</v>
      </c>
      <c r="BE171" s="13">
        <f>BD171*VLOOKUP('Données projet'!$B$11,Paramètres!$A$1:$I$89,3,0)*VLOOKUP('Données projet'!$B$11,Paramètres!$A$1:$I$89,5,0)</f>
        <v>-1.0286385077051818E-13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388.12494342575195</v>
      </c>
      <c r="BJ171" s="59">
        <f t="shared" si="146"/>
        <v>239.39471445648454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53.915601927732304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53.915601927732304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69.444909848247306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-1.1368683772161603E-13</v>
      </c>
      <c r="BZ171" s="13">
        <f>BY171*VLOOKUP('Données projet'!$B$12,Paramètres!$A$1:$I$89,3,0)*VLOOKUP('Données projet'!$B$12,Paramètres!$A$1:$I$89,5,0)</f>
        <v>-1.1527845344971866E-13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428.33148932885132</v>
      </c>
      <c r="CE171" s="59">
        <f t="shared" si="148"/>
        <v>262.27548054534373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60.422657332803382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60.422657332803382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69.444909848247306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-1.1368683772161603E-13</v>
      </c>
      <c r="CU171" s="17">
        <f>CT171*VLOOKUP('Données projet'!$B$13,Paramètres!$A$1:$I$89,3,0)*VLOOKUP('Données projet'!$B$13,Paramètres!$A$1:$I$89,5,0)</f>
        <v>-1.0818439477588981E-13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307.62549820830162</v>
      </c>
      <c r="CZ171" s="59">
        <f t="shared" si="150"/>
        <v>160.26466014910304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41.181926916638034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41.181926916638034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69.444909848247306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-1.7053025658242404E-13</v>
      </c>
      <c r="DP171" s="17">
        <f>DO171*VLOOKUP('Données projet'!$B$14,Paramètres!$A$1:$I$89,3,0)*VLOOKUP('Données projet'!$B$14,Paramètres!$A$1:$I$89,5,0)</f>
        <v>-1.3567387213697657E-13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309.14579005132464</v>
      </c>
      <c r="DU171" s="59">
        <f t="shared" si="152"/>
        <v>300.60311050289533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16.114833378975348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16.114833378975348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69.444909848247306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>
        <f>EJ171*VLOOKUP('Données projet'!$B$15,Paramètres!$A$1:$I$89,3,0)*VLOOKUP('Données projet'!$B$15,Paramètres!$A$1:$I$89,5,0)</f>
        <v>0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338.59243085476896</v>
      </c>
      <c r="EP171" s="59">
        <f t="shared" si="154"/>
        <v>329.8393445823275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14.930167716683073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14.930167716683073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69.444909848247306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>
        <f>FE171*VLOOKUP('Données projet'!$B$16,Paramètres!$A$1:$I$89,3,0)*VLOOKUP('Données projet'!$B$16,Paramètres!$A$1:$I$89,5,0)</f>
        <v>0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307.50573770128085</v>
      </c>
      <c r="FK171" s="59">
        <f t="shared" si="156"/>
        <v>300.2007312562655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13.341852002142321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13.341852002142321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69.444909848247306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>
        <f>FZ171*VLOOKUP('Données projet'!$B$17,Paramètres!$A$1:$I$89,3,0)*VLOOKUP('Données projet'!$B$17,Paramètres!$A$1:$I$89,5,0)</f>
        <v>0</v>
      </c>
      <c r="GB171" s="13" t="e">
        <f t="shared" si="185"/>
        <v>#NUM!</v>
      </c>
      <c r="GC171" s="20" t="e">
        <f t="shared" si="186"/>
        <v>#NUM!</v>
      </c>
      <c r="GD171" s="59" t="e">
        <f t="shared" si="134"/>
        <v>#NUM!</v>
      </c>
      <c r="GE171" s="59">
        <f ca="1">AVERAGE(OFFSET($GD$3,0,0,'Données projet'!$E$17+1,1))-AVERAGE(OFFSET($H$3,0,0,'Données projet'!$E$17+1,1))</f>
        <v>369.60865427618342</v>
      </c>
      <c r="GF171" s="59">
        <f t="shared" si="158"/>
        <v>359.40898775279197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16.518483431223828</v>
      </c>
      <c r="GM171" s="21">
        <f>EXP(-LN(2)/25)*GM170+(1-EXP(-LN(2)/25))/(LN(2)/25)*Calculateur!GH171*Calculateur!GJ171*VLOOKUP('Données projet'!$B$17,Paramètres!$A$1:$I$89,3,0)*0.475*44/12</f>
        <v>0</v>
      </c>
      <c r="GN171" s="21">
        <f>EXP(-LN(2)/2)*GN170+(1-EXP(-LN(2)/2))/(LN(2)/2)*GH171*GK171*VLOOKUP('Données projet'!$B$17,Paramètres!$A$1:$I$89,3,0)*0.475*44/12</f>
        <v>0</v>
      </c>
      <c r="GO171" s="21">
        <f t="shared" si="187"/>
        <v>16.518483431223828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69.444909848247306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-1.7053025658242404E-13</v>
      </c>
      <c r="GV171" s="17">
        <f>GU171*VLOOKUP('Données projet'!$B$18,Paramètres!$A$1:$I$89,3,0)*VLOOKUP('Données projet'!$B$18,Paramètres!$A$1:$I$89,5,0)</f>
        <v>-1.1173142411280423E-13</v>
      </c>
      <c r="GW171" s="13" t="e">
        <f t="shared" si="188"/>
        <v>#NUM!</v>
      </c>
      <c r="GX171" s="20" t="e">
        <f t="shared" si="189"/>
        <v>#NUM!</v>
      </c>
      <c r="GY171" s="59" t="e">
        <f t="shared" si="137"/>
        <v>#NUM!</v>
      </c>
      <c r="GZ171" s="59">
        <f ca="1">AVERAGE(OFFSET($GY$3,0,0,'Données projet'!$E$18+1,1))-AVERAGE(OFFSET($H$3,0,0,'Données projet'!$E$18+1,1))</f>
        <v>262.62914256200031</v>
      </c>
      <c r="HA171" s="59">
        <f t="shared" si="160"/>
        <v>256.45129229594409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projet'!$B$18,Paramètres!$A$1:$I$89,3,0)*0.475*44/12</f>
        <v>10.767069582844799</v>
      </c>
      <c r="HH171" s="21">
        <f>EXP(-LN(2)/25)*HH170+(1-EXP(-LN(2)/25))/(LN(2)/25)*Calculateur!HC171*Calculateur!HE171*VLOOKUP('Données projet'!$B$18,Paramètres!$A$1:$I$89,3,0)*0.475*44/12</f>
        <v>0</v>
      </c>
      <c r="HI171" s="21">
        <f>EXP(-LN(2)/2)*HI170+(1-EXP(-LN(2)/2))/(LN(2)/2)*HC171*HF171*VLOOKUP('Données projet'!$B$18,Paramètres!$A$1:$I$89,3,0)*0.475*44/12</f>
        <v>0</v>
      </c>
      <c r="HJ171" s="22">
        <f t="shared" si="190"/>
        <v>10.767069582844799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2.1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7.7</v>
      </c>
      <c r="H172" s="67">
        <f t="shared" si="110"/>
        <v>225.86666666666665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69.454539421384567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5.6843418860808015E-14</v>
      </c>
      <c r="O172" s="13">
        <f>N172*VLOOKUP('Données projet'!$B$9,Paramètres!$A$1:$I$89,3,0)*VLOOKUP('Données projet'!$B$9,Paramètres!$A$1:$I$89,5,0)</f>
        <v>4.8771653382573282E-14</v>
      </c>
      <c r="P172" s="13">
        <f t="shared" si="141"/>
        <v>7.9655698259503351E-13</v>
      </c>
      <c r="Q172" s="20">
        <f t="shared" si="162"/>
        <v>1.4722807076609983E-12</v>
      </c>
      <c r="R172" s="59">
        <f t="shared" si="109"/>
        <v>291.3333112117449</v>
      </c>
      <c r="S172" s="59">
        <f ca="1">AVERAGE(OFFSET($R$3,0,0,'Données projet'!$E$9+1,1))-AVERAGE(OFFSET($H$3,0,0,'Données projet'!$E$9+1,1))</f>
        <v>476.79071915271794</v>
      </c>
      <c r="T172" s="59">
        <f t="shared" si="142"/>
        <v>264.79929759351762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86.516535369533699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86.516535369533699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69.454539421384567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-9.5769792096689348E-14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365.104658862176</v>
      </c>
      <c r="AO172" s="59">
        <f t="shared" si="144"/>
        <v>226.29232910286325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49.212946420633983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49.212946420633983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69.454539421384567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-1.1368683772161603E-13</v>
      </c>
      <c r="BE172" s="13">
        <f>BD172*VLOOKUP('Données projet'!$B$11,Paramètres!$A$1:$I$89,3,0)*VLOOKUP('Données projet'!$B$11,Paramètres!$A$1:$I$89,5,0)</f>
        <v>-1.0286385077051818E-13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388.12494342575195</v>
      </c>
      <c r="BJ172" s="59">
        <f t="shared" si="146"/>
        <v>239.39471445648454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52.8583498591995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52.8583498591995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69.454539421384567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-1.1368683772161603E-13</v>
      </c>
      <c r="BZ172" s="13">
        <f>BY172*VLOOKUP('Données projet'!$B$12,Paramètres!$A$1:$I$89,3,0)*VLOOKUP('Données projet'!$B$12,Paramètres!$A$1:$I$89,5,0)</f>
        <v>-1.1527845344971866E-13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428.33148932885132</v>
      </c>
      <c r="CE172" s="59">
        <f t="shared" si="148"/>
        <v>262.27548054534373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59.237805876689031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59.237805876689031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69.454539421384567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-1.1368683772161603E-13</v>
      </c>
      <c r="CU172" s="17">
        <f>CT172*VLOOKUP('Données projet'!$B$13,Paramètres!$A$1:$I$89,3,0)*VLOOKUP('Données projet'!$B$13,Paramètres!$A$1:$I$89,5,0)</f>
        <v>-1.0818439477588981E-13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307.62549820830162</v>
      </c>
      <c r="CZ172" s="59">
        <f t="shared" si="150"/>
        <v>160.26466014910304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40.374374448297935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40.374374448297935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69.454539421384567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-1.7053025658242404E-13</v>
      </c>
      <c r="DP172" s="17">
        <f>DO172*VLOOKUP('Données projet'!$B$14,Paramètres!$A$1:$I$89,3,0)*VLOOKUP('Données projet'!$B$14,Paramètres!$A$1:$I$89,5,0)</f>
        <v>-1.3567387213697657E-13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309.14579005132464</v>
      </c>
      <c r="DU172" s="59">
        <f t="shared" si="152"/>
        <v>300.60311050289533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15.798831325491461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15.798831325491461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69.454539421384567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>
        <f>EJ172*VLOOKUP('Données projet'!$B$15,Paramètres!$A$1:$I$89,3,0)*VLOOKUP('Données projet'!$B$15,Paramètres!$A$1:$I$89,5,0)</f>
        <v>0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338.59243085476896</v>
      </c>
      <c r="EP172" s="59">
        <f t="shared" si="154"/>
        <v>329.8393445823275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14.637396234262033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14.637396234262033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69.454539421384567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>
        <f>FE172*VLOOKUP('Données projet'!$B$16,Paramètres!$A$1:$I$89,3,0)*VLOOKUP('Données projet'!$B$16,Paramètres!$A$1:$I$89,5,0)</f>
        <v>0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307.50573770128085</v>
      </c>
      <c r="FK172" s="59">
        <f t="shared" si="156"/>
        <v>300.2007312562655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13.080226422106499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13.080226422106499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69.454539421384567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>
        <f>FZ172*VLOOKUP('Données projet'!$B$17,Paramètres!$A$1:$I$89,3,0)*VLOOKUP('Données projet'!$B$17,Paramètres!$A$1:$I$89,5,0)</f>
        <v>0</v>
      </c>
      <c r="GB172" s="13" t="e">
        <f t="shared" si="185"/>
        <v>#NUM!</v>
      </c>
      <c r="GC172" s="20" t="e">
        <f t="shared" si="186"/>
        <v>#NUM!</v>
      </c>
      <c r="GD172" s="59" t="e">
        <f t="shared" si="134"/>
        <v>#NUM!</v>
      </c>
      <c r="GE172" s="59">
        <f ca="1">AVERAGE(OFFSET($GD$3,0,0,'Données projet'!$E$17+1,1))-AVERAGE(OFFSET($H$3,0,0,'Données projet'!$E$17+1,1))</f>
        <v>369.60865427618342</v>
      </c>
      <c r="GF172" s="59">
        <f t="shared" si="158"/>
        <v>359.40898775279197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16.19456604641757</v>
      </c>
      <c r="GM172" s="21">
        <f>EXP(-LN(2)/25)*GM171+(1-EXP(-LN(2)/25))/(LN(2)/25)*Calculateur!GH172*Calculateur!GJ172*VLOOKUP('Données projet'!$B$17,Paramètres!$A$1:$I$89,3,0)*0.475*44/12</f>
        <v>0</v>
      </c>
      <c r="GN172" s="21">
        <f>EXP(-LN(2)/2)*GN171+(1-EXP(-LN(2)/2))/(LN(2)/2)*GH172*GK172*VLOOKUP('Données projet'!$B$17,Paramètres!$A$1:$I$89,3,0)*0.475*44/12</f>
        <v>0</v>
      </c>
      <c r="GO172" s="21">
        <f t="shared" si="187"/>
        <v>16.19456604641757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69.454539421384567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-1.7053025658242404E-13</v>
      </c>
      <c r="GV172" s="17">
        <f>GU172*VLOOKUP('Données projet'!$B$18,Paramètres!$A$1:$I$89,3,0)*VLOOKUP('Données projet'!$B$18,Paramètres!$A$1:$I$89,5,0)</f>
        <v>-1.1173142411280423E-13</v>
      </c>
      <c r="GW172" s="13" t="e">
        <f t="shared" si="188"/>
        <v>#NUM!</v>
      </c>
      <c r="GX172" s="20" t="e">
        <f t="shared" si="189"/>
        <v>#NUM!</v>
      </c>
      <c r="GY172" s="59" t="e">
        <f t="shared" si="137"/>
        <v>#NUM!</v>
      </c>
      <c r="GZ172" s="59">
        <f ca="1">AVERAGE(OFFSET($GY$3,0,0,'Données projet'!$E$18+1,1))-AVERAGE(OFFSET($H$3,0,0,'Données projet'!$E$18+1,1))</f>
        <v>262.62914256200031</v>
      </c>
      <c r="HA172" s="59">
        <f t="shared" si="160"/>
        <v>256.45129229594409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projet'!$B$18,Paramètres!$A$1:$I$89,3,0)*0.475*44/12</f>
        <v>10.555933915589195</v>
      </c>
      <c r="HH172" s="21">
        <f>EXP(-LN(2)/25)*HH171+(1-EXP(-LN(2)/25))/(LN(2)/25)*Calculateur!HC172*Calculateur!HE172*VLOOKUP('Données projet'!$B$18,Paramètres!$A$1:$I$89,3,0)*0.475*44/12</f>
        <v>0</v>
      </c>
      <c r="HI172" s="21">
        <f>EXP(-LN(2)/2)*HI171+(1-EXP(-LN(2)/2))/(LN(2)/2)*HC172*HF172*VLOOKUP('Données projet'!$B$18,Paramètres!$A$1:$I$89,3,0)*0.475*44/12</f>
        <v>0</v>
      </c>
      <c r="HJ172" s="22">
        <f t="shared" si="190"/>
        <v>10.555933915589195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2.1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7.7</v>
      </c>
      <c r="H173" s="67">
        <f t="shared" si="110"/>
        <v>225.86666666666665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69.464001942956372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5.6843418860808015E-14</v>
      </c>
      <c r="O173" s="13">
        <f>N173*VLOOKUP('Données projet'!$B$9,Paramètres!$A$1:$I$89,3,0)*VLOOKUP('Données projet'!$B$9,Paramètres!$A$1:$I$89,5,0)</f>
        <v>4.8771653382573282E-14</v>
      </c>
      <c r="P173" s="13">
        <f t="shared" si="141"/>
        <v>7.9655698259503351E-13</v>
      </c>
      <c r="Q173" s="20">
        <f t="shared" si="162"/>
        <v>1.4722807076609983E-12</v>
      </c>
      <c r="R173" s="59">
        <f t="shared" si="109"/>
        <v>291.36800712417482</v>
      </c>
      <c r="S173" s="59">
        <f ca="1">AVERAGE(OFFSET($R$3,0,0,'Données projet'!$E$9+1,1))-AVERAGE(OFFSET($H$3,0,0,'Données projet'!$E$9+1,1))</f>
        <v>476.79071915271794</v>
      </c>
      <c r="T173" s="59">
        <f t="shared" si="142"/>
        <v>264.79929759351762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84.819998880813131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84.819998880813131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69.464001942956372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-9.5769792096689348E-14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365.104658862176</v>
      </c>
      <c r="AO173" s="59">
        <f t="shared" si="144"/>
        <v>226.29232910286325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48.247910558258738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48.247910558258738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69.464001942956372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-1.1368683772161603E-13</v>
      </c>
      <c r="BE173" s="13">
        <f>BD173*VLOOKUP('Données projet'!$B$11,Paramètres!$A$1:$I$89,3,0)*VLOOKUP('Données projet'!$B$11,Paramètres!$A$1:$I$89,5,0)</f>
        <v>-1.0286385077051818E-13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388.12494342575195</v>
      </c>
      <c r="BJ173" s="59">
        <f t="shared" si="146"/>
        <v>239.39471445648454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51.821829858870537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51.821829858870537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69.464001942956372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-1.1368683772161603E-13</v>
      </c>
      <c r="BZ173" s="13">
        <f>BY173*VLOOKUP('Données projet'!$B$12,Paramètres!$A$1:$I$89,3,0)*VLOOKUP('Données projet'!$B$12,Paramètres!$A$1:$I$89,5,0)</f>
        <v>-1.1527845344971866E-13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428.33148932885132</v>
      </c>
      <c r="CE173" s="59">
        <f t="shared" si="148"/>
        <v>262.27548054534373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58.076188634941055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58.076188634941055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69.464001942956372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-1.1368683772161603E-13</v>
      </c>
      <c r="CU173" s="17">
        <f>CT173*VLOOKUP('Données projet'!$B$13,Paramètres!$A$1:$I$89,3,0)*VLOOKUP('Données projet'!$B$13,Paramètres!$A$1:$I$89,5,0)</f>
        <v>-1.0818439477588981E-13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307.62549820830162</v>
      </c>
      <c r="CZ173" s="59">
        <f t="shared" si="150"/>
        <v>160.26466014910304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39.582657591303615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39.582657591303615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69.464001942956372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-1.7053025658242404E-13</v>
      </c>
      <c r="DP173" s="17">
        <f>DO173*VLOOKUP('Données projet'!$B$14,Paramètres!$A$1:$I$89,3,0)*VLOOKUP('Données projet'!$B$14,Paramètres!$A$1:$I$89,5,0)</f>
        <v>-1.3567387213697657E-13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309.14579005132464</v>
      </c>
      <c r="DU173" s="59">
        <f t="shared" si="152"/>
        <v>300.60311050289533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15.489025879534173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15.489025879534173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69.464001942956372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>
        <f>EJ173*VLOOKUP('Données projet'!$B$15,Paramètres!$A$1:$I$89,3,0)*VLOOKUP('Données projet'!$B$15,Paramètres!$A$1:$I$89,5,0)</f>
        <v>0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338.59243085476896</v>
      </c>
      <c r="EP173" s="59">
        <f t="shared" si="154"/>
        <v>329.8393445823275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14.350365822038297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14.350365822038297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69.464001942956372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>
        <f>FE173*VLOOKUP('Données projet'!$B$16,Paramètres!$A$1:$I$89,3,0)*VLOOKUP('Données projet'!$B$16,Paramètres!$A$1:$I$89,5,0)</f>
        <v>0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307.50573770128085</v>
      </c>
      <c r="FK173" s="59">
        <f t="shared" si="156"/>
        <v>300.2007312562655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12.823731160119332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12.823731160119332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69.464001942956372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>
        <f>FZ173*VLOOKUP('Données projet'!$B$17,Paramètres!$A$1:$I$89,3,0)*VLOOKUP('Données projet'!$B$17,Paramètres!$A$1:$I$89,5,0)</f>
        <v>0</v>
      </c>
      <c r="GB173" s="13" t="e">
        <f t="shared" si="185"/>
        <v>#NUM!</v>
      </c>
      <c r="GC173" s="20" t="e">
        <f t="shared" si="186"/>
        <v>#NUM!</v>
      </c>
      <c r="GD173" s="59" t="e">
        <f t="shared" si="134"/>
        <v>#NUM!</v>
      </c>
      <c r="GE173" s="59">
        <f ca="1">AVERAGE(OFFSET($GD$3,0,0,'Données projet'!$E$17+1,1))-AVERAGE(OFFSET($H$3,0,0,'Données projet'!$E$17+1,1))</f>
        <v>369.60865427618342</v>
      </c>
      <c r="GF173" s="59">
        <f t="shared" si="158"/>
        <v>359.40898775279197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15.877000483957268</v>
      </c>
      <c r="GM173" s="21">
        <f>EXP(-LN(2)/25)*GM172+(1-EXP(-LN(2)/25))/(LN(2)/25)*Calculateur!GH173*Calculateur!GJ173*VLOOKUP('Données projet'!$B$17,Paramètres!$A$1:$I$89,3,0)*0.475*44/12</f>
        <v>0</v>
      </c>
      <c r="GN173" s="21">
        <f>EXP(-LN(2)/2)*GN172+(1-EXP(-LN(2)/2))/(LN(2)/2)*GH173*GK173*VLOOKUP('Données projet'!$B$17,Paramètres!$A$1:$I$89,3,0)*0.475*44/12</f>
        <v>0</v>
      </c>
      <c r="GO173" s="21">
        <f t="shared" si="187"/>
        <v>15.877000483957268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69.464001942956372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-1.7053025658242404E-13</v>
      </c>
      <c r="GV173" s="17">
        <f>GU173*VLOOKUP('Données projet'!$B$18,Paramètres!$A$1:$I$89,3,0)*VLOOKUP('Données projet'!$B$18,Paramètres!$A$1:$I$89,5,0)</f>
        <v>-1.1173142411280423E-13</v>
      </c>
      <c r="GW173" s="13" t="e">
        <f t="shared" si="188"/>
        <v>#NUM!</v>
      </c>
      <c r="GX173" s="20" t="e">
        <f t="shared" si="189"/>
        <v>#NUM!</v>
      </c>
      <c r="GY173" s="59" t="e">
        <f t="shared" si="137"/>
        <v>#NUM!</v>
      </c>
      <c r="GZ173" s="59">
        <f ca="1">AVERAGE(OFFSET($GY$3,0,0,'Données projet'!$E$18+1,1))-AVERAGE(OFFSET($H$3,0,0,'Données projet'!$E$18+1,1))</f>
        <v>262.62914256200031</v>
      </c>
      <c r="HA173" s="59">
        <f t="shared" si="160"/>
        <v>256.45129229594409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projet'!$B$18,Paramètres!$A$1:$I$89,3,0)*0.475*44/12</f>
        <v>10.348938489988432</v>
      </c>
      <c r="HH173" s="21">
        <f>EXP(-LN(2)/25)*HH172+(1-EXP(-LN(2)/25))/(LN(2)/25)*Calculateur!HC173*Calculateur!HE173*VLOOKUP('Données projet'!$B$18,Paramètres!$A$1:$I$89,3,0)*0.475*44/12</f>
        <v>0</v>
      </c>
      <c r="HI173" s="21">
        <f>EXP(-LN(2)/2)*HI172+(1-EXP(-LN(2)/2))/(LN(2)/2)*HC173*HF173*VLOOKUP('Données projet'!$B$18,Paramètres!$A$1:$I$89,3,0)*0.475*44/12</f>
        <v>0</v>
      </c>
      <c r="HJ173" s="22">
        <f t="shared" si="190"/>
        <v>10.348938489988432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2.1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7.7</v>
      </c>
      <c r="H174" s="67">
        <f t="shared" si="110"/>
        <v>225.86666666666665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69.473300310933951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5.6843418860808015E-14</v>
      </c>
      <c r="O174" s="13">
        <f>N174*VLOOKUP('Données projet'!$B$9,Paramètres!$A$1:$I$89,3,0)*VLOOKUP('Données projet'!$B$9,Paramètres!$A$1:$I$89,5,0)</f>
        <v>4.8771653382573282E-14</v>
      </c>
      <c r="P174" s="13">
        <f t="shared" si="141"/>
        <v>7.9655698259503351E-13</v>
      </c>
      <c r="Q174" s="20">
        <f t="shared" si="162"/>
        <v>1.4722807076609983E-12</v>
      </c>
      <c r="R174" s="59">
        <f t="shared" si="109"/>
        <v>291.40210114009261</v>
      </c>
      <c r="S174" s="59">
        <f ca="1">AVERAGE(OFFSET($R$3,0,0,'Données projet'!$E$9+1,1))-AVERAGE(OFFSET($H$3,0,0,'Données projet'!$E$9+1,1))</f>
        <v>476.79071915271794</v>
      </c>
      <c r="T174" s="59">
        <f t="shared" si="142"/>
        <v>264.79929759351762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83.15673043785128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83.15673043785128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69.473300310933951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-9.5769792096689348E-14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365.104658862176</v>
      </c>
      <c r="AO174" s="59">
        <f t="shared" si="144"/>
        <v>226.29232910286325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47.301798460530918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47.301798460530918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69.473300310933951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-1.1368683772161603E-13</v>
      </c>
      <c r="BE174" s="13">
        <f>BD174*VLOOKUP('Données projet'!$B$11,Paramètres!$A$1:$I$89,3,0)*VLOOKUP('Données projet'!$B$11,Paramètres!$A$1:$I$89,5,0)</f>
        <v>-1.0286385077051818E-13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388.12494342575195</v>
      </c>
      <c r="BJ174" s="59">
        <f t="shared" si="146"/>
        <v>239.39471445648454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50.80563538353325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50.80563538353325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69.473300310933951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-1.1368683772161603E-13</v>
      </c>
      <c r="BZ174" s="13">
        <f>BY174*VLOOKUP('Données projet'!$B$12,Paramètres!$A$1:$I$89,3,0)*VLOOKUP('Données projet'!$B$12,Paramètres!$A$1:$I$89,5,0)</f>
        <v>-1.1527845344971866E-13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428.33148932885132</v>
      </c>
      <c r="CE174" s="59">
        <f t="shared" si="148"/>
        <v>262.27548054534373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56.937349998787198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56.937349998787198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69.473300310933951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-1.1368683772161603E-13</v>
      </c>
      <c r="CU174" s="17">
        <f>CT174*VLOOKUP('Données projet'!$B$13,Paramètres!$A$1:$I$89,3,0)*VLOOKUP('Données projet'!$B$13,Paramètres!$A$1:$I$89,5,0)</f>
        <v>-1.0818439477588981E-13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307.62549820830162</v>
      </c>
      <c r="CZ174" s="59">
        <f t="shared" si="150"/>
        <v>160.26466014910304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38.806465818975354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38.806465818975354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69.473300310933951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-1.7053025658242404E-13</v>
      </c>
      <c r="DP174" s="17">
        <f>DO174*VLOOKUP('Données projet'!$B$14,Paramètres!$A$1:$I$89,3,0)*VLOOKUP('Données projet'!$B$14,Paramètres!$A$1:$I$89,5,0)</f>
        <v>-1.3567387213697657E-13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309.14579005132464</v>
      </c>
      <c r="DU174" s="59">
        <f t="shared" si="152"/>
        <v>300.60311050289533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15.185295529409444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15.185295529409444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69.473300310933951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>
        <f>EJ174*VLOOKUP('Données projet'!$B$15,Paramètres!$A$1:$I$89,3,0)*VLOOKUP('Données projet'!$B$15,Paramètres!$A$1:$I$89,5,0)</f>
        <v>0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338.59243085476896</v>
      </c>
      <c r="EP174" s="59">
        <f t="shared" si="154"/>
        <v>329.8393445823275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14.068963901127004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14.068963901127004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69.473300310933951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>
        <f>FE174*VLOOKUP('Données projet'!$B$16,Paramètres!$A$1:$I$89,3,0)*VLOOKUP('Données projet'!$B$16,Paramètres!$A$1:$I$89,5,0)</f>
        <v>0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307.50573770128085</v>
      </c>
      <c r="FK174" s="59">
        <f t="shared" si="156"/>
        <v>300.2007312562655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12.57226561377307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12.57226561377307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69.473300310933951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>
        <f>FZ174*VLOOKUP('Données projet'!$B$17,Paramètres!$A$1:$I$89,3,0)*VLOOKUP('Données projet'!$B$17,Paramètres!$A$1:$I$89,5,0)</f>
        <v>0</v>
      </c>
      <c r="GB174" s="13" t="e">
        <f t="shared" si="185"/>
        <v>#NUM!</v>
      </c>
      <c r="GC174" s="20" t="e">
        <f t="shared" si="186"/>
        <v>#NUM!</v>
      </c>
      <c r="GD174" s="59" t="e">
        <f t="shared" si="134"/>
        <v>#NUM!</v>
      </c>
      <c r="GE174" s="59">
        <f ca="1">AVERAGE(OFFSET($GD$3,0,0,'Données projet'!$E$17+1,1))-AVERAGE(OFFSET($H$3,0,0,'Données projet'!$E$17+1,1))</f>
        <v>369.60865427618342</v>
      </c>
      <c r="GF174" s="59">
        <f t="shared" si="158"/>
        <v>359.40898775279197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15.565662188480944</v>
      </c>
      <c r="GM174" s="21">
        <f>EXP(-LN(2)/25)*GM173+(1-EXP(-LN(2)/25))/(LN(2)/25)*Calculateur!GH174*Calculateur!GJ174*VLOOKUP('Données projet'!$B$17,Paramètres!$A$1:$I$89,3,0)*0.475*44/12</f>
        <v>0</v>
      </c>
      <c r="GN174" s="21">
        <f>EXP(-LN(2)/2)*GN173+(1-EXP(-LN(2)/2))/(LN(2)/2)*GH174*GK174*VLOOKUP('Données projet'!$B$17,Paramètres!$A$1:$I$89,3,0)*0.475*44/12</f>
        <v>0</v>
      </c>
      <c r="GO174" s="21">
        <f t="shared" si="187"/>
        <v>15.565662188480944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69.473300310933951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-1.7053025658242404E-13</v>
      </c>
      <c r="GV174" s="17">
        <f>GU174*VLOOKUP('Données projet'!$B$18,Paramètres!$A$1:$I$89,3,0)*VLOOKUP('Données projet'!$B$18,Paramètres!$A$1:$I$89,5,0)</f>
        <v>-1.1173142411280423E-13</v>
      </c>
      <c r="GW174" s="13" t="e">
        <f t="shared" si="188"/>
        <v>#NUM!</v>
      </c>
      <c r="GX174" s="20" t="e">
        <f t="shared" si="189"/>
        <v>#NUM!</v>
      </c>
      <c r="GY174" s="59" t="e">
        <f t="shared" si="137"/>
        <v>#NUM!</v>
      </c>
      <c r="GZ174" s="59">
        <f ca="1">AVERAGE(OFFSET($GY$3,0,0,'Données projet'!$E$18+1,1))-AVERAGE(OFFSET($H$3,0,0,'Données projet'!$E$18+1,1))</f>
        <v>262.62914256200031</v>
      </c>
      <c r="HA174" s="59">
        <f t="shared" si="160"/>
        <v>256.45129229594409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projet'!$B$18,Paramètres!$A$1:$I$89,3,0)*0.475*44/12</f>
        <v>10.146002118428957</v>
      </c>
      <c r="HH174" s="21">
        <f>EXP(-LN(2)/25)*HH173+(1-EXP(-LN(2)/25))/(LN(2)/25)*Calculateur!HC174*Calculateur!HE174*VLOOKUP('Données projet'!$B$18,Paramètres!$A$1:$I$89,3,0)*0.475*44/12</f>
        <v>0</v>
      </c>
      <c r="HI174" s="21">
        <f>EXP(-LN(2)/2)*HI173+(1-EXP(-LN(2)/2))/(LN(2)/2)*HC174*HF174*VLOOKUP('Données projet'!$B$18,Paramètres!$A$1:$I$89,3,0)*0.475*44/12</f>
        <v>0</v>
      </c>
      <c r="HJ174" s="22">
        <f t="shared" si="190"/>
        <v>10.146002118428957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2.1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7.7</v>
      </c>
      <c r="H175" s="67">
        <f t="shared" si="110"/>
        <v>225.86666666666665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69.482437373015145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5.6843418860808015E-14</v>
      </c>
      <c r="O175" s="13">
        <f>N175*VLOOKUP('Données projet'!$B$9,Paramètres!$A$1:$I$89,3,0)*VLOOKUP('Données projet'!$B$9,Paramètres!$A$1:$I$89,5,0)</f>
        <v>4.8771653382573282E-14</v>
      </c>
      <c r="P175" s="13">
        <f t="shared" si="141"/>
        <v>7.9655698259503351E-13</v>
      </c>
      <c r="Q175" s="20">
        <f t="shared" si="162"/>
        <v>1.4722807076609983E-12</v>
      </c>
      <c r="R175" s="59">
        <f t="shared" si="109"/>
        <v>291.435603701057</v>
      </c>
      <c r="S175" s="59">
        <f ca="1">AVERAGE(OFFSET($R$3,0,0,'Données projet'!$E$9+1,1))-AVERAGE(OFFSET($H$3,0,0,'Données projet'!$E$9+1,1))</f>
        <v>476.79071915271794</v>
      </c>
      <c r="T175" s="59">
        <f t="shared" si="142"/>
        <v>264.79929759351762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81.526077674562345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81.526077674562345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69.482437373015145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-9.5769792096689348E-14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365.104658862176</v>
      </c>
      <c r="AO175" s="59">
        <f t="shared" si="144"/>
        <v>226.29232910286325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46.374239043968146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46.374239043968146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69.482437373015145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-1.1368683772161603E-13</v>
      </c>
      <c r="BE175" s="13">
        <f>BD175*VLOOKUP('Données projet'!$B$11,Paramètres!$A$1:$I$89,3,0)*VLOOKUP('Données projet'!$B$11,Paramètres!$A$1:$I$89,5,0)</f>
        <v>-1.0286385077051818E-13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388.12494342575195</v>
      </c>
      <c r="BJ175" s="59">
        <f t="shared" si="146"/>
        <v>239.39471445648454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49.809367862039899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49.809367862039899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69.482437373015145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-1.1368683772161603E-13</v>
      </c>
      <c r="BZ175" s="13">
        <f>BY175*VLOOKUP('Données projet'!$B$12,Paramètres!$A$1:$I$89,3,0)*VLOOKUP('Données projet'!$B$12,Paramètres!$A$1:$I$89,5,0)</f>
        <v>-1.1527845344971866E-13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428.33148932885132</v>
      </c>
      <c r="CE175" s="59">
        <f t="shared" si="148"/>
        <v>262.27548054534373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55.820843293665341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55.820843293665341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69.482437373015145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-1.1368683772161603E-13</v>
      </c>
      <c r="CU175" s="17">
        <f>CT175*VLOOKUP('Données projet'!$B$13,Paramètres!$A$1:$I$89,3,0)*VLOOKUP('Données projet'!$B$13,Paramètres!$A$1:$I$89,5,0)</f>
        <v>-1.0818439477588981E-13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307.62549820830162</v>
      </c>
      <c r="CZ175" s="59">
        <f t="shared" si="150"/>
        <v>160.26466014910304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38.045494693872214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38.045494693872214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69.482437373015145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-1.7053025658242404E-13</v>
      </c>
      <c r="DP175" s="17">
        <f>DO175*VLOOKUP('Données projet'!$B$14,Paramètres!$A$1:$I$89,3,0)*VLOOKUP('Données projet'!$B$14,Paramètres!$A$1:$I$89,5,0)</f>
        <v>-1.3567387213697657E-13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309.14579005132464</v>
      </c>
      <c r="DU175" s="59">
        <f t="shared" si="152"/>
        <v>300.60311050289533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14.887521146193441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14.887521146193441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69.482437373015145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>
        <f>EJ175*VLOOKUP('Données projet'!$B$15,Paramètres!$A$1:$I$89,3,0)*VLOOKUP('Données projet'!$B$15,Paramètres!$A$1:$I$89,5,0)</f>
        <v>0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338.59243085476896</v>
      </c>
      <c r="EP175" s="59">
        <f t="shared" si="154"/>
        <v>329.8393445823275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13.793080100246558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13.793080100246558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69.482437373015145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>
        <f>FE175*VLOOKUP('Données projet'!$B$16,Paramètres!$A$1:$I$89,3,0)*VLOOKUP('Données projet'!$B$16,Paramètres!$A$1:$I$89,5,0)</f>
        <v>0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307.50573770128085</v>
      </c>
      <c r="FK175" s="59">
        <f t="shared" si="156"/>
        <v>300.2007312562655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12.325731153411819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12.325731153411819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69.482437373015145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>
        <f>FZ175*VLOOKUP('Données projet'!$B$17,Paramètres!$A$1:$I$89,3,0)*VLOOKUP('Données projet'!$B$17,Paramètres!$A$1:$I$89,5,0)</f>
        <v>0</v>
      </c>
      <c r="GB175" s="13" t="e">
        <f t="shared" si="185"/>
        <v>#NUM!</v>
      </c>
      <c r="GC175" s="20" t="e">
        <f t="shared" si="186"/>
        <v>#NUM!</v>
      </c>
      <c r="GD175" s="59" t="e">
        <f t="shared" si="134"/>
        <v>#NUM!</v>
      </c>
      <c r="GE175" s="59">
        <f ca="1">AVERAGE(OFFSET($GD$3,0,0,'Données projet'!$E$17+1,1))-AVERAGE(OFFSET($H$3,0,0,'Données projet'!$E$17+1,1))</f>
        <v>369.60865427618342</v>
      </c>
      <c r="GF175" s="59">
        <f t="shared" si="158"/>
        <v>359.40898775279197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15.260429047081303</v>
      </c>
      <c r="GM175" s="21">
        <f>EXP(-LN(2)/25)*GM174+(1-EXP(-LN(2)/25))/(LN(2)/25)*Calculateur!GH175*Calculateur!GJ175*VLOOKUP('Données projet'!$B$17,Paramètres!$A$1:$I$89,3,0)*0.475*44/12</f>
        <v>0</v>
      </c>
      <c r="GN175" s="21">
        <f>EXP(-LN(2)/2)*GN174+(1-EXP(-LN(2)/2))/(LN(2)/2)*GH175*GK175*VLOOKUP('Données projet'!$B$17,Paramètres!$A$1:$I$89,3,0)*0.475*44/12</f>
        <v>0</v>
      </c>
      <c r="GO175" s="21">
        <f t="shared" si="187"/>
        <v>15.260429047081303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69.482437373015145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-1.7053025658242404E-13</v>
      </c>
      <c r="GV175" s="17">
        <f>GU175*VLOOKUP('Données projet'!$B$18,Paramètres!$A$1:$I$89,3,0)*VLOOKUP('Données projet'!$B$18,Paramètres!$A$1:$I$89,5,0)</f>
        <v>-1.1173142411280423E-13</v>
      </c>
      <c r="GW175" s="13" t="e">
        <f t="shared" si="188"/>
        <v>#NUM!</v>
      </c>
      <c r="GX175" s="20" t="e">
        <f t="shared" si="189"/>
        <v>#NUM!</v>
      </c>
      <c r="GY175" s="59" t="e">
        <f t="shared" si="137"/>
        <v>#NUM!</v>
      </c>
      <c r="GZ175" s="59">
        <f ca="1">AVERAGE(OFFSET($GY$3,0,0,'Données projet'!$E$18+1,1))-AVERAGE(OFFSET($H$3,0,0,'Données projet'!$E$18+1,1))</f>
        <v>262.62914256200031</v>
      </c>
      <c r="HA175" s="59">
        <f t="shared" si="160"/>
        <v>256.45129229594409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projet'!$B$18,Paramètres!$A$1:$I$89,3,0)*0.475*44/12</f>
        <v>9.9470452053367975</v>
      </c>
      <c r="HH175" s="21">
        <f>EXP(-LN(2)/25)*HH174+(1-EXP(-LN(2)/25))/(LN(2)/25)*Calculateur!HC175*Calculateur!HE175*VLOOKUP('Données projet'!$B$18,Paramètres!$A$1:$I$89,3,0)*0.475*44/12</f>
        <v>0</v>
      </c>
      <c r="HI175" s="21">
        <f>EXP(-LN(2)/2)*HI174+(1-EXP(-LN(2)/2))/(LN(2)/2)*HC175*HF175*VLOOKUP('Données projet'!$B$18,Paramètres!$A$1:$I$89,3,0)*0.475*44/12</f>
        <v>0</v>
      </c>
      <c r="HJ175" s="22">
        <f t="shared" si="190"/>
        <v>9.9470452053367975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2.1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7.7</v>
      </c>
      <c r="H176" s="67">
        <f t="shared" si="110"/>
        <v>225.86666666666665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69.491415927496632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5.6843418860808015E-14</v>
      </c>
      <c r="O176" s="13">
        <f>N176*VLOOKUP('Données projet'!$B$9,Paramètres!$A$1:$I$89,3,0)*VLOOKUP('Données projet'!$B$9,Paramètres!$A$1:$I$89,5,0)</f>
        <v>4.8771653382573282E-14</v>
      </c>
      <c r="P176" s="13">
        <f t="shared" si="141"/>
        <v>7.9655698259503351E-13</v>
      </c>
      <c r="Q176" s="20">
        <f t="shared" si="162"/>
        <v>1.4722807076609983E-12</v>
      </c>
      <c r="R176" s="59">
        <f t="shared" si="109"/>
        <v>291.46852506748911</v>
      </c>
      <c r="S176" s="59">
        <f ca="1">AVERAGE(OFFSET($R$3,0,0,'Données projet'!$E$9+1,1))-AVERAGE(OFFSET($H$3,0,0,'Données projet'!$E$9+1,1))</f>
        <v>476.79071915271794</v>
      </c>
      <c r="T176" s="59">
        <f t="shared" si="142"/>
        <v>264.79929759351762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79.927401017361518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79.927401017361518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69.491415927496632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-9.5769792096689348E-14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365.104658862176</v>
      </c>
      <c r="AO176" s="59">
        <f t="shared" si="144"/>
        <v>226.29232910286325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45.464868501808787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45.464868501808787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69.491415927496632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-1.1368683772161603E-13</v>
      </c>
      <c r="BE176" s="13">
        <f>BD176*VLOOKUP('Données projet'!$B$11,Paramètres!$A$1:$I$89,3,0)*VLOOKUP('Données projet'!$B$11,Paramètres!$A$1:$I$89,5,0)</f>
        <v>-1.0286385077051818E-13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388.12494342575195</v>
      </c>
      <c r="BJ176" s="59">
        <f t="shared" si="146"/>
        <v>239.39471445648454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48.832636538979848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48.832636538979848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69.491415927496632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-1.1368683772161603E-13</v>
      </c>
      <c r="BZ176" s="13">
        <f>BY176*VLOOKUP('Données projet'!$B$12,Paramètres!$A$1:$I$89,3,0)*VLOOKUP('Données projet'!$B$12,Paramètres!$A$1:$I$89,5,0)</f>
        <v>-1.1527845344971866E-13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428.33148932885132</v>
      </c>
      <c r="CE176" s="59">
        <f t="shared" si="148"/>
        <v>262.27548054534373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54.726230604029077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54.726230604029077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69.491415927496632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-1.1368683772161603E-13</v>
      </c>
      <c r="CU176" s="17">
        <f>CT176*VLOOKUP('Données projet'!$B$13,Paramètres!$A$1:$I$89,3,0)*VLOOKUP('Données projet'!$B$13,Paramètres!$A$1:$I$89,5,0)</f>
        <v>-1.0818439477588981E-13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307.62549820830162</v>
      </c>
      <c r="CZ176" s="59">
        <f t="shared" si="150"/>
        <v>160.26466014910304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37.299445748385793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37.299445748385793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69.491415927496632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-1.7053025658242404E-13</v>
      </c>
      <c r="DP176" s="17">
        <f>DO176*VLOOKUP('Données projet'!$B$14,Paramètres!$A$1:$I$89,3,0)*VLOOKUP('Données projet'!$B$14,Paramètres!$A$1:$I$89,5,0)</f>
        <v>-1.3567387213697657E-13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309.14579005132464</v>
      </c>
      <c r="DU176" s="59">
        <f t="shared" si="152"/>
        <v>300.60311050289533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14.595585937007863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14.595585937007863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69.491415927496632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>
        <f>EJ176*VLOOKUP('Données projet'!$B$15,Paramètres!$A$1:$I$89,3,0)*VLOOKUP('Données projet'!$B$15,Paramètres!$A$1:$I$89,5,0)</f>
        <v>0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338.59243085476896</v>
      </c>
      <c r="EP176" s="59">
        <f t="shared" si="154"/>
        <v>329.8393445823275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13.522606212428874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13.522606212428874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69.491415927496632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>
        <f>FE176*VLOOKUP('Données projet'!$B$16,Paramètres!$A$1:$I$89,3,0)*VLOOKUP('Données projet'!$B$16,Paramètres!$A$1:$I$89,5,0)</f>
        <v>0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307.50573770128085</v>
      </c>
      <c r="FK176" s="59">
        <f t="shared" si="156"/>
        <v>300.2007312562655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12.084031083447082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12.084031083447082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69.491415927496632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>
        <f>FZ176*VLOOKUP('Données projet'!$B$17,Paramètres!$A$1:$I$89,3,0)*VLOOKUP('Données projet'!$B$17,Paramètres!$A$1:$I$89,5,0)</f>
        <v>0</v>
      </c>
      <c r="GB176" s="13" t="e">
        <f t="shared" si="185"/>
        <v>#NUM!</v>
      </c>
      <c r="GC176" s="20" t="e">
        <f t="shared" si="186"/>
        <v>#NUM!</v>
      </c>
      <c r="GD176" s="59" t="e">
        <f t="shared" si="134"/>
        <v>#NUM!</v>
      </c>
      <c r="GE176" s="59">
        <f ca="1">AVERAGE(OFFSET($GD$3,0,0,'Données projet'!$E$17+1,1))-AVERAGE(OFFSET($H$3,0,0,'Données projet'!$E$17+1,1))</f>
        <v>369.60865427618342</v>
      </c>
      <c r="GF176" s="59">
        <f t="shared" si="158"/>
        <v>359.40898775279197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14.961181341410674</v>
      </c>
      <c r="GM176" s="21">
        <f>EXP(-LN(2)/25)*GM175+(1-EXP(-LN(2)/25))/(LN(2)/25)*Calculateur!GH176*Calculateur!GJ176*VLOOKUP('Données projet'!$B$17,Paramètres!$A$1:$I$89,3,0)*0.475*44/12</f>
        <v>0</v>
      </c>
      <c r="GN176" s="21">
        <f>EXP(-LN(2)/2)*GN175+(1-EXP(-LN(2)/2))/(LN(2)/2)*GH176*GK176*VLOOKUP('Données projet'!$B$17,Paramètres!$A$1:$I$89,3,0)*0.475*44/12</f>
        <v>0</v>
      </c>
      <c r="GO176" s="21">
        <f t="shared" si="187"/>
        <v>14.961181341410674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69.491415927496632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-1.7053025658242404E-13</v>
      </c>
      <c r="GV176" s="17">
        <f>GU176*VLOOKUP('Données projet'!$B$18,Paramètres!$A$1:$I$89,3,0)*VLOOKUP('Données projet'!$B$18,Paramètres!$A$1:$I$89,5,0)</f>
        <v>-1.1173142411280423E-13</v>
      </c>
      <c r="GW176" s="13" t="e">
        <f t="shared" si="188"/>
        <v>#NUM!</v>
      </c>
      <c r="GX176" s="20" t="e">
        <f t="shared" si="189"/>
        <v>#NUM!</v>
      </c>
      <c r="GY176" s="59" t="e">
        <f t="shared" si="137"/>
        <v>#NUM!</v>
      </c>
      <c r="GZ176" s="59">
        <f ca="1">AVERAGE(OFFSET($GY$3,0,0,'Données projet'!$E$18+1,1))-AVERAGE(OFFSET($H$3,0,0,'Données projet'!$E$18+1,1))</f>
        <v>262.62914256200031</v>
      </c>
      <c r="HA176" s="59">
        <f t="shared" si="160"/>
        <v>256.45129229594409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projet'!$B$18,Paramètres!$A$1:$I$89,3,0)*0.475*44/12</f>
        <v>9.7519897159586417</v>
      </c>
      <c r="HH176" s="21">
        <f>EXP(-LN(2)/25)*HH175+(1-EXP(-LN(2)/25))/(LN(2)/25)*Calculateur!HC176*Calculateur!HE176*VLOOKUP('Données projet'!$B$18,Paramètres!$A$1:$I$89,3,0)*0.475*44/12</f>
        <v>0</v>
      </c>
      <c r="HI176" s="21">
        <f>EXP(-LN(2)/2)*HI175+(1-EXP(-LN(2)/2))/(LN(2)/2)*HC176*HF176*VLOOKUP('Données projet'!$B$18,Paramètres!$A$1:$I$89,3,0)*0.475*44/12</f>
        <v>0</v>
      </c>
      <c r="HJ176" s="22">
        <f t="shared" si="190"/>
        <v>9.7519897159586417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2.1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7.7</v>
      </c>
      <c r="H177" s="67">
        <f t="shared" si="110"/>
        <v>225.86666666666665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69.500238724130924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5.6843418860808015E-14</v>
      </c>
      <c r="O177" s="13">
        <f>N177*VLOOKUP('Données projet'!$B$9,Paramètres!$A$1:$I$89,3,0)*VLOOKUP('Données projet'!$B$9,Paramètres!$A$1:$I$89,5,0)</f>
        <v>4.8771653382573282E-14</v>
      </c>
      <c r="P177" s="13">
        <f t="shared" si="141"/>
        <v>7.9655698259503351E-13</v>
      </c>
      <c r="Q177" s="20">
        <f t="shared" si="162"/>
        <v>1.4722807076609983E-12</v>
      </c>
      <c r="R177" s="59">
        <f t="shared" si="109"/>
        <v>291.50087532181487</v>
      </c>
      <c r="S177" s="59">
        <f ca="1">AVERAGE(OFFSET($R$3,0,0,'Données projet'!$E$9+1,1))-AVERAGE(OFFSET($H$3,0,0,'Données projet'!$E$9+1,1))</f>
        <v>476.79071915271794</v>
      </c>
      <c r="T177" s="59">
        <f t="shared" si="142"/>
        <v>264.79929759351762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78.360073434311929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78.360073434311929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69.500238724130924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-9.5769792096689348E-14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365.104658862176</v>
      </c>
      <c r="AO177" s="59">
        <f t="shared" si="144"/>
        <v>226.29232910286325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44.573330161319909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44.573330161319909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69.500238724130924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-1.1368683772161603E-13</v>
      </c>
      <c r="BE177" s="13">
        <f>BD177*VLOOKUP('Données projet'!$B$11,Paramètres!$A$1:$I$89,3,0)*VLOOKUP('Données projet'!$B$11,Paramètres!$A$1:$I$89,5,0)</f>
        <v>-1.0286385077051818E-13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388.12494342575195</v>
      </c>
      <c r="BJ177" s="59">
        <f t="shared" si="146"/>
        <v>239.39471445648454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47.875058321417718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47.875058321417718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69.500238724130924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-1.1368683772161603E-13</v>
      </c>
      <c r="BZ177" s="13">
        <f>BY177*VLOOKUP('Données projet'!$B$12,Paramètres!$A$1:$I$89,3,0)*VLOOKUP('Données projet'!$B$12,Paramètres!$A$1:$I$89,5,0)</f>
        <v>-1.1527845344971866E-13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428.33148932885132</v>
      </c>
      <c r="CE177" s="59">
        <f t="shared" si="148"/>
        <v>262.27548054534373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53.653082601588764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53.653082601588764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69.500238724130924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-1.1368683772161603E-13</v>
      </c>
      <c r="CU177" s="17">
        <f>CT177*VLOOKUP('Données projet'!$B$13,Paramètres!$A$1:$I$89,3,0)*VLOOKUP('Données projet'!$B$13,Paramètres!$A$1:$I$89,5,0)</f>
        <v>-1.0818439477588981E-13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307.62549820830162</v>
      </c>
      <c r="CZ177" s="59">
        <f t="shared" si="150"/>
        <v>160.26466014910304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36.568026367675436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36.568026367675436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69.500238724130924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-1.7053025658242404E-13</v>
      </c>
      <c r="DP177" s="17">
        <f>DO177*VLOOKUP('Données projet'!$B$14,Paramètres!$A$1:$I$89,3,0)*VLOOKUP('Données projet'!$B$14,Paramètres!$A$1:$I$89,5,0)</f>
        <v>-1.3567387213697657E-13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309.14579005132464</v>
      </c>
      <c r="DU177" s="59">
        <f t="shared" si="152"/>
        <v>300.60311050289533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14.309375399211518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14.309375399211518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69.500238724130924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>
        <f>EJ177*VLOOKUP('Données projet'!$B$15,Paramètres!$A$1:$I$89,3,0)*VLOOKUP('Données projet'!$B$15,Paramètres!$A$1:$I$89,5,0)</f>
        <v>0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338.59243085476896</v>
      </c>
      <c r="EP177" s="59">
        <f t="shared" si="154"/>
        <v>329.8393445823275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13.257436152578514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13.257436152578514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69.500238724130924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>
        <f>FE177*VLOOKUP('Données projet'!$B$16,Paramètres!$A$1:$I$89,3,0)*VLOOKUP('Données projet'!$B$16,Paramètres!$A$1:$I$89,5,0)</f>
        <v>0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307.50573770128085</v>
      </c>
      <c r="FK177" s="59">
        <f t="shared" si="156"/>
        <v>300.2007312562655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11.847070604431865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11.847070604431865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69.500238724130924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>
        <f>FZ177*VLOOKUP('Données projet'!$B$17,Paramètres!$A$1:$I$89,3,0)*VLOOKUP('Données projet'!$B$17,Paramètres!$A$1:$I$89,5,0)</f>
        <v>0</v>
      </c>
      <c r="GB177" s="13" t="e">
        <f t="shared" si="185"/>
        <v>#NUM!</v>
      </c>
      <c r="GC177" s="20" t="e">
        <f t="shared" si="186"/>
        <v>#NUM!</v>
      </c>
      <c r="GD177" s="59" t="e">
        <f t="shared" si="134"/>
        <v>#NUM!</v>
      </c>
      <c r="GE177" s="59">
        <f ca="1">AVERAGE(OFFSET($GD$3,0,0,'Données projet'!$E$17+1,1))-AVERAGE(OFFSET($H$3,0,0,'Données projet'!$E$17+1,1))</f>
        <v>369.60865427618342</v>
      </c>
      <c r="GF177" s="59">
        <f t="shared" si="158"/>
        <v>359.40898775279197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14.667801700725168</v>
      </c>
      <c r="GM177" s="21">
        <f>EXP(-LN(2)/25)*GM176+(1-EXP(-LN(2)/25))/(LN(2)/25)*Calculateur!GH177*Calculateur!GJ177*VLOOKUP('Données projet'!$B$17,Paramètres!$A$1:$I$89,3,0)*0.475*44/12</f>
        <v>0</v>
      </c>
      <c r="GN177" s="21">
        <f>EXP(-LN(2)/2)*GN176+(1-EXP(-LN(2)/2))/(LN(2)/2)*GH177*GK177*VLOOKUP('Données projet'!$B$17,Paramètres!$A$1:$I$89,3,0)*0.475*44/12</f>
        <v>0</v>
      </c>
      <c r="GO177" s="21">
        <f t="shared" si="187"/>
        <v>14.667801700725168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69.500238724130924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-1.7053025658242404E-13</v>
      </c>
      <c r="GV177" s="17">
        <f>GU177*VLOOKUP('Données projet'!$B$18,Paramètres!$A$1:$I$89,3,0)*VLOOKUP('Données projet'!$B$18,Paramètres!$A$1:$I$89,5,0)</f>
        <v>-1.1173142411280423E-13</v>
      </c>
      <c r="GW177" s="13" t="e">
        <f t="shared" si="188"/>
        <v>#NUM!</v>
      </c>
      <c r="GX177" s="20" t="e">
        <f t="shared" si="189"/>
        <v>#NUM!</v>
      </c>
      <c r="GY177" s="59" t="e">
        <f t="shared" si="137"/>
        <v>#NUM!</v>
      </c>
      <c r="GZ177" s="59">
        <f ca="1">AVERAGE(OFFSET($GY$3,0,0,'Données projet'!$E$18+1,1))-AVERAGE(OFFSET($H$3,0,0,'Données projet'!$E$18+1,1))</f>
        <v>262.62914256200031</v>
      </c>
      <c r="HA177" s="59">
        <f t="shared" si="160"/>
        <v>256.45129229594409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projet'!$B$18,Paramètres!$A$1:$I$89,3,0)*0.475*44/12</f>
        <v>9.5607591457550907</v>
      </c>
      <c r="HH177" s="21">
        <f>EXP(-LN(2)/25)*HH176+(1-EXP(-LN(2)/25))/(LN(2)/25)*Calculateur!HC177*Calculateur!HE177*VLOOKUP('Données projet'!$B$18,Paramètres!$A$1:$I$89,3,0)*0.475*44/12</f>
        <v>0</v>
      </c>
      <c r="HI177" s="21">
        <f>EXP(-LN(2)/2)*HI176+(1-EXP(-LN(2)/2))/(LN(2)/2)*HC177*HF177*VLOOKUP('Données projet'!$B$18,Paramètres!$A$1:$I$89,3,0)*0.475*44/12</f>
        <v>0</v>
      </c>
      <c r="HJ177" s="22">
        <f t="shared" si="190"/>
        <v>9.5607591457550907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2.1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7.7</v>
      </c>
      <c r="H178" s="67">
        <f t="shared" si="110"/>
        <v>225.86666666666665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69.508908464968414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5.6843418860808015E-14</v>
      </c>
      <c r="O178" s="13">
        <f>N178*VLOOKUP('Données projet'!$B$9,Paramètres!$A$1:$I$89,3,0)*VLOOKUP('Données projet'!$B$9,Paramètres!$A$1:$I$89,5,0)</f>
        <v>4.8771653382573282E-14</v>
      </c>
      <c r="P178" s="13">
        <f t="shared" si="141"/>
        <v>7.9655698259503351E-13</v>
      </c>
      <c r="Q178" s="20">
        <f t="shared" si="162"/>
        <v>1.4722807076609983E-12</v>
      </c>
      <c r="R178" s="59">
        <f t="shared" si="109"/>
        <v>291.53266437155236</v>
      </c>
      <c r="S178" s="59">
        <f ca="1">AVERAGE(OFFSET($R$3,0,0,'Données projet'!$E$9+1,1))-AVERAGE(OFFSET($H$3,0,0,'Données projet'!$E$9+1,1))</f>
        <v>476.79071915271794</v>
      </c>
      <c r="T178" s="59">
        <f t="shared" si="142"/>
        <v>264.79929759351762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76.823480189190505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76.823480189190505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69.508908464968414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-9.5769792096689348E-14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365.104658862176</v>
      </c>
      <c r="AO178" s="59">
        <f t="shared" si="144"/>
        <v>226.29232910286325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43.699274343903326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43.699274343903326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69.508908464968414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-1.1368683772161603E-13</v>
      </c>
      <c r="BE178" s="13">
        <f>BD178*VLOOKUP('Données projet'!$B$11,Paramètres!$A$1:$I$89,3,0)*VLOOKUP('Données projet'!$B$11,Paramètres!$A$1:$I$89,5,0)</f>
        <v>-1.0286385077051818E-13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388.12494342575195</v>
      </c>
      <c r="BJ178" s="59">
        <f t="shared" si="146"/>
        <v>239.39471445648454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46.936257628636945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46.936257628636945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69.508908464968414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-1.1368683772161603E-13</v>
      </c>
      <c r="BZ178" s="13">
        <f>BY178*VLOOKUP('Données projet'!$B$12,Paramètres!$A$1:$I$89,3,0)*VLOOKUP('Données projet'!$B$12,Paramètres!$A$1:$I$89,5,0)</f>
        <v>-1.1527845344971866E-13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428.33148932885132</v>
      </c>
      <c r="CE178" s="59">
        <f t="shared" si="148"/>
        <v>262.27548054534373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52.600978376920658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52.600978376920658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69.508908464968414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-1.1368683772161603E-13</v>
      </c>
      <c r="CU178" s="17">
        <f>CT178*VLOOKUP('Données projet'!$B$13,Paramètres!$A$1:$I$89,3,0)*VLOOKUP('Données projet'!$B$13,Paramètres!$A$1:$I$89,5,0)</f>
        <v>-1.0818439477588981E-13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307.62549820830162</v>
      </c>
      <c r="CZ178" s="59">
        <f t="shared" si="150"/>
        <v>160.26466014910304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35.850949674899041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35.850949674899041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69.508908464968414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-1.7053025658242404E-13</v>
      </c>
      <c r="DP178" s="17">
        <f>DO178*VLOOKUP('Données projet'!$B$14,Paramètres!$A$1:$I$89,3,0)*VLOOKUP('Données projet'!$B$14,Paramètres!$A$1:$I$89,5,0)</f>
        <v>-1.3567387213697657E-13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309.14579005132464</v>
      </c>
      <c r="DU178" s="59">
        <f t="shared" si="152"/>
        <v>300.60311050289533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14.028777275490169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14.028777275490169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69.508908464968414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>
        <f>EJ178*VLOOKUP('Données projet'!$B$15,Paramètres!$A$1:$I$89,3,0)*VLOOKUP('Données projet'!$B$15,Paramètres!$A$1:$I$89,5,0)</f>
        <v>0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338.59243085476896</v>
      </c>
      <c r="EP178" s="59">
        <f t="shared" si="154"/>
        <v>329.8393445823275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12.997465915864053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12.997465915864053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69.508908464968414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>
        <f>FE178*VLOOKUP('Données projet'!$B$16,Paramètres!$A$1:$I$89,3,0)*VLOOKUP('Données projet'!$B$16,Paramètres!$A$1:$I$89,5,0)</f>
        <v>0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307.50573770128085</v>
      </c>
      <c r="FK178" s="59">
        <f t="shared" si="156"/>
        <v>300.2007312562655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11.614756775878517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11.614756775878517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69.508908464968414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>
        <f>FZ178*VLOOKUP('Données projet'!$B$17,Paramètres!$A$1:$I$89,3,0)*VLOOKUP('Données projet'!$B$17,Paramètres!$A$1:$I$89,5,0)</f>
        <v>0</v>
      </c>
      <c r="GB178" s="13" t="e">
        <f t="shared" si="185"/>
        <v>#NUM!</v>
      </c>
      <c r="GC178" s="20" t="e">
        <f t="shared" si="186"/>
        <v>#NUM!</v>
      </c>
      <c r="GD178" s="59" t="e">
        <f t="shared" si="134"/>
        <v>#NUM!</v>
      </c>
      <c r="GE178" s="59">
        <f ca="1">AVERAGE(OFFSET($GD$3,0,0,'Données projet'!$E$17+1,1))-AVERAGE(OFFSET($H$3,0,0,'Données projet'!$E$17+1,1))</f>
        <v>369.60865427618342</v>
      </c>
      <c r="GF178" s="59">
        <f t="shared" si="158"/>
        <v>359.40898775279197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14.380175055849593</v>
      </c>
      <c r="GM178" s="21">
        <f>EXP(-LN(2)/25)*GM177+(1-EXP(-LN(2)/25))/(LN(2)/25)*Calculateur!GH178*Calculateur!GJ178*VLOOKUP('Données projet'!$B$17,Paramètres!$A$1:$I$89,3,0)*0.475*44/12</f>
        <v>0</v>
      </c>
      <c r="GN178" s="21">
        <f>EXP(-LN(2)/2)*GN177+(1-EXP(-LN(2)/2))/(LN(2)/2)*GH178*GK178*VLOOKUP('Données projet'!$B$17,Paramètres!$A$1:$I$89,3,0)*0.475*44/12</f>
        <v>0</v>
      </c>
      <c r="GO178" s="21">
        <f t="shared" si="187"/>
        <v>14.380175055849593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69.508908464968414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-1.7053025658242404E-13</v>
      </c>
      <c r="GV178" s="17">
        <f>GU178*VLOOKUP('Données projet'!$B$18,Paramètres!$A$1:$I$89,3,0)*VLOOKUP('Données projet'!$B$18,Paramètres!$A$1:$I$89,5,0)</f>
        <v>-1.1173142411280423E-13</v>
      </c>
      <c r="GW178" s="13" t="e">
        <f t="shared" si="188"/>
        <v>#NUM!</v>
      </c>
      <c r="GX178" s="20" t="e">
        <f t="shared" si="189"/>
        <v>#NUM!</v>
      </c>
      <c r="GY178" s="59" t="e">
        <f t="shared" si="137"/>
        <v>#NUM!</v>
      </c>
      <c r="GZ178" s="59">
        <f ca="1">AVERAGE(OFFSET($GY$3,0,0,'Données projet'!$E$18+1,1))-AVERAGE(OFFSET($H$3,0,0,'Données projet'!$E$18+1,1))</f>
        <v>262.62914256200031</v>
      </c>
      <c r="HA178" s="59">
        <f t="shared" si="160"/>
        <v>256.45129229594409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projet'!$B$18,Paramètres!$A$1:$I$89,3,0)*0.475*44/12</f>
        <v>9.3732784903941013</v>
      </c>
      <c r="HH178" s="21">
        <f>EXP(-LN(2)/25)*HH177+(1-EXP(-LN(2)/25))/(LN(2)/25)*Calculateur!HC178*Calculateur!HE178*VLOOKUP('Données projet'!$B$18,Paramètres!$A$1:$I$89,3,0)*0.475*44/12</f>
        <v>0</v>
      </c>
      <c r="HI178" s="21">
        <f>EXP(-LN(2)/2)*HI177+(1-EXP(-LN(2)/2))/(LN(2)/2)*HC178*HF178*VLOOKUP('Données projet'!$B$18,Paramètres!$A$1:$I$89,3,0)*0.475*44/12</f>
        <v>0</v>
      </c>
      <c r="HJ178" s="22">
        <f t="shared" si="190"/>
        <v>9.3732784903941013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2.1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7.7</v>
      </c>
      <c r="H179" s="67">
        <f t="shared" si="110"/>
        <v>225.86666666666665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69.517427805185037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5.6843418860808015E-14</v>
      </c>
      <c r="O179" s="13">
        <f>N179*VLOOKUP('Données projet'!$B$9,Paramètres!$A$1:$I$89,3,0)*VLOOKUP('Données projet'!$B$9,Paramètres!$A$1:$I$89,5,0)</f>
        <v>4.8771653382573282E-14</v>
      </c>
      <c r="P179" s="13">
        <f t="shared" si="141"/>
        <v>7.9655698259503351E-13</v>
      </c>
      <c r="Q179" s="20">
        <f t="shared" si="162"/>
        <v>1.4722807076609983E-12</v>
      </c>
      <c r="R179" s="59">
        <f t="shared" si="109"/>
        <v>291.56390195234661</v>
      </c>
      <c r="S179" s="59">
        <f ca="1">AVERAGE(OFFSET($R$3,0,0,'Données projet'!$E$9+1,1))-AVERAGE(OFFSET($H$3,0,0,'Données projet'!$E$9+1,1))</f>
        <v>476.79071915271794</v>
      </c>
      <c r="T179" s="59">
        <f t="shared" si="142"/>
        <v>264.79929759351762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75.317018600376585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75.317018600376585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69.517427805185037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-9.5769792096689348E-14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365.104658862176</v>
      </c>
      <c r="AO179" s="59">
        <f t="shared" si="144"/>
        <v>226.29232910286325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42.842358227944878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42.842358227944878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69.517427805185037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-1.1368683772161603E-13</v>
      </c>
      <c r="BE179" s="13">
        <f>BD179*VLOOKUP('Données projet'!$B$11,Paramètres!$A$1:$I$89,3,0)*VLOOKUP('Données projet'!$B$11,Paramètres!$A$1:$I$89,5,0)</f>
        <v>-1.0286385077051818E-13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388.12494342575195</v>
      </c>
      <c r="BJ179" s="59">
        <f t="shared" si="146"/>
        <v>239.39471445648454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46.015866244829716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46.015866244829716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69.517427805185037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-1.1368683772161603E-13</v>
      </c>
      <c r="BZ179" s="13">
        <f>BY179*VLOOKUP('Données projet'!$B$12,Paramètres!$A$1:$I$89,3,0)*VLOOKUP('Données projet'!$B$12,Paramètres!$A$1:$I$89,5,0)</f>
        <v>-1.1527845344971866E-13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428.33148932885132</v>
      </c>
      <c r="CE179" s="59">
        <f t="shared" si="148"/>
        <v>262.27548054534373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51.569505274378081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51.569505274378081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69.517427805185037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-1.1368683772161603E-13</v>
      </c>
      <c r="CU179" s="17">
        <f>CT179*VLOOKUP('Données projet'!$B$13,Paramètres!$A$1:$I$89,3,0)*VLOOKUP('Données projet'!$B$13,Paramètres!$A$1:$I$89,5,0)</f>
        <v>-1.0818439477588981E-13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307.62549820830162</v>
      </c>
      <c r="CZ179" s="59">
        <f t="shared" si="150"/>
        <v>160.26466014910304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35.147934418694391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35.147934418694391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69.517427805185037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-1.7053025658242404E-13</v>
      </c>
      <c r="DP179" s="17">
        <f>DO179*VLOOKUP('Données projet'!$B$14,Paramètres!$A$1:$I$89,3,0)*VLOOKUP('Données projet'!$B$14,Paramètres!$A$1:$I$89,5,0)</f>
        <v>-1.3567387213697657E-13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309.14579005132464</v>
      </c>
      <c r="DU179" s="59">
        <f t="shared" si="152"/>
        <v>300.60311050289533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13.75368150982704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13.75368150982704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69.517427805185037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>
        <f>EJ179*VLOOKUP('Données projet'!$B$15,Paramètres!$A$1:$I$89,3,0)*VLOOKUP('Données projet'!$B$15,Paramètres!$A$1:$I$89,5,0)</f>
        <v>0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338.59243085476896</v>
      </c>
      <c r="EP179" s="59">
        <f t="shared" si="154"/>
        <v>329.8393445823275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12.742593536925375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12.742593536925375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69.517427805185037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>
        <f>FE179*VLOOKUP('Données projet'!$B$16,Paramètres!$A$1:$I$89,3,0)*VLOOKUP('Données projet'!$B$16,Paramètres!$A$1:$I$89,5,0)</f>
        <v>0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307.50573770128085</v>
      </c>
      <c r="FK179" s="59">
        <f t="shared" si="156"/>
        <v>300.2007312562655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11.386998479805655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11.386998479805655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69.517427805185037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>
        <f>FZ179*VLOOKUP('Données projet'!$B$17,Paramètres!$A$1:$I$89,3,0)*VLOOKUP('Données projet'!$B$17,Paramètres!$A$1:$I$89,5,0)</f>
        <v>0</v>
      </c>
      <c r="GB179" s="13" t="e">
        <f t="shared" si="185"/>
        <v>#NUM!</v>
      </c>
      <c r="GC179" s="20" t="e">
        <f t="shared" si="186"/>
        <v>#NUM!</v>
      </c>
      <c r="GD179" s="59" t="e">
        <f t="shared" si="134"/>
        <v>#NUM!</v>
      </c>
      <c r="GE179" s="59">
        <f ca="1">AVERAGE(OFFSET($GD$3,0,0,'Données projet'!$E$17+1,1))-AVERAGE(OFFSET($H$3,0,0,'Données projet'!$E$17+1,1))</f>
        <v>369.60865427618342</v>
      </c>
      <c r="GF179" s="59">
        <f t="shared" si="158"/>
        <v>359.40898775279197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14.098188594045098</v>
      </c>
      <c r="GM179" s="21">
        <f>EXP(-LN(2)/25)*GM178+(1-EXP(-LN(2)/25))/(LN(2)/25)*Calculateur!GH179*Calculateur!GJ179*VLOOKUP('Données projet'!$B$17,Paramètres!$A$1:$I$89,3,0)*0.475*44/12</f>
        <v>0</v>
      </c>
      <c r="GN179" s="21">
        <f>EXP(-LN(2)/2)*GN178+(1-EXP(-LN(2)/2))/(LN(2)/2)*GH179*GK179*VLOOKUP('Données projet'!$B$17,Paramètres!$A$1:$I$89,3,0)*0.475*44/12</f>
        <v>0</v>
      </c>
      <c r="GO179" s="21">
        <f t="shared" si="187"/>
        <v>14.098188594045098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69.517427805185037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-1.7053025658242404E-13</v>
      </c>
      <c r="GV179" s="17">
        <f>GU179*VLOOKUP('Données projet'!$B$18,Paramètres!$A$1:$I$89,3,0)*VLOOKUP('Données projet'!$B$18,Paramètres!$A$1:$I$89,5,0)</f>
        <v>-1.1173142411280423E-13</v>
      </c>
      <c r="GW179" s="13" t="e">
        <f t="shared" si="188"/>
        <v>#NUM!</v>
      </c>
      <c r="GX179" s="20" t="e">
        <f t="shared" si="189"/>
        <v>#NUM!</v>
      </c>
      <c r="GY179" s="59" t="e">
        <f t="shared" si="137"/>
        <v>#NUM!</v>
      </c>
      <c r="GZ179" s="59">
        <f ca="1">AVERAGE(OFFSET($GY$3,0,0,'Données projet'!$E$18+1,1))-AVERAGE(OFFSET($H$3,0,0,'Données projet'!$E$18+1,1))</f>
        <v>262.62914256200031</v>
      </c>
      <c r="HA179" s="59">
        <f t="shared" si="160"/>
        <v>256.45129229594409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projet'!$B$18,Paramètres!$A$1:$I$89,3,0)*0.475*44/12</f>
        <v>9.1894742163328313</v>
      </c>
      <c r="HH179" s="21">
        <f>EXP(-LN(2)/25)*HH178+(1-EXP(-LN(2)/25))/(LN(2)/25)*Calculateur!HC179*Calculateur!HE179*VLOOKUP('Données projet'!$B$18,Paramètres!$A$1:$I$89,3,0)*0.475*44/12</f>
        <v>0</v>
      </c>
      <c r="HI179" s="21">
        <f>EXP(-LN(2)/2)*HI178+(1-EXP(-LN(2)/2))/(LN(2)/2)*HC179*HF179*VLOOKUP('Données projet'!$B$18,Paramètres!$A$1:$I$89,3,0)*0.475*44/12</f>
        <v>0</v>
      </c>
      <c r="HJ179" s="22">
        <f t="shared" si="190"/>
        <v>9.1894742163328313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2.1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7.7</v>
      </c>
      <c r="H180" s="67">
        <f t="shared" si="110"/>
        <v>225.86666666666665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69.525799353895266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5.6843418860808015E-14</v>
      </c>
      <c r="O180" s="13">
        <f>N180*VLOOKUP('Données projet'!$B$9,Paramètres!$A$1:$I$89,3,0)*VLOOKUP('Données projet'!$B$9,Paramètres!$A$1:$I$89,5,0)</f>
        <v>4.8771653382573282E-14</v>
      </c>
      <c r="P180" s="13">
        <f t="shared" si="141"/>
        <v>7.9655698259503351E-13</v>
      </c>
      <c r="Q180" s="20">
        <f t="shared" si="162"/>
        <v>1.4722807076609983E-12</v>
      </c>
      <c r="R180" s="59">
        <f t="shared" si="109"/>
        <v>291.59459763095077</v>
      </c>
      <c r="S180" s="59">
        <f ca="1">AVERAGE(OFFSET($R$3,0,0,'Données projet'!$E$9+1,1))-AVERAGE(OFFSET($H$3,0,0,'Données projet'!$E$9+1,1))</f>
        <v>476.79071915271794</v>
      </c>
      <c r="T180" s="59">
        <f t="shared" si="142"/>
        <v>264.79929759351762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73.840097804468456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73.840097804468456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69.525799353895266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-9.5769792096689348E-14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365.104658862176</v>
      </c>
      <c r="AO180" s="59">
        <f t="shared" si="144"/>
        <v>226.29232910286325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42.002245714353151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42.002245714353151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69.525799353895266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-1.1368683772161603E-13</v>
      </c>
      <c r="BE180" s="13">
        <f>BD180*VLOOKUP('Données projet'!$B$11,Paramètres!$A$1:$I$89,3,0)*VLOOKUP('Données projet'!$B$11,Paramètres!$A$1:$I$89,5,0)</f>
        <v>-1.0286385077051818E-13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388.12494342575195</v>
      </c>
      <c r="BJ180" s="59">
        <f t="shared" si="146"/>
        <v>239.39471445648454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45.113523174675635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45.113523174675635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69.525799353895266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-1.1368683772161603E-13</v>
      </c>
      <c r="BZ180" s="13">
        <f>BY180*VLOOKUP('Données projet'!$B$12,Paramètres!$A$1:$I$89,3,0)*VLOOKUP('Données projet'!$B$12,Paramètres!$A$1:$I$89,5,0)</f>
        <v>-1.1527845344971866E-13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428.33148932885132</v>
      </c>
      <c r="CE180" s="59">
        <f t="shared" si="148"/>
        <v>262.27548054534373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50.558258730239892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50.558258730239892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69.525799353895266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-1.1368683772161603E-13</v>
      </c>
      <c r="CU180" s="17">
        <f>CT180*VLOOKUP('Données projet'!$B$13,Paramètres!$A$1:$I$89,3,0)*VLOOKUP('Données projet'!$B$13,Paramètres!$A$1:$I$89,5,0)</f>
        <v>-1.0818439477588981E-13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307.62549820830162</v>
      </c>
      <c r="CZ180" s="59">
        <f t="shared" si="150"/>
        <v>160.26466014910304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34.458704862866952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34.458704862866952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69.525799353895266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-1.7053025658242404E-13</v>
      </c>
      <c r="DP180" s="17">
        <f>DO180*VLOOKUP('Données projet'!$B$14,Paramètres!$A$1:$I$89,3,0)*VLOOKUP('Données projet'!$B$14,Paramètres!$A$1:$I$89,5,0)</f>
        <v>-1.3567387213697657E-13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309.14579005132464</v>
      </c>
      <c r="DU180" s="59">
        <f t="shared" si="152"/>
        <v>300.60311050289533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13.483980204336715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13.483980204336715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69.525799353895266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>
        <f>EJ180*VLOOKUP('Données projet'!$B$15,Paramètres!$A$1:$I$89,3,0)*VLOOKUP('Données projet'!$B$15,Paramètres!$A$1:$I$89,5,0)</f>
        <v>0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338.59243085476896</v>
      </c>
      <c r="EP180" s="59">
        <f t="shared" si="154"/>
        <v>329.8393445823275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12.492719049880883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12.492719049880883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69.525799353895266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>
        <f>FE180*VLOOKUP('Données projet'!$B$16,Paramètres!$A$1:$I$89,3,0)*VLOOKUP('Données projet'!$B$16,Paramètres!$A$1:$I$89,5,0)</f>
        <v>0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307.50573770128085</v>
      </c>
      <c r="FK180" s="59">
        <f t="shared" si="156"/>
        <v>300.2007312562655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11.163706384999939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11.163706384999939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69.525799353895266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>
        <f>FZ180*VLOOKUP('Données projet'!$B$17,Paramètres!$A$1:$I$89,3,0)*VLOOKUP('Données projet'!$B$17,Paramètres!$A$1:$I$89,5,0)</f>
        <v>0</v>
      </c>
      <c r="GB180" s="13" t="e">
        <f t="shared" si="185"/>
        <v>#NUM!</v>
      </c>
      <c r="GC180" s="20" t="e">
        <f t="shared" si="186"/>
        <v>#NUM!</v>
      </c>
      <c r="GD180" s="59" t="e">
        <f t="shared" si="134"/>
        <v>#NUM!</v>
      </c>
      <c r="GE180" s="59">
        <f ca="1">AVERAGE(OFFSET($GD$3,0,0,'Données projet'!$E$17+1,1))-AVERAGE(OFFSET($H$3,0,0,'Données projet'!$E$17+1,1))</f>
        <v>369.60865427618342</v>
      </c>
      <c r="GF180" s="59">
        <f t="shared" si="158"/>
        <v>359.40898775279197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13.82173171476183</v>
      </c>
      <c r="GM180" s="21">
        <f>EXP(-LN(2)/25)*GM179+(1-EXP(-LN(2)/25))/(LN(2)/25)*Calculateur!GH180*Calculateur!GJ180*VLOOKUP('Données projet'!$B$17,Paramètres!$A$1:$I$89,3,0)*0.475*44/12</f>
        <v>0</v>
      </c>
      <c r="GN180" s="21">
        <f>EXP(-LN(2)/2)*GN179+(1-EXP(-LN(2)/2))/(LN(2)/2)*GH180*GK180*VLOOKUP('Données projet'!$B$17,Paramètres!$A$1:$I$89,3,0)*0.475*44/12</f>
        <v>0</v>
      </c>
      <c r="GO180" s="21">
        <f t="shared" si="187"/>
        <v>13.82173171476183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69.525799353895266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-1.7053025658242404E-13</v>
      </c>
      <c r="GV180" s="17">
        <f>GU180*VLOOKUP('Données projet'!$B$18,Paramètres!$A$1:$I$89,3,0)*VLOOKUP('Données projet'!$B$18,Paramètres!$A$1:$I$89,5,0)</f>
        <v>-1.1173142411280423E-13</v>
      </c>
      <c r="GW180" s="13" t="e">
        <f t="shared" si="188"/>
        <v>#NUM!</v>
      </c>
      <c r="GX180" s="20" t="e">
        <f t="shared" si="189"/>
        <v>#NUM!</v>
      </c>
      <c r="GY180" s="59" t="e">
        <f t="shared" si="137"/>
        <v>#NUM!</v>
      </c>
      <c r="GZ180" s="59">
        <f ca="1">AVERAGE(OFFSET($GY$3,0,0,'Données projet'!$E$18+1,1))-AVERAGE(OFFSET($H$3,0,0,'Données projet'!$E$18+1,1))</f>
        <v>262.62914256200031</v>
      </c>
      <c r="HA180" s="59">
        <f t="shared" si="160"/>
        <v>256.45129229594409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projet'!$B$18,Paramètres!$A$1:$I$89,3,0)*0.475*44/12</f>
        <v>9.0092742319763666</v>
      </c>
      <c r="HH180" s="21">
        <f>EXP(-LN(2)/25)*HH179+(1-EXP(-LN(2)/25))/(LN(2)/25)*Calculateur!HC180*Calculateur!HE180*VLOOKUP('Données projet'!$B$18,Paramètres!$A$1:$I$89,3,0)*0.475*44/12</f>
        <v>0</v>
      </c>
      <c r="HI180" s="21">
        <f>EXP(-LN(2)/2)*HI179+(1-EXP(-LN(2)/2))/(LN(2)/2)*HC180*HF180*VLOOKUP('Données projet'!$B$18,Paramètres!$A$1:$I$89,3,0)*0.475*44/12</f>
        <v>0</v>
      </c>
      <c r="HJ180" s="22">
        <f t="shared" si="190"/>
        <v>9.0092742319763666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2.1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7.7</v>
      </c>
      <c r="H181" s="67">
        <f t="shared" si="110"/>
        <v>225.86666666666665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69.534025674951351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5.6843418860808015E-14</v>
      </c>
      <c r="O181" s="13">
        <f>N181*VLOOKUP('Données projet'!$B$9,Paramètres!$A$1:$I$89,3,0)*VLOOKUP('Données projet'!$B$9,Paramètres!$A$1:$I$89,5,0)</f>
        <v>4.8771653382573282E-14</v>
      </c>
      <c r="P181" s="13">
        <f t="shared" si="141"/>
        <v>7.9655698259503351E-13</v>
      </c>
      <c r="Q181" s="20">
        <f t="shared" si="162"/>
        <v>1.4722807076609983E-12</v>
      </c>
      <c r="R181" s="59">
        <f t="shared" si="109"/>
        <v>291.6247608081564</v>
      </c>
      <c r="S181" s="59">
        <f ca="1">AVERAGE(OFFSET($R$3,0,0,'Données projet'!$E$9+1,1))-AVERAGE(OFFSET($H$3,0,0,'Données projet'!$E$9+1,1))</f>
        <v>476.79071915271794</v>
      </c>
      <c r="T181" s="59">
        <f t="shared" si="142"/>
        <v>264.79929759351762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72.392138524535355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72.392138524535355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69.534025674951351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-9.5769792096689348E-14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365.104658862176</v>
      </c>
      <c r="AO181" s="59">
        <f t="shared" si="144"/>
        <v>226.29232910286325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41.178607294734924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41.178607294734924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69.534025674951351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-1.1368683772161603E-13</v>
      </c>
      <c r="BE181" s="13">
        <f>BD181*VLOOKUP('Données projet'!$B$11,Paramètres!$A$1:$I$89,3,0)*VLOOKUP('Données projet'!$B$11,Paramètres!$A$1:$I$89,5,0)</f>
        <v>-1.0286385077051818E-13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388.12494342575195</v>
      </c>
      <c r="BJ181" s="59">
        <f t="shared" si="146"/>
        <v>239.39471445648454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44.228874501752351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44.228874501752351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69.534025674951351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-1.1368683772161603E-13</v>
      </c>
      <c r="BZ181" s="13">
        <f>BY181*VLOOKUP('Données projet'!$B$12,Paramètres!$A$1:$I$89,3,0)*VLOOKUP('Données projet'!$B$12,Paramètres!$A$1:$I$89,5,0)</f>
        <v>-1.1527845344971866E-13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428.33148932885132</v>
      </c>
      <c r="CE181" s="59">
        <f t="shared" si="148"/>
        <v>262.27548054534373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49.566842114032767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49.566842114032767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69.534025674951351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-1.1368683772161603E-13</v>
      </c>
      <c r="CU181" s="17">
        <f>CT181*VLOOKUP('Données projet'!$B$13,Paramètres!$A$1:$I$89,3,0)*VLOOKUP('Données projet'!$B$13,Paramètres!$A$1:$I$89,5,0)</f>
        <v>-1.0818439477588981E-13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307.62549820830162</v>
      </c>
      <c r="CZ181" s="59">
        <f t="shared" si="150"/>
        <v>160.26466014910304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33.782990678240772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33.782990678240772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69.534025674951351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-1.7053025658242404E-13</v>
      </c>
      <c r="DP181" s="17">
        <f>DO181*VLOOKUP('Données projet'!$B$14,Paramètres!$A$1:$I$89,3,0)*VLOOKUP('Données projet'!$B$14,Paramètres!$A$1:$I$89,5,0)</f>
        <v>-1.3567387213697657E-13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309.14579005132464</v>
      </c>
      <c r="DU181" s="59">
        <f t="shared" si="152"/>
        <v>300.60311050289533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13.219567576945504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13.219567576945504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69.534025674951351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>
        <f>EJ181*VLOOKUP('Données projet'!$B$15,Paramètres!$A$1:$I$89,3,0)*VLOOKUP('Données projet'!$B$15,Paramètres!$A$1:$I$89,5,0)</f>
        <v>0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338.59243085476896</v>
      </c>
      <c r="EP181" s="59">
        <f t="shared" si="154"/>
        <v>329.8393445823275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12.247744449118946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12.247744449118946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69.534025674951351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>
        <f>FE181*VLOOKUP('Données projet'!$B$16,Paramètres!$A$1:$I$89,3,0)*VLOOKUP('Données projet'!$B$16,Paramètres!$A$1:$I$89,5,0)</f>
        <v>0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307.50573770128085</v>
      </c>
      <c r="FK181" s="59">
        <f t="shared" si="156"/>
        <v>300.2007312562655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10.944792911978633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10.944792911978633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69.534025674951351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>
        <f>FZ181*VLOOKUP('Données projet'!$B$17,Paramètres!$A$1:$I$89,3,0)*VLOOKUP('Données projet'!$B$17,Paramètres!$A$1:$I$89,5,0)</f>
        <v>0</v>
      </c>
      <c r="GB181" s="13" t="e">
        <f t="shared" si="185"/>
        <v>#NUM!</v>
      </c>
      <c r="GC181" s="20" t="e">
        <f t="shared" si="186"/>
        <v>#NUM!</v>
      </c>
      <c r="GD181" s="59" t="e">
        <f t="shared" si="134"/>
        <v>#NUM!</v>
      </c>
      <c r="GE181" s="59">
        <f ca="1">AVERAGE(OFFSET($GD$3,0,0,'Données projet'!$E$17+1,1))-AVERAGE(OFFSET($H$3,0,0,'Données projet'!$E$17+1,1))</f>
        <v>369.60865427618342</v>
      </c>
      <c r="GF181" s="59">
        <f t="shared" si="158"/>
        <v>359.40898775279197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13.550695986259262</v>
      </c>
      <c r="GM181" s="21">
        <f>EXP(-LN(2)/25)*GM180+(1-EXP(-LN(2)/25))/(LN(2)/25)*Calculateur!GH181*Calculateur!GJ181*VLOOKUP('Données projet'!$B$17,Paramètres!$A$1:$I$89,3,0)*0.475*44/12</f>
        <v>0</v>
      </c>
      <c r="GN181" s="21">
        <f>EXP(-LN(2)/2)*GN180+(1-EXP(-LN(2)/2))/(LN(2)/2)*GH181*GK181*VLOOKUP('Données projet'!$B$17,Paramètres!$A$1:$I$89,3,0)*0.475*44/12</f>
        <v>0</v>
      </c>
      <c r="GO181" s="21">
        <f t="shared" si="187"/>
        <v>13.550695986259262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69.534025674951351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-1.7053025658242404E-13</v>
      </c>
      <c r="GV181" s="17">
        <f>GU181*VLOOKUP('Données projet'!$B$18,Paramètres!$A$1:$I$89,3,0)*VLOOKUP('Données projet'!$B$18,Paramètres!$A$1:$I$89,5,0)</f>
        <v>-1.1173142411280423E-13</v>
      </c>
      <c r="GW181" s="13" t="e">
        <f t="shared" si="188"/>
        <v>#NUM!</v>
      </c>
      <c r="GX181" s="20" t="e">
        <f t="shared" si="189"/>
        <v>#NUM!</v>
      </c>
      <c r="GY181" s="59" t="e">
        <f t="shared" si="137"/>
        <v>#NUM!</v>
      </c>
      <c r="GZ181" s="59">
        <f ca="1">AVERAGE(OFFSET($GY$3,0,0,'Données projet'!$E$18+1,1))-AVERAGE(OFFSET($H$3,0,0,'Données projet'!$E$18+1,1))</f>
        <v>262.62914256200031</v>
      </c>
      <c r="HA181" s="59">
        <f t="shared" si="160"/>
        <v>256.45129229594409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projet'!$B$18,Paramètres!$A$1:$I$89,3,0)*0.475*44/12</f>
        <v>8.8326078594019943</v>
      </c>
      <c r="HH181" s="21">
        <f>EXP(-LN(2)/25)*HH180+(1-EXP(-LN(2)/25))/(LN(2)/25)*Calculateur!HC181*Calculateur!HE181*VLOOKUP('Données projet'!$B$18,Paramètres!$A$1:$I$89,3,0)*0.475*44/12</f>
        <v>0</v>
      </c>
      <c r="HI181" s="21">
        <f>EXP(-LN(2)/2)*HI180+(1-EXP(-LN(2)/2))/(LN(2)/2)*HC181*HF181*VLOOKUP('Données projet'!$B$18,Paramètres!$A$1:$I$89,3,0)*0.475*44/12</f>
        <v>0</v>
      </c>
      <c r="HJ181" s="22">
        <f t="shared" si="190"/>
        <v>8.8326078594019943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2.1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7.7</v>
      </c>
      <c r="H182" s="67">
        <f t="shared" si="110"/>
        <v>225.86666666666665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69.542109287728437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5.6843418860808015E-14</v>
      </c>
      <c r="O182" s="13">
        <f>N182*VLOOKUP('Données projet'!$B$9,Paramètres!$A$1:$I$89,3,0)*VLOOKUP('Données projet'!$B$9,Paramètres!$A$1:$I$89,5,0)</f>
        <v>4.8771653382573282E-14</v>
      </c>
      <c r="P182" s="13">
        <f t="shared" si="141"/>
        <v>7.9655698259503351E-13</v>
      </c>
      <c r="Q182" s="20">
        <f t="shared" si="162"/>
        <v>1.4722807076609983E-12</v>
      </c>
      <c r="R182" s="59">
        <f t="shared" si="109"/>
        <v>291.6544007216724</v>
      </c>
      <c r="S182" s="59">
        <f ca="1">AVERAGE(OFFSET($R$3,0,0,'Données projet'!$E$9+1,1))-AVERAGE(OFFSET($H$3,0,0,'Données projet'!$E$9+1,1))</f>
        <v>476.79071915271794</v>
      </c>
      <c r="T182" s="59">
        <f t="shared" si="142"/>
        <v>264.79929759351762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70.972572842913792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70.972572842913792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69.542109287728437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-9.5769792096689348E-14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365.104658862176</v>
      </c>
      <c r="AO182" s="59">
        <f t="shared" si="144"/>
        <v>226.29232910286325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40.371119922155579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40.371119922155579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69.542109287728437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-1.1368683772161603E-13</v>
      </c>
      <c r="BE182" s="13">
        <f>BD182*VLOOKUP('Données projet'!$B$11,Paramètres!$A$1:$I$89,3,0)*VLOOKUP('Données projet'!$B$11,Paramètres!$A$1:$I$89,5,0)</f>
        <v>-1.0286385077051818E-13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388.12494342575195</v>
      </c>
      <c r="BJ182" s="59">
        <f t="shared" si="146"/>
        <v>239.39471445648454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43.361573249722682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43.361573249722682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69.542109287728437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-1.1368683772161603E-13</v>
      </c>
      <c r="BZ182" s="13">
        <f>BY182*VLOOKUP('Données projet'!$B$12,Paramètres!$A$1:$I$89,3,0)*VLOOKUP('Données projet'!$B$12,Paramètres!$A$1:$I$89,5,0)</f>
        <v>-1.1527845344971866E-13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428.33148932885132</v>
      </c>
      <c r="CE182" s="59">
        <f t="shared" si="148"/>
        <v>262.27548054534373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48.594866572965032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48.594866572965032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69.542109287728437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-1.1368683772161603E-13</v>
      </c>
      <c r="CU182" s="17">
        <f>CT182*VLOOKUP('Données projet'!$B$13,Paramètres!$A$1:$I$89,3,0)*VLOOKUP('Données projet'!$B$13,Paramètres!$A$1:$I$89,5,0)</f>
        <v>-1.0818439477588981E-13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307.62549820830162</v>
      </c>
      <c r="CZ182" s="59">
        <f t="shared" si="150"/>
        <v>160.26466014910304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33.120526836630148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33.120526836630148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69.542109287728437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-1.7053025658242404E-13</v>
      </c>
      <c r="DP182" s="17">
        <f>DO182*VLOOKUP('Données projet'!$B$14,Paramètres!$A$1:$I$89,3,0)*VLOOKUP('Données projet'!$B$14,Paramètres!$A$1:$I$89,5,0)</f>
        <v>-1.3567387213697657E-13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309.14579005132464</v>
      </c>
      <c r="DU182" s="59">
        <f t="shared" si="152"/>
        <v>300.60311050289533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12.960339919901656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12.960339919901656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69.542109287728437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>
        <f>EJ182*VLOOKUP('Données projet'!$B$15,Paramètres!$A$1:$I$89,3,0)*VLOOKUP('Données projet'!$B$15,Paramètres!$A$1:$I$89,5,0)</f>
        <v>0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338.59243085476896</v>
      </c>
      <c r="EP182" s="59">
        <f t="shared" si="154"/>
        <v>329.8393445823275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12.007573650858198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12.007573650858198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69.542109287728437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>
        <f>FE182*VLOOKUP('Données projet'!$B$16,Paramètres!$A$1:$I$89,3,0)*VLOOKUP('Données projet'!$B$16,Paramètres!$A$1:$I$89,5,0)</f>
        <v>0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307.50573770128085</v>
      </c>
      <c r="FK182" s="59">
        <f t="shared" si="156"/>
        <v>300.2007312562655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10.730172198639242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10.730172198639242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69.542109287728437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>
        <f>FZ182*VLOOKUP('Données projet'!$B$17,Paramètres!$A$1:$I$89,3,0)*VLOOKUP('Données projet'!$B$17,Paramètres!$A$1:$I$89,5,0)</f>
        <v>0</v>
      </c>
      <c r="GB182" s="13" t="e">
        <f t="shared" si="185"/>
        <v>#NUM!</v>
      </c>
      <c r="GC182" s="20" t="e">
        <f t="shared" si="186"/>
        <v>#NUM!</v>
      </c>
      <c r="GD182" s="59" t="e">
        <f t="shared" si="134"/>
        <v>#NUM!</v>
      </c>
      <c r="GE182" s="59">
        <f ca="1">AVERAGE(OFFSET($GD$3,0,0,'Données projet'!$E$17+1,1))-AVERAGE(OFFSET($H$3,0,0,'Données projet'!$E$17+1,1))</f>
        <v>369.60865427618342</v>
      </c>
      <c r="GF182" s="59">
        <f t="shared" si="158"/>
        <v>359.40898775279197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13.284975103077159</v>
      </c>
      <c r="GM182" s="21">
        <f>EXP(-LN(2)/25)*GM181+(1-EXP(-LN(2)/25))/(LN(2)/25)*Calculateur!GH182*Calculateur!GJ182*VLOOKUP('Données projet'!$B$17,Paramètres!$A$1:$I$89,3,0)*0.475*44/12</f>
        <v>0</v>
      </c>
      <c r="GN182" s="21">
        <f>EXP(-LN(2)/2)*GN181+(1-EXP(-LN(2)/2))/(LN(2)/2)*GH182*GK182*VLOOKUP('Données projet'!$B$17,Paramètres!$A$1:$I$89,3,0)*0.475*44/12</f>
        <v>0</v>
      </c>
      <c r="GO182" s="21">
        <f t="shared" si="187"/>
        <v>13.284975103077159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69.542109287728437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-1.7053025658242404E-13</v>
      </c>
      <c r="GV182" s="17">
        <f>GU182*VLOOKUP('Données projet'!$B$18,Paramètres!$A$1:$I$89,3,0)*VLOOKUP('Données projet'!$B$18,Paramètres!$A$1:$I$89,5,0)</f>
        <v>-1.1173142411280423E-13</v>
      </c>
      <c r="GW182" s="13" t="e">
        <f t="shared" si="188"/>
        <v>#NUM!</v>
      </c>
      <c r="GX182" s="20" t="e">
        <f t="shared" si="189"/>
        <v>#NUM!</v>
      </c>
      <c r="GY182" s="59" t="e">
        <f t="shared" si="137"/>
        <v>#NUM!</v>
      </c>
      <c r="GZ182" s="59">
        <f ca="1">AVERAGE(OFFSET($GY$3,0,0,'Données projet'!$E$18+1,1))-AVERAGE(OFFSET($H$3,0,0,'Données projet'!$E$18+1,1))</f>
        <v>262.62914256200031</v>
      </c>
      <c r="HA182" s="59">
        <f t="shared" si="160"/>
        <v>256.45129229594409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projet'!$B$18,Paramètres!$A$1:$I$89,3,0)*0.475*44/12</f>
        <v>8.6594058066379578</v>
      </c>
      <c r="HH182" s="21">
        <f>EXP(-LN(2)/25)*HH181+(1-EXP(-LN(2)/25))/(LN(2)/25)*Calculateur!HC182*Calculateur!HE182*VLOOKUP('Données projet'!$B$18,Paramètres!$A$1:$I$89,3,0)*0.475*44/12</f>
        <v>0</v>
      </c>
      <c r="HI182" s="21">
        <f>EXP(-LN(2)/2)*HI181+(1-EXP(-LN(2)/2))/(LN(2)/2)*HC182*HF182*VLOOKUP('Données projet'!$B$18,Paramètres!$A$1:$I$89,3,0)*0.475*44/12</f>
        <v>0</v>
      </c>
      <c r="HJ182" s="22">
        <f t="shared" si="190"/>
        <v>8.6594058066379578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2.1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7.7</v>
      </c>
      <c r="H183" s="67">
        <f t="shared" si="110"/>
        <v>225.86666666666665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69.550052667896068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5.6843418860808015E-14</v>
      </c>
      <c r="O183" s="13">
        <f>N183*VLOOKUP('Données projet'!$B$9,Paramètres!$A$1:$I$89,3,0)*VLOOKUP('Données projet'!$B$9,Paramètres!$A$1:$I$89,5,0)</f>
        <v>4.8771653382573282E-14</v>
      </c>
      <c r="P183" s="13">
        <f t="shared" si="141"/>
        <v>7.9655698259503351E-13</v>
      </c>
      <c r="Q183" s="20">
        <f t="shared" si="162"/>
        <v>1.4722807076609983E-12</v>
      </c>
      <c r="R183" s="59">
        <f t="shared" si="109"/>
        <v>291.68352644895373</v>
      </c>
      <c r="S183" s="59">
        <f ca="1">AVERAGE(OFFSET($R$3,0,0,'Données projet'!$E$9+1,1))-AVERAGE(OFFSET($H$3,0,0,'Données projet'!$E$9+1,1))</f>
        <v>476.79071915271794</v>
      </c>
      <c r="T183" s="59">
        <f t="shared" si="142"/>
        <v>264.79929759351762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69.580843978459257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69.580843978459257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69.550052667896068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-9.5769792096689348E-14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365.104658862176</v>
      </c>
      <c r="AO183" s="59">
        <f t="shared" si="144"/>
        <v>226.29232910286325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39.579466884433849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39.579466884433849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69.550052667896068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-1.1368683772161603E-13</v>
      </c>
      <c r="BE183" s="13">
        <f>BD183*VLOOKUP('Données projet'!$B$11,Paramètres!$A$1:$I$89,3,0)*VLOOKUP('Données projet'!$B$11,Paramètres!$A$1:$I$89,5,0)</f>
        <v>-1.0286385077051818E-13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388.12494342575195</v>
      </c>
      <c r="BJ183" s="59">
        <f t="shared" si="146"/>
        <v>239.39471445648454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42.511279246243781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42.511279246243781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69.550052667896068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-1.1368683772161603E-13</v>
      </c>
      <c r="BZ183" s="13">
        <f>BY183*VLOOKUP('Données projet'!$B$12,Paramètres!$A$1:$I$89,3,0)*VLOOKUP('Données projet'!$B$12,Paramètres!$A$1:$I$89,5,0)</f>
        <v>-1.1527845344971866E-13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428.33148932885132</v>
      </c>
      <c r="CE183" s="59">
        <f t="shared" si="148"/>
        <v>262.27548054534373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47.641950879411098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47.641950879411098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69.550052667896068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-1.1368683772161603E-13</v>
      </c>
      <c r="CU183" s="17">
        <f>CT183*VLOOKUP('Données projet'!$B$13,Paramètres!$A$1:$I$89,3,0)*VLOOKUP('Données projet'!$B$13,Paramètres!$A$1:$I$89,5,0)</f>
        <v>-1.0818439477588981E-13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307.62549820830162</v>
      </c>
      <c r="CZ183" s="59">
        <f t="shared" si="150"/>
        <v>160.26466014910304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32.471053506890463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32.471053506890463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69.550052667896068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-1.7053025658242404E-13</v>
      </c>
      <c r="DP183" s="17">
        <f>DO183*VLOOKUP('Données projet'!$B$14,Paramètres!$A$1:$I$89,3,0)*VLOOKUP('Données projet'!$B$14,Paramètres!$A$1:$I$89,5,0)</f>
        <v>-1.3567387213697657E-13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309.14579005132464</v>
      </c>
      <c r="DU183" s="59">
        <f t="shared" si="152"/>
        <v>300.60311050289533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12.70619555909918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12.70619555909918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69.550052667896068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>
        <f>EJ183*VLOOKUP('Données projet'!$B$15,Paramètres!$A$1:$I$89,3,0)*VLOOKUP('Données projet'!$B$15,Paramètres!$A$1:$I$89,5,0)</f>
        <v>0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338.59243085476896</v>
      </c>
      <c r="EP183" s="59">
        <f t="shared" si="154"/>
        <v>329.8393445823275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11.772112455461622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11.772112455461622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69.550052667896068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>
        <f>FE183*VLOOKUP('Données projet'!$B$16,Paramètres!$A$1:$I$89,3,0)*VLOOKUP('Données projet'!$B$16,Paramètres!$A$1:$I$89,5,0)</f>
        <v>0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307.50573770128085</v>
      </c>
      <c r="FK183" s="59">
        <f t="shared" si="156"/>
        <v>300.2007312562655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10.519760066582727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10.519760066582727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69.550052667896068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>
        <f>FZ183*VLOOKUP('Données projet'!$B$17,Paramètres!$A$1:$I$89,3,0)*VLOOKUP('Données projet'!$B$17,Paramètres!$A$1:$I$89,5,0)</f>
        <v>0</v>
      </c>
      <c r="GB183" s="13" t="e">
        <f t="shared" si="185"/>
        <v>#NUM!</v>
      </c>
      <c r="GC183" s="20" t="e">
        <f t="shared" si="186"/>
        <v>#NUM!</v>
      </c>
      <c r="GD183" s="59" t="e">
        <f t="shared" si="134"/>
        <v>#NUM!</v>
      </c>
      <c r="GE183" s="59">
        <f ca="1">AVERAGE(OFFSET($GD$3,0,0,'Données projet'!$E$17+1,1))-AVERAGE(OFFSET($H$3,0,0,'Données projet'!$E$17+1,1))</f>
        <v>369.60865427618342</v>
      </c>
      <c r="GF183" s="59">
        <f t="shared" si="158"/>
        <v>359.40898775279197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13.024464844340519</v>
      </c>
      <c r="GM183" s="21">
        <f>EXP(-LN(2)/25)*GM182+(1-EXP(-LN(2)/25))/(LN(2)/25)*Calculateur!GH183*Calculateur!GJ183*VLOOKUP('Données projet'!$B$17,Paramètres!$A$1:$I$89,3,0)*0.475*44/12</f>
        <v>0</v>
      </c>
      <c r="GN183" s="21">
        <f>EXP(-LN(2)/2)*GN182+(1-EXP(-LN(2)/2))/(LN(2)/2)*GH183*GK183*VLOOKUP('Données projet'!$B$17,Paramètres!$A$1:$I$89,3,0)*0.475*44/12</f>
        <v>0</v>
      </c>
      <c r="GO183" s="21">
        <f t="shared" si="187"/>
        <v>13.024464844340519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69.550052667896068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-1.7053025658242404E-13</v>
      </c>
      <c r="GV183" s="17">
        <f>GU183*VLOOKUP('Données projet'!$B$18,Paramètres!$A$1:$I$89,3,0)*VLOOKUP('Données projet'!$B$18,Paramètres!$A$1:$I$89,5,0)</f>
        <v>-1.1173142411280423E-13</v>
      </c>
      <c r="GW183" s="13" t="e">
        <f t="shared" si="188"/>
        <v>#NUM!</v>
      </c>
      <c r="GX183" s="20" t="e">
        <f t="shared" si="189"/>
        <v>#NUM!</v>
      </c>
      <c r="GY183" s="59" t="e">
        <f t="shared" si="137"/>
        <v>#NUM!</v>
      </c>
      <c r="GZ183" s="59">
        <f ca="1">AVERAGE(OFFSET($GY$3,0,0,'Données projet'!$E$18+1,1))-AVERAGE(OFFSET($H$3,0,0,'Données projet'!$E$18+1,1))</f>
        <v>262.62914256200031</v>
      </c>
      <c r="HA183" s="59">
        <f t="shared" si="160"/>
        <v>256.45129229594409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projet'!$B$18,Paramètres!$A$1:$I$89,3,0)*0.475*44/12</f>
        <v>8.4896001404858037</v>
      </c>
      <c r="HH183" s="21">
        <f>EXP(-LN(2)/25)*HH182+(1-EXP(-LN(2)/25))/(LN(2)/25)*Calculateur!HC183*Calculateur!HE183*VLOOKUP('Données projet'!$B$18,Paramètres!$A$1:$I$89,3,0)*0.475*44/12</f>
        <v>0</v>
      </c>
      <c r="HI183" s="21">
        <f>EXP(-LN(2)/2)*HI182+(1-EXP(-LN(2)/2))/(LN(2)/2)*HC183*HF183*VLOOKUP('Données projet'!$B$18,Paramètres!$A$1:$I$89,3,0)*0.475*44/12</f>
        <v>0</v>
      </c>
      <c r="HJ183" s="22">
        <f t="shared" si="190"/>
        <v>8.4896001404858037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2.1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7.7</v>
      </c>
      <c r="H184" s="67">
        <f t="shared" si="110"/>
        <v>225.86666666666665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69.55785824817653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5.6843418860808015E-14</v>
      </c>
      <c r="O184" s="13">
        <f>N184*VLOOKUP('Données projet'!$B$9,Paramètres!$A$1:$I$89,3,0)*VLOOKUP('Données projet'!$B$9,Paramètres!$A$1:$I$89,5,0)</f>
        <v>4.8771653382573282E-14</v>
      </c>
      <c r="P184" s="13">
        <f t="shared" si="141"/>
        <v>7.9655698259503351E-13</v>
      </c>
      <c r="Q184" s="20">
        <f t="shared" si="162"/>
        <v>1.4722807076609983E-12</v>
      </c>
      <c r="R184" s="59">
        <f t="shared" si="109"/>
        <v>291.7121469099821</v>
      </c>
      <c r="S184" s="59">
        <f ca="1">AVERAGE(OFFSET($R$3,0,0,'Données projet'!$E$9+1,1))-AVERAGE(OFFSET($H$3,0,0,'Données projet'!$E$9+1,1))</f>
        <v>476.79071915271794</v>
      </c>
      <c r="T184" s="59">
        <f t="shared" si="142"/>
        <v>264.79929759351762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68.216406068165881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68.216406068165881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69.55785824817653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-9.5769792096689348E-14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365.104658862176</v>
      </c>
      <c r="AO184" s="59">
        <f t="shared" si="144"/>
        <v>226.29232910286325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38.803337679921164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38.803337679921164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69.55785824817653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-1.1368683772161603E-13</v>
      </c>
      <c r="BE184" s="13">
        <f>BD184*VLOOKUP('Données projet'!$B$11,Paramètres!$A$1:$I$89,3,0)*VLOOKUP('Données projet'!$B$11,Paramètres!$A$1:$I$89,5,0)</f>
        <v>-1.0286385077051818E-13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388.12494342575195</v>
      </c>
      <c r="BJ184" s="59">
        <f t="shared" si="146"/>
        <v>239.39471445648454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41.677658989544973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41.677658989544973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69.55785824817653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-1.1368683772161603E-13</v>
      </c>
      <c r="BZ184" s="13">
        <f>BY184*VLOOKUP('Données projet'!$B$12,Paramètres!$A$1:$I$89,3,0)*VLOOKUP('Données projet'!$B$12,Paramètres!$A$1:$I$89,5,0)</f>
        <v>-1.1527845344971866E-13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428.33148932885132</v>
      </c>
      <c r="CE184" s="59">
        <f t="shared" si="148"/>
        <v>262.27548054534373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46.707721281386576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46.707721281386576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69.55785824817653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-1.1368683772161603E-13</v>
      </c>
      <c r="CU184" s="17">
        <f>CT184*VLOOKUP('Données projet'!$B$13,Paramètres!$A$1:$I$89,3,0)*VLOOKUP('Données projet'!$B$13,Paramètres!$A$1:$I$89,5,0)</f>
        <v>-1.0818439477588981E-13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307.62549820830162</v>
      </c>
      <c r="CZ184" s="59">
        <f t="shared" si="150"/>
        <v>160.26466014910304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31.834315953007362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31.834315953007362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69.55785824817653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-1.7053025658242404E-13</v>
      </c>
      <c r="DP184" s="17">
        <f>DO184*VLOOKUP('Données projet'!$B$14,Paramètres!$A$1:$I$89,3,0)*VLOOKUP('Données projet'!$B$14,Paramètres!$A$1:$I$89,5,0)</f>
        <v>-1.3567387213697657E-13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309.14579005132464</v>
      </c>
      <c r="DU184" s="59">
        <f t="shared" si="152"/>
        <v>300.60311050289533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12.457034814199286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12.457034814199286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69.55785824817653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>
        <f>EJ184*VLOOKUP('Données projet'!$B$15,Paramètres!$A$1:$I$89,3,0)*VLOOKUP('Données projet'!$B$15,Paramètres!$A$1:$I$89,5,0)</f>
        <v>0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338.59243085476896</v>
      </c>
      <c r="EP184" s="59">
        <f t="shared" si="154"/>
        <v>329.8393445823275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11.541268510489624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11.541268510489624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69.55785824817653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>
        <f>FE184*VLOOKUP('Données projet'!$B$16,Paramètres!$A$1:$I$89,3,0)*VLOOKUP('Données projet'!$B$16,Paramètres!$A$1:$I$89,5,0)</f>
        <v>0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307.50573770128085</v>
      </c>
      <c r="FK184" s="59">
        <f t="shared" si="156"/>
        <v>300.2007312562655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10.313473988097112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10.313473988097112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69.55785824817653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>
        <f>FZ184*VLOOKUP('Données projet'!$B$17,Paramètres!$A$1:$I$89,3,0)*VLOOKUP('Données projet'!$B$17,Paramètres!$A$1:$I$89,5,0)</f>
        <v>0</v>
      </c>
      <c r="GB184" s="13" t="e">
        <f t="shared" si="185"/>
        <v>#NUM!</v>
      </c>
      <c r="GC184" s="20" t="e">
        <f t="shared" si="186"/>
        <v>#NUM!</v>
      </c>
      <c r="GD184" s="59" t="e">
        <f t="shared" si="134"/>
        <v>#NUM!</v>
      </c>
      <c r="GE184" s="59">
        <f ca="1">AVERAGE(OFFSET($GD$3,0,0,'Données projet'!$E$17+1,1))-AVERAGE(OFFSET($H$3,0,0,'Données projet'!$E$17+1,1))</f>
        <v>369.60865427618342</v>
      </c>
      <c r="GF184" s="59">
        <f t="shared" si="158"/>
        <v>359.40898775279197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12.769063032882139</v>
      </c>
      <c r="GM184" s="21">
        <f>EXP(-LN(2)/25)*GM183+(1-EXP(-LN(2)/25))/(LN(2)/25)*Calculateur!GH184*Calculateur!GJ184*VLOOKUP('Données projet'!$B$17,Paramètres!$A$1:$I$89,3,0)*0.475*44/12</f>
        <v>0</v>
      </c>
      <c r="GN184" s="21">
        <f>EXP(-LN(2)/2)*GN183+(1-EXP(-LN(2)/2))/(LN(2)/2)*GH184*GK184*VLOOKUP('Données projet'!$B$17,Paramètres!$A$1:$I$89,3,0)*0.475*44/12</f>
        <v>0</v>
      </c>
      <c r="GO184" s="21">
        <f t="shared" si="187"/>
        <v>12.769063032882139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69.55785824817653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-1.7053025658242404E-13</v>
      </c>
      <c r="GV184" s="17">
        <f>GU184*VLOOKUP('Données projet'!$B$18,Paramètres!$A$1:$I$89,3,0)*VLOOKUP('Données projet'!$B$18,Paramètres!$A$1:$I$89,5,0)</f>
        <v>-1.1173142411280423E-13</v>
      </c>
      <c r="GW184" s="13" t="e">
        <f t="shared" si="188"/>
        <v>#NUM!</v>
      </c>
      <c r="GX184" s="20" t="e">
        <f t="shared" si="189"/>
        <v>#NUM!</v>
      </c>
      <c r="GY184" s="59" t="e">
        <f t="shared" si="137"/>
        <v>#NUM!</v>
      </c>
      <c r="GZ184" s="59">
        <f ca="1">AVERAGE(OFFSET($GY$3,0,0,'Données projet'!$E$18+1,1))-AVERAGE(OFFSET($H$3,0,0,'Données projet'!$E$18+1,1))</f>
        <v>262.62914256200031</v>
      </c>
      <c r="HA184" s="59">
        <f t="shared" si="160"/>
        <v>256.45129229594409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projet'!$B$18,Paramètres!$A$1:$I$89,3,0)*0.475*44/12</f>
        <v>8.3231242598756641</v>
      </c>
      <c r="HH184" s="21">
        <f>EXP(-LN(2)/25)*HH183+(1-EXP(-LN(2)/25))/(LN(2)/25)*Calculateur!HC184*Calculateur!HE184*VLOOKUP('Données projet'!$B$18,Paramètres!$A$1:$I$89,3,0)*0.475*44/12</f>
        <v>0</v>
      </c>
      <c r="HI184" s="21">
        <f>EXP(-LN(2)/2)*HI183+(1-EXP(-LN(2)/2))/(LN(2)/2)*HC184*HF184*VLOOKUP('Données projet'!$B$18,Paramètres!$A$1:$I$89,3,0)*0.475*44/12</f>
        <v>0</v>
      </c>
      <c r="HJ184" s="22">
        <f t="shared" si="190"/>
        <v>8.3231242598756641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2.1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7.7</v>
      </c>
      <c r="H185" s="67">
        <f t="shared" si="110"/>
        <v>225.86666666666665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69.565528419089816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5.6843418860808015E-14</v>
      </c>
      <c r="O185" s="13">
        <f>N185*VLOOKUP('Données projet'!$B$9,Paramètres!$A$1:$I$89,3,0)*VLOOKUP('Données projet'!$B$9,Paramètres!$A$1:$I$89,5,0)</f>
        <v>4.8771653382573282E-14</v>
      </c>
      <c r="P185" s="13">
        <f t="shared" si="141"/>
        <v>7.9655698259503351E-13</v>
      </c>
      <c r="Q185" s="20">
        <f t="shared" si="162"/>
        <v>1.4722807076609983E-12</v>
      </c>
      <c r="R185" s="59">
        <f t="shared" si="109"/>
        <v>291.74027086999746</v>
      </c>
      <c r="S185" s="59">
        <f ca="1">AVERAGE(OFFSET($R$3,0,0,'Données projet'!$E$9+1,1))-AVERAGE(OFFSET($H$3,0,0,'Données projet'!$E$9+1,1))</f>
        <v>476.79071915271794</v>
      </c>
      <c r="T185" s="59">
        <f t="shared" si="142"/>
        <v>264.79929759351762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66.878723953068416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66.878723953068416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69.565528419089816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-9.5769792096689348E-14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365.104658862176</v>
      </c>
      <c r="AO185" s="59">
        <f t="shared" si="144"/>
        <v>226.29232910286325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38.042427895716905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38.042427895716905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69.565528419089816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-1.1368683772161603E-13</v>
      </c>
      <c r="BE185" s="13">
        <f>BD185*VLOOKUP('Données projet'!$B$11,Paramètres!$A$1:$I$89,3,0)*VLOOKUP('Données projet'!$B$11,Paramètres!$A$1:$I$89,5,0)</f>
        <v>-1.0286385077051818E-13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388.12494342575195</v>
      </c>
      <c r="BJ185" s="59">
        <f t="shared" si="146"/>
        <v>239.39471445648454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40.860385517621879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40.860385517621879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69.565528419089816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-1.1368683772161603E-13</v>
      </c>
      <c r="BZ185" s="13">
        <f>BY185*VLOOKUP('Données projet'!$B$12,Paramètres!$A$1:$I$89,3,0)*VLOOKUP('Données projet'!$B$12,Paramètres!$A$1:$I$89,5,0)</f>
        <v>-1.1527845344971866E-13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428.33148932885132</v>
      </c>
      <c r="CE185" s="59">
        <f t="shared" si="148"/>
        <v>262.27548054534373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45.791811355955524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45.791811355955524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69.565528419089816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-1.1368683772161603E-13</v>
      </c>
      <c r="CU185" s="17">
        <f>CT185*VLOOKUP('Données projet'!$B$13,Paramètres!$A$1:$I$89,3,0)*VLOOKUP('Données projet'!$B$13,Paramètres!$A$1:$I$89,5,0)</f>
        <v>-1.0818439477588981E-13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307.62549820830162</v>
      </c>
      <c r="CZ185" s="59">
        <f t="shared" si="150"/>
        <v>160.26466014910304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31.210064434184346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31.210064434184346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69.565528419089816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-1.7053025658242404E-13</v>
      </c>
      <c r="DP185" s="17">
        <f>DO185*VLOOKUP('Données projet'!$B$14,Paramètres!$A$1:$I$89,3,0)*VLOOKUP('Données projet'!$B$14,Paramètres!$A$1:$I$89,5,0)</f>
        <v>-1.3567387213697657E-13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309.14579005132464</v>
      </c>
      <c r="DU185" s="59">
        <f t="shared" si="152"/>
        <v>300.60311050289533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12.21275995953383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12.21275995953383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69.565528419089816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>
        <f>EJ185*VLOOKUP('Données projet'!$B$15,Paramètres!$A$1:$I$89,3,0)*VLOOKUP('Données projet'!$B$15,Paramètres!$A$1:$I$89,5,0)</f>
        <v>0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338.59243085476896</v>
      </c>
      <c r="EP185" s="59">
        <f t="shared" si="154"/>
        <v>329.8393445823275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11.314951274477623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11.314951274477623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69.565528419089816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>
        <f>FE185*VLOOKUP('Données projet'!$B$16,Paramètres!$A$1:$I$89,3,0)*VLOOKUP('Données projet'!$B$16,Paramètres!$A$1:$I$89,5,0)</f>
        <v>0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307.50573770128085</v>
      </c>
      <c r="FK185" s="59">
        <f t="shared" si="156"/>
        <v>300.2007312562655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10.111233053788515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10.111233053788515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69.565528419089816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>
        <f>FZ185*VLOOKUP('Données projet'!$B$17,Paramètres!$A$1:$I$89,3,0)*VLOOKUP('Données projet'!$B$17,Paramètres!$A$1:$I$89,5,0)</f>
        <v>0</v>
      </c>
      <c r="GB185" s="13" t="e">
        <f t="shared" si="185"/>
        <v>#NUM!</v>
      </c>
      <c r="GC185" s="20" t="e">
        <f t="shared" si="186"/>
        <v>#NUM!</v>
      </c>
      <c r="GD185" s="59" t="e">
        <f t="shared" si="134"/>
        <v>#NUM!</v>
      </c>
      <c r="GE185" s="59">
        <f ca="1">AVERAGE(OFFSET($GD$3,0,0,'Données projet'!$E$17+1,1))-AVERAGE(OFFSET($H$3,0,0,'Données projet'!$E$17+1,1))</f>
        <v>369.60865427618342</v>
      </c>
      <c r="GF185" s="59">
        <f t="shared" si="158"/>
        <v>359.40898775279197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12.518669495166733</v>
      </c>
      <c r="GM185" s="21">
        <f>EXP(-LN(2)/25)*GM184+(1-EXP(-LN(2)/25))/(LN(2)/25)*Calculateur!GH185*Calculateur!GJ185*VLOOKUP('Données projet'!$B$17,Paramètres!$A$1:$I$89,3,0)*0.475*44/12</f>
        <v>0</v>
      </c>
      <c r="GN185" s="21">
        <f>EXP(-LN(2)/2)*GN184+(1-EXP(-LN(2)/2))/(LN(2)/2)*GH185*GK185*VLOOKUP('Données projet'!$B$17,Paramètres!$A$1:$I$89,3,0)*0.475*44/12</f>
        <v>0</v>
      </c>
      <c r="GO185" s="21">
        <f t="shared" si="187"/>
        <v>12.518669495166733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69.565528419089816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-1.7053025658242404E-13</v>
      </c>
      <c r="GV185" s="17">
        <f>GU185*VLOOKUP('Données projet'!$B$18,Paramètres!$A$1:$I$89,3,0)*VLOOKUP('Données projet'!$B$18,Paramètres!$A$1:$I$89,5,0)</f>
        <v>-1.1173142411280423E-13</v>
      </c>
      <c r="GW185" s="13" t="e">
        <f t="shared" si="188"/>
        <v>#NUM!</v>
      </c>
      <c r="GX185" s="20" t="e">
        <f t="shared" si="189"/>
        <v>#NUM!</v>
      </c>
      <c r="GY185" s="59" t="e">
        <f t="shared" si="137"/>
        <v>#NUM!</v>
      </c>
      <c r="GZ185" s="59">
        <f ca="1">AVERAGE(OFFSET($GY$3,0,0,'Données projet'!$E$18+1,1))-AVERAGE(OFFSET($H$3,0,0,'Données projet'!$E$18+1,1))</f>
        <v>262.62914256200031</v>
      </c>
      <c r="HA185" s="59">
        <f t="shared" si="160"/>
        <v>256.45129229594409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projet'!$B$18,Paramètres!$A$1:$I$89,3,0)*0.475*44/12</f>
        <v>8.1599128697440282</v>
      </c>
      <c r="HH185" s="21">
        <f>EXP(-LN(2)/25)*HH184+(1-EXP(-LN(2)/25))/(LN(2)/25)*Calculateur!HC185*Calculateur!HE185*VLOOKUP('Données projet'!$B$18,Paramètres!$A$1:$I$89,3,0)*0.475*44/12</f>
        <v>0</v>
      </c>
      <c r="HI185" s="21">
        <f>EXP(-LN(2)/2)*HI184+(1-EXP(-LN(2)/2))/(LN(2)/2)*HC185*HF185*VLOOKUP('Données projet'!$B$18,Paramètres!$A$1:$I$89,3,0)*0.475*44/12</f>
        <v>0</v>
      </c>
      <c r="HJ185" s="22">
        <f t="shared" si="190"/>
        <v>8.1599128697440282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2.1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7.7</v>
      </c>
      <c r="H186" s="67">
        <f t="shared" si="110"/>
        <v>225.86666666666665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69.573065529685664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5.6843418860808015E-14</v>
      </c>
      <c r="O186" s="13">
        <f>N186*VLOOKUP('Données projet'!$B$9,Paramètres!$A$1:$I$89,3,0)*VLOOKUP('Données projet'!$B$9,Paramètres!$A$1:$I$89,5,0)</f>
        <v>4.8771653382573282E-14</v>
      </c>
      <c r="P186" s="13">
        <f t="shared" si="141"/>
        <v>7.9655698259503351E-13</v>
      </c>
      <c r="Q186" s="20">
        <f t="shared" si="162"/>
        <v>1.4722807076609983E-12</v>
      </c>
      <c r="R186" s="59">
        <f t="shared" si="109"/>
        <v>291.76790694218226</v>
      </c>
      <c r="S186" s="59">
        <f ca="1">AVERAGE(OFFSET($R$3,0,0,'Données projet'!$E$9+1,1))-AVERAGE(OFFSET($H$3,0,0,'Données projet'!$E$9+1,1))</f>
        <v>476.79071915271794</v>
      </c>
      <c r="T186" s="59">
        <f t="shared" si="142"/>
        <v>264.79929759351762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65.567272968342479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65.567272968342479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69.573065529685664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-9.5769792096689348E-14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365.104658862176</v>
      </c>
      <c r="AO186" s="59">
        <f t="shared" si="144"/>
        <v>226.29232910286325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37.296439088271747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37.296439088271747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69.573065529685664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-1.1368683772161603E-13</v>
      </c>
      <c r="BE186" s="13">
        <f>BD186*VLOOKUP('Données projet'!$B$11,Paramètres!$A$1:$I$89,3,0)*VLOOKUP('Données projet'!$B$11,Paramètres!$A$1:$I$89,5,0)</f>
        <v>-1.0286385077051818E-13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388.12494342575195</v>
      </c>
      <c r="BJ186" s="59">
        <f t="shared" si="146"/>
        <v>239.39471445648454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40.059138279995601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40.059138279995601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69.573065529685664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-1.1368683772161603E-13</v>
      </c>
      <c r="BZ186" s="13">
        <f>BY186*VLOOKUP('Données projet'!$B$12,Paramètres!$A$1:$I$89,3,0)*VLOOKUP('Données projet'!$B$12,Paramètres!$A$1:$I$89,5,0)</f>
        <v>-1.1527845344971866E-13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428.33148932885132</v>
      </c>
      <c r="CE186" s="59">
        <f t="shared" si="148"/>
        <v>262.27548054534373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44.893861865512278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44.893861865512278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69.573065529685664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-1.1368683772161603E-13</v>
      </c>
      <c r="CU186" s="17">
        <f>CT186*VLOOKUP('Données projet'!$B$13,Paramètres!$A$1:$I$89,3,0)*VLOOKUP('Données projet'!$B$13,Paramètres!$A$1:$I$89,5,0)</f>
        <v>-1.0818439477588981E-13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307.62549820830162</v>
      </c>
      <c r="CZ186" s="59">
        <f t="shared" si="150"/>
        <v>160.26466014910304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30.59805410688962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30.59805410688962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69.573065529685664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-1.7053025658242404E-13</v>
      </c>
      <c r="DP186" s="17">
        <f>DO186*VLOOKUP('Données projet'!$B$14,Paramètres!$A$1:$I$89,3,0)*VLOOKUP('Données projet'!$B$14,Paramètres!$A$1:$I$89,5,0)</f>
        <v>-1.3567387213697657E-13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309.14579005132464</v>
      </c>
      <c r="DU186" s="59">
        <f t="shared" si="152"/>
        <v>300.60311050289533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11.973275185775416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11.973275185775416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69.573065529685664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>
        <f>EJ186*VLOOKUP('Données projet'!$B$15,Paramètres!$A$1:$I$89,3,0)*VLOOKUP('Données projet'!$B$15,Paramètres!$A$1:$I$89,5,0)</f>
        <v>0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338.59243085476896</v>
      </c>
      <c r="EP186" s="59">
        <f t="shared" si="154"/>
        <v>329.8393445823275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11.093071981423934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11.093071981423934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69.573065529685664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>
        <f>FE186*VLOOKUP('Données projet'!$B$16,Paramètres!$A$1:$I$89,3,0)*VLOOKUP('Données projet'!$B$16,Paramètres!$A$1:$I$89,5,0)</f>
        <v>0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307.50573770128085</v>
      </c>
      <c r="FK186" s="59">
        <f t="shared" si="156"/>
        <v>300.2007312562655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9.9129579408469208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9.9129579408469208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69.573065529685664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>
        <f>FZ186*VLOOKUP('Données projet'!$B$17,Paramètres!$A$1:$I$89,3,0)*VLOOKUP('Données projet'!$B$17,Paramètres!$A$1:$I$89,5,0)</f>
        <v>0</v>
      </c>
      <c r="GB186" s="13" t="e">
        <f t="shared" si="185"/>
        <v>#NUM!</v>
      </c>
      <c r="GC186" s="20" t="e">
        <f t="shared" si="186"/>
        <v>#NUM!</v>
      </c>
      <c r="GD186" s="59" t="e">
        <f t="shared" si="134"/>
        <v>#NUM!</v>
      </c>
      <c r="GE186" s="59">
        <f ca="1">AVERAGE(OFFSET($GD$3,0,0,'Données projet'!$E$17+1,1))-AVERAGE(OFFSET($H$3,0,0,'Données projet'!$E$17+1,1))</f>
        <v>369.60865427618342</v>
      </c>
      <c r="GF186" s="59">
        <f t="shared" si="158"/>
        <v>359.40898775279197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12.273186022000949</v>
      </c>
      <c r="GM186" s="21">
        <f>EXP(-LN(2)/25)*GM185+(1-EXP(-LN(2)/25))/(LN(2)/25)*Calculateur!GH186*Calculateur!GJ186*VLOOKUP('Données projet'!$B$17,Paramètres!$A$1:$I$89,3,0)*0.475*44/12</f>
        <v>0</v>
      </c>
      <c r="GN186" s="21">
        <f>EXP(-LN(2)/2)*GN185+(1-EXP(-LN(2)/2))/(LN(2)/2)*GH186*GK186*VLOOKUP('Données projet'!$B$17,Paramètres!$A$1:$I$89,3,0)*0.475*44/12</f>
        <v>0</v>
      </c>
      <c r="GO186" s="21">
        <f t="shared" si="187"/>
        <v>12.273186022000949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69.573065529685664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-1.7053025658242404E-13</v>
      </c>
      <c r="GV186" s="17">
        <f>GU186*VLOOKUP('Données projet'!$B$18,Paramètres!$A$1:$I$89,3,0)*VLOOKUP('Données projet'!$B$18,Paramètres!$A$1:$I$89,5,0)</f>
        <v>-1.1173142411280423E-13</v>
      </c>
      <c r="GW186" s="13" t="e">
        <f t="shared" si="188"/>
        <v>#NUM!</v>
      </c>
      <c r="GX186" s="20" t="e">
        <f t="shared" si="189"/>
        <v>#NUM!</v>
      </c>
      <c r="GY186" s="59" t="e">
        <f t="shared" si="137"/>
        <v>#NUM!</v>
      </c>
      <c r="GZ186" s="59">
        <f ca="1">AVERAGE(OFFSET($GY$3,0,0,'Données projet'!$E$18+1,1))-AVERAGE(OFFSET($H$3,0,0,'Données projet'!$E$18+1,1))</f>
        <v>262.62914256200031</v>
      </c>
      <c r="HA186" s="59">
        <f t="shared" si="160"/>
        <v>256.45129229594409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projet'!$B$18,Paramètres!$A$1:$I$89,3,0)*0.475*44/12</f>
        <v>7.9999019554237547</v>
      </c>
      <c r="HH186" s="21">
        <f>EXP(-LN(2)/25)*HH185+(1-EXP(-LN(2)/25))/(LN(2)/25)*Calculateur!HC186*Calculateur!HE186*VLOOKUP('Données projet'!$B$18,Paramètres!$A$1:$I$89,3,0)*0.475*44/12</f>
        <v>0</v>
      </c>
      <c r="HI186" s="21">
        <f>EXP(-LN(2)/2)*HI185+(1-EXP(-LN(2)/2))/(LN(2)/2)*HC186*HF186*VLOOKUP('Données projet'!$B$18,Paramètres!$A$1:$I$89,3,0)*0.475*44/12</f>
        <v>0</v>
      </c>
      <c r="HJ186" s="22">
        <f t="shared" si="190"/>
        <v>7.9999019554237547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2.1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7.7</v>
      </c>
      <c r="H187" s="67">
        <f t="shared" si="110"/>
        <v>225.86666666666665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69.580471888263133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5.6843418860808015E-14</v>
      </c>
      <c r="O187" s="13">
        <f>N187*VLOOKUP('Données projet'!$B$9,Paramètres!$A$1:$I$89,3,0)*VLOOKUP('Données projet'!$B$9,Paramètres!$A$1:$I$89,5,0)</f>
        <v>4.8771653382573282E-14</v>
      </c>
      <c r="P187" s="13">
        <f t="shared" si="141"/>
        <v>7.9655698259503351E-13</v>
      </c>
      <c r="Q187" s="20">
        <f t="shared" si="162"/>
        <v>1.4722807076609983E-12</v>
      </c>
      <c r="R187" s="59">
        <f t="shared" si="109"/>
        <v>291.79506359029966</v>
      </c>
      <c r="S187" s="59">
        <f ca="1">AVERAGE(OFFSET($R$3,0,0,'Données projet'!$E$9+1,1))-AVERAGE(OFFSET($H$3,0,0,'Données projet'!$E$9+1,1))</f>
        <v>476.79071915271794</v>
      </c>
      <c r="T187" s="59">
        <f t="shared" si="142"/>
        <v>264.79929759351762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64.281538737520904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64.281538737520904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69.580471888263133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-9.5769792096689348E-14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365.104658862176</v>
      </c>
      <c r="AO187" s="59">
        <f t="shared" si="144"/>
        <v>226.29232910286325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36.565078666332347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36.565078666332347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69.580471888263133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-1.1368683772161603E-13</v>
      </c>
      <c r="BE187" s="13">
        <f>BD187*VLOOKUP('Données projet'!$B$11,Paramètres!$A$1:$I$89,3,0)*VLOOKUP('Données projet'!$B$11,Paramètres!$A$1:$I$89,5,0)</f>
        <v>-1.0286385077051818E-13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388.12494342575195</v>
      </c>
      <c r="BJ187" s="59">
        <f t="shared" si="146"/>
        <v>239.39471445648454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39.273603011986616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39.273603011986616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69.580471888263133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-1.1368683772161603E-13</v>
      </c>
      <c r="BZ187" s="13">
        <f>BY187*VLOOKUP('Données projet'!$B$12,Paramètres!$A$1:$I$89,3,0)*VLOOKUP('Données projet'!$B$12,Paramètres!$A$1:$I$89,5,0)</f>
        <v>-1.1527845344971866E-13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428.33148932885132</v>
      </c>
      <c r="CE187" s="59">
        <f t="shared" si="148"/>
        <v>262.27548054534373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44.013520616881515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44.013520616881515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69.580471888263133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-1.1368683772161603E-13</v>
      </c>
      <c r="CU187" s="17">
        <f>CT187*VLOOKUP('Données projet'!$B$13,Paramètres!$A$1:$I$89,3,0)*VLOOKUP('Données projet'!$B$13,Paramètres!$A$1:$I$89,5,0)</f>
        <v>-1.0818439477588981E-13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307.62549820830162</v>
      </c>
      <c r="CZ187" s="59">
        <f t="shared" si="150"/>
        <v>160.26466014910304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29.998044928823706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29.998044928823706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69.580471888263133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-1.7053025658242404E-13</v>
      </c>
      <c r="DP187" s="17">
        <f>DO187*VLOOKUP('Données projet'!$B$14,Paramètres!$A$1:$I$89,3,0)*VLOOKUP('Données projet'!$B$14,Paramètres!$A$1:$I$89,5,0)</f>
        <v>-1.3567387213697657E-13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309.14579005132464</v>
      </c>
      <c r="DU187" s="59">
        <f t="shared" si="152"/>
        <v>300.60311050289533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11.738486562359114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11.738486562359114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69.580471888263133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>
        <f>EJ187*VLOOKUP('Données projet'!$B$15,Paramètres!$A$1:$I$89,3,0)*VLOOKUP('Données projet'!$B$15,Paramètres!$A$1:$I$89,5,0)</f>
        <v>0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338.59243085476896</v>
      </c>
      <c r="EP187" s="59">
        <f t="shared" si="154"/>
        <v>329.8393445823275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10.875543605974022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10.875543605974022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69.580471888263133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>
        <f>FE187*VLOOKUP('Données projet'!$B$16,Paramètres!$A$1:$I$89,3,0)*VLOOKUP('Données projet'!$B$16,Paramètres!$A$1:$I$89,5,0)</f>
        <v>0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307.50573770128085</v>
      </c>
      <c r="FK187" s="59">
        <f t="shared" si="156"/>
        <v>300.2007312562655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9.7185708819342338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9.7185708819342338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69.580471888263133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>
        <f>FZ187*VLOOKUP('Données projet'!$B$17,Paramètres!$A$1:$I$89,3,0)*VLOOKUP('Données projet'!$B$17,Paramètres!$A$1:$I$89,5,0)</f>
        <v>0</v>
      </c>
      <c r="GB187" s="13" t="e">
        <f t="shared" si="185"/>
        <v>#NUM!</v>
      </c>
      <c r="GC187" s="20" t="e">
        <f t="shared" si="186"/>
        <v>#NUM!</v>
      </c>
      <c r="GD187" s="59" t="e">
        <f t="shared" si="134"/>
        <v>#NUM!</v>
      </c>
      <c r="GE187" s="59">
        <f ca="1">AVERAGE(OFFSET($GD$3,0,0,'Données projet'!$E$17+1,1))-AVERAGE(OFFSET($H$3,0,0,'Données projet'!$E$17+1,1))</f>
        <v>369.60865427618342</v>
      </c>
      <c r="GF187" s="59">
        <f t="shared" si="158"/>
        <v>359.40898775279197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12.032516330013813</v>
      </c>
      <c r="GM187" s="21">
        <f>EXP(-LN(2)/25)*GM186+(1-EXP(-LN(2)/25))/(LN(2)/25)*Calculateur!GH187*Calculateur!GJ187*VLOOKUP('Données projet'!$B$17,Paramètres!$A$1:$I$89,3,0)*0.475*44/12</f>
        <v>0</v>
      </c>
      <c r="GN187" s="21">
        <f>EXP(-LN(2)/2)*GN186+(1-EXP(-LN(2)/2))/(LN(2)/2)*GH187*GK187*VLOOKUP('Données projet'!$B$17,Paramètres!$A$1:$I$89,3,0)*0.475*44/12</f>
        <v>0</v>
      </c>
      <c r="GO187" s="21">
        <f t="shared" si="187"/>
        <v>12.032516330013813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69.580471888263133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-1.7053025658242404E-13</v>
      </c>
      <c r="GV187" s="17">
        <f>GU187*VLOOKUP('Données projet'!$B$18,Paramètres!$A$1:$I$89,3,0)*VLOOKUP('Données projet'!$B$18,Paramètres!$A$1:$I$89,5,0)</f>
        <v>-1.1173142411280423E-13</v>
      </c>
      <c r="GW187" s="13" t="e">
        <f t="shared" si="188"/>
        <v>#NUM!</v>
      </c>
      <c r="GX187" s="20" t="e">
        <f t="shared" si="189"/>
        <v>#NUM!</v>
      </c>
      <c r="GY187" s="59" t="e">
        <f t="shared" si="137"/>
        <v>#NUM!</v>
      </c>
      <c r="GZ187" s="59">
        <f ca="1">AVERAGE(OFFSET($GY$3,0,0,'Données projet'!$E$18+1,1))-AVERAGE(OFFSET($H$3,0,0,'Données projet'!$E$18+1,1))</f>
        <v>262.62914256200031</v>
      </c>
      <c r="HA187" s="59">
        <f t="shared" si="160"/>
        <v>256.45129229594409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projet'!$B$18,Paramètres!$A$1:$I$89,3,0)*0.475*44/12</f>
        <v>7.8430287575362811</v>
      </c>
      <c r="HH187" s="21">
        <f>EXP(-LN(2)/25)*HH186+(1-EXP(-LN(2)/25))/(LN(2)/25)*Calculateur!HC187*Calculateur!HE187*VLOOKUP('Données projet'!$B$18,Paramètres!$A$1:$I$89,3,0)*0.475*44/12</f>
        <v>0</v>
      </c>
      <c r="HI187" s="21">
        <f>EXP(-LN(2)/2)*HI186+(1-EXP(-LN(2)/2))/(LN(2)/2)*HC187*HF187*VLOOKUP('Données projet'!$B$18,Paramètres!$A$1:$I$89,3,0)*0.475*44/12</f>
        <v>0</v>
      </c>
      <c r="HJ187" s="22">
        <f t="shared" si="190"/>
        <v>7.8430287575362811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2.1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7.7</v>
      </c>
      <c r="H188" s="67">
        <f t="shared" si="110"/>
        <v>225.86666666666665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69.587749763077426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5.6843418860808015E-14</v>
      </c>
      <c r="O188" s="13">
        <f>N188*VLOOKUP('Données projet'!$B$9,Paramètres!$A$1:$I$89,3,0)*VLOOKUP('Données projet'!$B$9,Paramètres!$A$1:$I$89,5,0)</f>
        <v>4.8771653382573282E-14</v>
      </c>
      <c r="P188" s="13">
        <f t="shared" si="141"/>
        <v>7.9655698259503351E-13</v>
      </c>
      <c r="Q188" s="20">
        <f t="shared" si="162"/>
        <v>1.4722807076609983E-12</v>
      </c>
      <c r="R188" s="59">
        <f t="shared" si="109"/>
        <v>291.82174913128534</v>
      </c>
      <c r="S188" s="59">
        <f ca="1">AVERAGE(OFFSET($R$3,0,0,'Données projet'!$E$9+1,1))-AVERAGE(OFFSET($H$3,0,0,'Données projet'!$E$9+1,1))</f>
        <v>476.79071915271794</v>
      </c>
      <c r="T188" s="59">
        <f t="shared" si="142"/>
        <v>264.79929759351762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63.021016970745293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63.021016970745293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69.587749763077426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-9.5769792096689348E-14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365.104658862176</v>
      </c>
      <c r="AO188" s="59">
        <f t="shared" si="144"/>
        <v>226.29232910286325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35.848059776181366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35.848059776181366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69.587749763077426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-1.1368683772161603E-13</v>
      </c>
      <c r="BE188" s="13">
        <f>BD188*VLOOKUP('Données projet'!$B$11,Paramètres!$A$1:$I$89,3,0)*VLOOKUP('Données projet'!$B$11,Paramètres!$A$1:$I$89,5,0)</f>
        <v>-1.0286385077051818E-13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388.12494342575195</v>
      </c>
      <c r="BJ188" s="59">
        <f t="shared" si="146"/>
        <v>239.39471445648454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38.503471611454081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38.503471611454081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69.587749763077426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-1.1368683772161603E-13</v>
      </c>
      <c r="BZ188" s="13">
        <f>BY188*VLOOKUP('Données projet'!$B$12,Paramètres!$A$1:$I$89,3,0)*VLOOKUP('Données projet'!$B$12,Paramètres!$A$1:$I$89,5,0)</f>
        <v>-1.1527845344971866E-13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428.33148932885132</v>
      </c>
      <c r="CE188" s="59">
        <f t="shared" si="148"/>
        <v>262.27548054534373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43.150442323181259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43.150442323181259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69.587749763077426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-1.1368683772161603E-13</v>
      </c>
      <c r="CU188" s="17">
        <f>CT188*VLOOKUP('Données projet'!$B$13,Paramètres!$A$1:$I$89,3,0)*VLOOKUP('Données projet'!$B$13,Paramètres!$A$1:$I$89,5,0)</f>
        <v>-1.0818439477588981E-13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307.62549820830162</v>
      </c>
      <c r="CZ188" s="59">
        <f t="shared" si="150"/>
        <v>160.26466014910304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29.409801564770202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29.409801564770202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69.587749763077426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-1.7053025658242404E-13</v>
      </c>
      <c r="DP188" s="17">
        <f>DO188*VLOOKUP('Données projet'!$B$14,Paramètres!$A$1:$I$89,3,0)*VLOOKUP('Données projet'!$B$14,Paramètres!$A$1:$I$89,5,0)</f>
        <v>-1.3567387213697657E-13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309.14579005132464</v>
      </c>
      <c r="DU188" s="59">
        <f t="shared" si="152"/>
        <v>300.60311050289533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11.508302000641086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11.508302000641086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69.587749763077426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>
        <f>EJ188*VLOOKUP('Données projet'!$B$15,Paramètres!$A$1:$I$89,3,0)*VLOOKUP('Données projet'!$B$15,Paramètres!$A$1:$I$89,5,0)</f>
        <v>0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338.59243085476896</v>
      </c>
      <c r="EP188" s="59">
        <f t="shared" si="154"/>
        <v>329.8393445823275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10.662280829287473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10.662280829287473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69.587749763077426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>
        <f>FE188*VLOOKUP('Données projet'!$B$16,Paramètres!$A$1:$I$89,3,0)*VLOOKUP('Données projet'!$B$16,Paramètres!$A$1:$I$89,5,0)</f>
        <v>0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307.50573770128085</v>
      </c>
      <c r="FK188" s="59">
        <f t="shared" si="156"/>
        <v>300.2007312562655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9.5279956346824246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9.5279956346824246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69.587749763077426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>
        <f>FZ188*VLOOKUP('Données projet'!$B$17,Paramètres!$A$1:$I$89,3,0)*VLOOKUP('Données projet'!$B$17,Paramètres!$A$1:$I$89,5,0)</f>
        <v>0</v>
      </c>
      <c r="GB188" s="13" t="e">
        <f t="shared" si="185"/>
        <v>#NUM!</v>
      </c>
      <c r="GC188" s="20" t="e">
        <f t="shared" si="186"/>
        <v>#NUM!</v>
      </c>
      <c r="GD188" s="59" t="e">
        <f t="shared" si="134"/>
        <v>#NUM!</v>
      </c>
      <c r="GE188" s="59">
        <f ca="1">AVERAGE(OFFSET($GD$3,0,0,'Données projet'!$E$17+1,1))-AVERAGE(OFFSET($H$3,0,0,'Données projet'!$E$17+1,1))</f>
        <v>369.60865427618342</v>
      </c>
      <c r="GF188" s="59">
        <f t="shared" si="158"/>
        <v>359.40898775279197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11.796566023892526</v>
      </c>
      <c r="GM188" s="21">
        <f>EXP(-LN(2)/25)*GM187+(1-EXP(-LN(2)/25))/(LN(2)/25)*Calculateur!GH188*Calculateur!GJ188*VLOOKUP('Données projet'!$B$17,Paramètres!$A$1:$I$89,3,0)*0.475*44/12</f>
        <v>0</v>
      </c>
      <c r="GN188" s="21">
        <f>EXP(-LN(2)/2)*GN187+(1-EXP(-LN(2)/2))/(LN(2)/2)*GH188*GK188*VLOOKUP('Données projet'!$B$17,Paramètres!$A$1:$I$89,3,0)*0.475*44/12</f>
        <v>0</v>
      </c>
      <c r="GO188" s="21">
        <f t="shared" si="187"/>
        <v>11.796566023892526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69.587749763077426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-1.7053025658242404E-13</v>
      </c>
      <c r="GV188" s="17">
        <f>GU188*VLOOKUP('Données projet'!$B$18,Paramètres!$A$1:$I$89,3,0)*VLOOKUP('Données projet'!$B$18,Paramètres!$A$1:$I$89,5,0)</f>
        <v>-1.1173142411280423E-13</v>
      </c>
      <c r="GW188" s="13" t="e">
        <f t="shared" si="188"/>
        <v>#NUM!</v>
      </c>
      <c r="GX188" s="20" t="e">
        <f t="shared" si="189"/>
        <v>#NUM!</v>
      </c>
      <c r="GY188" s="59" t="e">
        <f t="shared" si="137"/>
        <v>#NUM!</v>
      </c>
      <c r="GZ188" s="59">
        <f ca="1">AVERAGE(OFFSET($GY$3,0,0,'Données projet'!$E$18+1,1))-AVERAGE(OFFSET($H$3,0,0,'Données projet'!$E$18+1,1))</f>
        <v>262.62914256200031</v>
      </c>
      <c r="HA188" s="59">
        <f t="shared" si="160"/>
        <v>256.45129229594409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projet'!$B$18,Paramètres!$A$1:$I$89,3,0)*0.475*44/12</f>
        <v>7.6892317473761782</v>
      </c>
      <c r="HH188" s="21">
        <f>EXP(-LN(2)/25)*HH187+(1-EXP(-LN(2)/25))/(LN(2)/25)*Calculateur!HC188*Calculateur!HE188*VLOOKUP('Données projet'!$B$18,Paramètres!$A$1:$I$89,3,0)*0.475*44/12</f>
        <v>0</v>
      </c>
      <c r="HI188" s="21">
        <f>EXP(-LN(2)/2)*HI187+(1-EXP(-LN(2)/2))/(LN(2)/2)*HC188*HF188*VLOOKUP('Données projet'!$B$18,Paramètres!$A$1:$I$89,3,0)*0.475*44/12</f>
        <v>0</v>
      </c>
      <c r="HJ188" s="22">
        <f t="shared" si="190"/>
        <v>7.6892317473761782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2.1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7.7</v>
      </c>
      <c r="H189" s="67">
        <f t="shared" si="110"/>
        <v>225.86666666666665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69.594901383034568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5.6843418860808015E-14</v>
      </c>
      <c r="O189" s="13">
        <f>N189*VLOOKUP('Données projet'!$B$9,Paramètres!$A$1:$I$89,3,0)*VLOOKUP('Données projet'!$B$9,Paramètres!$A$1:$I$89,5,0)</f>
        <v>4.8771653382573282E-14</v>
      </c>
      <c r="P189" s="13">
        <f t="shared" si="141"/>
        <v>7.9655698259503351E-13</v>
      </c>
      <c r="Q189" s="20">
        <f t="shared" si="162"/>
        <v>1.4722807076609983E-12</v>
      </c>
      <c r="R189" s="59">
        <f t="shared" si="109"/>
        <v>291.84797173779492</v>
      </c>
      <c r="S189" s="59">
        <f ca="1">AVERAGE(OFFSET($R$3,0,0,'Données projet'!$E$9+1,1))-AVERAGE(OFFSET($H$3,0,0,'Données projet'!$E$9+1,1))</f>
        <v>476.79071915271794</v>
      </c>
      <c r="T189" s="59">
        <f t="shared" si="142"/>
        <v>264.79929759351762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61.785213266973791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61.785213266973791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69.594901383034568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-9.5769792096689348E-14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365.104658862176</v>
      </c>
      <c r="AO189" s="59">
        <f t="shared" si="144"/>
        <v>226.29232910286325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35.145101189127907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35.145101189127907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69.594901383034568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-1.1368683772161603E-13</v>
      </c>
      <c r="BE189" s="13">
        <f>BD189*VLOOKUP('Données projet'!$B$11,Paramètres!$A$1:$I$89,3,0)*VLOOKUP('Données projet'!$B$11,Paramètres!$A$1:$I$89,5,0)</f>
        <v>-1.0286385077051818E-13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388.12494342575195</v>
      </c>
      <c r="BJ189" s="59">
        <f t="shared" si="146"/>
        <v>239.39471445648454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37.748442017952222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37.748442017952222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69.594901383034568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-1.1368683772161603E-13</v>
      </c>
      <c r="BZ189" s="13">
        <f>BY189*VLOOKUP('Données projet'!$B$12,Paramètres!$A$1:$I$89,3,0)*VLOOKUP('Données projet'!$B$12,Paramètres!$A$1:$I$89,5,0)</f>
        <v>-1.1527845344971866E-13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428.33148932885132</v>
      </c>
      <c r="CE189" s="59">
        <f t="shared" si="148"/>
        <v>262.27548054534373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42.304288468394688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42.304288468394688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69.594901383034568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-1.1368683772161603E-13</v>
      </c>
      <c r="CU189" s="17">
        <f>CT189*VLOOKUP('Données projet'!$B$13,Paramètres!$A$1:$I$89,3,0)*VLOOKUP('Données projet'!$B$13,Paramètres!$A$1:$I$89,5,0)</f>
        <v>-1.0818439477588981E-13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307.62549820830162</v>
      </c>
      <c r="CZ189" s="59">
        <f t="shared" si="150"/>
        <v>160.26466014910304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28.833093294292762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28.833093294292762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69.594901383034568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-1.7053025658242404E-13</v>
      </c>
      <c r="DP189" s="17">
        <f>DO189*VLOOKUP('Données projet'!$B$14,Paramètres!$A$1:$I$89,3,0)*VLOOKUP('Données projet'!$B$14,Paramètres!$A$1:$I$89,5,0)</f>
        <v>-1.3567387213697657E-13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309.14579005132464</v>
      </c>
      <c r="DU189" s="59">
        <f t="shared" si="152"/>
        <v>300.60311050289533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11.282631217779629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11.282631217779629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69.594901383034568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>
        <f>EJ189*VLOOKUP('Données projet'!$B$15,Paramètres!$A$1:$I$89,3,0)*VLOOKUP('Données projet'!$B$15,Paramètres!$A$1:$I$89,5,0)</f>
        <v>0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338.59243085476896</v>
      </c>
      <c r="EP189" s="59">
        <f t="shared" si="154"/>
        <v>329.8393445823275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10.453200005574299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10.453200005574299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69.594901383034568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>
        <f>FE189*VLOOKUP('Données projet'!$B$16,Paramètres!$A$1:$I$89,3,0)*VLOOKUP('Données projet'!$B$16,Paramètres!$A$1:$I$89,5,0)</f>
        <v>0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307.50573770128085</v>
      </c>
      <c r="FK189" s="59">
        <f t="shared" si="156"/>
        <v>300.2007312562655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9.3411574517898011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9.3411574517898011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69.594901383034568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>
        <f>FZ189*VLOOKUP('Données projet'!$B$17,Paramètres!$A$1:$I$89,3,0)*VLOOKUP('Données projet'!$B$17,Paramètres!$A$1:$I$89,5,0)</f>
        <v>0</v>
      </c>
      <c r="GB189" s="13" t="e">
        <f t="shared" si="185"/>
        <v>#NUM!</v>
      </c>
      <c r="GC189" s="20" t="e">
        <f t="shared" si="186"/>
        <v>#NUM!</v>
      </c>
      <c r="GD189" s="59" t="e">
        <f t="shared" si="134"/>
        <v>#NUM!</v>
      </c>
      <c r="GE189" s="59">
        <f ca="1">AVERAGE(OFFSET($GD$3,0,0,'Données projet'!$E$17+1,1))-AVERAGE(OFFSET($H$3,0,0,'Données projet'!$E$17+1,1))</f>
        <v>369.60865427618342</v>
      </c>
      <c r="GF189" s="59">
        <f t="shared" si="158"/>
        <v>359.40898775279197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11.565242559358801</v>
      </c>
      <c r="GM189" s="21">
        <f>EXP(-LN(2)/25)*GM188+(1-EXP(-LN(2)/25))/(LN(2)/25)*Calculateur!GH189*Calculateur!GJ189*VLOOKUP('Données projet'!$B$17,Paramètres!$A$1:$I$89,3,0)*0.475*44/12</f>
        <v>0</v>
      </c>
      <c r="GN189" s="21">
        <f>EXP(-LN(2)/2)*GN188+(1-EXP(-LN(2)/2))/(LN(2)/2)*GH189*GK189*VLOOKUP('Données projet'!$B$17,Paramètres!$A$1:$I$89,3,0)*0.475*44/12</f>
        <v>0</v>
      </c>
      <c r="GO189" s="21">
        <f t="shared" si="187"/>
        <v>11.565242559358801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69.594901383034568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-1.7053025658242404E-13</v>
      </c>
      <c r="GV189" s="17">
        <f>GU189*VLOOKUP('Données projet'!$B$18,Paramètres!$A$1:$I$89,3,0)*VLOOKUP('Données projet'!$B$18,Paramètres!$A$1:$I$89,5,0)</f>
        <v>-1.1173142411280423E-13</v>
      </c>
      <c r="GW189" s="13" t="e">
        <f t="shared" si="188"/>
        <v>#NUM!</v>
      </c>
      <c r="GX189" s="20" t="e">
        <f t="shared" si="189"/>
        <v>#NUM!</v>
      </c>
      <c r="GY189" s="59" t="e">
        <f t="shared" si="137"/>
        <v>#NUM!</v>
      </c>
      <c r="GZ189" s="59">
        <f ca="1">AVERAGE(OFFSET($GY$3,0,0,'Données projet'!$E$18+1,1))-AVERAGE(OFFSET($H$3,0,0,'Données projet'!$E$18+1,1))</f>
        <v>262.62914256200031</v>
      </c>
      <c r="HA189" s="59">
        <f t="shared" si="160"/>
        <v>256.45129229594409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projet'!$B$18,Paramètres!$A$1:$I$89,3,0)*0.475*44/12</f>
        <v>7.5384506027784015</v>
      </c>
      <c r="HH189" s="21">
        <f>EXP(-LN(2)/25)*HH188+(1-EXP(-LN(2)/25))/(LN(2)/25)*Calculateur!HC189*Calculateur!HE189*VLOOKUP('Données projet'!$B$18,Paramètres!$A$1:$I$89,3,0)*0.475*44/12</f>
        <v>0</v>
      </c>
      <c r="HI189" s="21">
        <f>EXP(-LN(2)/2)*HI188+(1-EXP(-LN(2)/2))/(LN(2)/2)*HC189*HF189*VLOOKUP('Données projet'!$B$18,Paramètres!$A$1:$I$89,3,0)*0.475*44/12</f>
        <v>0</v>
      </c>
      <c r="HJ189" s="22">
        <f t="shared" si="190"/>
        <v>7.5384506027784015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2.1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7.7</v>
      </c>
      <c r="H190" s="67">
        <f t="shared" si="110"/>
        <v>225.86666666666665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69.601928938374087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5.6843418860808015E-14</v>
      </c>
      <c r="O190" s="13">
        <f>N190*VLOOKUP('Données projet'!$B$9,Paramètres!$A$1:$I$89,3,0)*VLOOKUP('Données projet'!$B$9,Paramètres!$A$1:$I$89,5,0)</f>
        <v>4.8771653382573282E-14</v>
      </c>
      <c r="P190" s="13">
        <f t="shared" si="141"/>
        <v>7.9655698259503351E-13</v>
      </c>
      <c r="Q190" s="20">
        <f t="shared" si="162"/>
        <v>1.4722807076609983E-12</v>
      </c>
      <c r="R190" s="59">
        <f t="shared" si="109"/>
        <v>291.87373944070646</v>
      </c>
      <c r="S190" s="59">
        <f ca="1">AVERAGE(OFFSET($R$3,0,0,'Données projet'!$E$9+1,1))-AVERAGE(OFFSET($H$3,0,0,'Données projet'!$E$9+1,1))</f>
        <v>476.79071915271794</v>
      </c>
      <c r="T190" s="59">
        <f t="shared" si="142"/>
        <v>264.79929759351762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60.573642920067421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60.573642920067421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69.601928938374087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-9.5769792096689348E-14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365.104658862176</v>
      </c>
      <c r="AO190" s="59">
        <f t="shared" si="144"/>
        <v>226.29232910286325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34.455927191204168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34.455927191204168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69.601928938374087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-1.1368683772161603E-13</v>
      </c>
      <c r="BE190" s="13">
        <f>BD190*VLOOKUP('Données projet'!$B$11,Paramètres!$A$1:$I$89,3,0)*VLOOKUP('Données projet'!$B$11,Paramètres!$A$1:$I$89,5,0)</f>
        <v>-1.0286385077051818E-13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388.12494342575195</v>
      </c>
      <c r="BJ190" s="59">
        <f t="shared" si="146"/>
        <v>239.39471445648454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37.00821809425635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37.00821809425635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69.601928938374087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-1.1368683772161603E-13</v>
      </c>
      <c r="BZ190" s="13">
        <f>BY190*VLOOKUP('Données projet'!$B$12,Paramètres!$A$1:$I$89,3,0)*VLOOKUP('Données projet'!$B$12,Paramètres!$A$1:$I$89,5,0)</f>
        <v>-1.1527845344971866E-13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428.33148932885132</v>
      </c>
      <c r="CE190" s="59">
        <f t="shared" si="148"/>
        <v>262.27548054534373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41.474727174597589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41.474727174597589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69.601928938374087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-1.1368683772161603E-13</v>
      </c>
      <c r="CU190" s="17">
        <f>CT190*VLOOKUP('Données projet'!$B$13,Paramètres!$A$1:$I$89,3,0)*VLOOKUP('Données projet'!$B$13,Paramètres!$A$1:$I$89,5,0)</f>
        <v>-1.0818439477588981E-13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307.62549820830162</v>
      </c>
      <c r="CZ190" s="59">
        <f t="shared" si="150"/>
        <v>160.26466014910304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28.267693921242074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28.267693921242074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69.601928938374087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-1.7053025658242404E-13</v>
      </c>
      <c r="DP190" s="17">
        <f>DO190*VLOOKUP('Données projet'!$B$14,Paramètres!$A$1:$I$89,3,0)*VLOOKUP('Données projet'!$B$14,Paramètres!$A$1:$I$89,5,0)</f>
        <v>-1.3567387213697657E-13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309.14579005132464</v>
      </c>
      <c r="DU190" s="59">
        <f t="shared" si="152"/>
        <v>300.60311050289533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11.0613857013245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11.0613857013245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69.601928938374087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>
        <f>EJ190*VLOOKUP('Données projet'!$B$15,Paramètres!$A$1:$I$89,3,0)*VLOOKUP('Données projet'!$B$15,Paramètres!$A$1:$I$89,5,0)</f>
        <v>0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338.59243085476896</v>
      </c>
      <c r="EP190" s="59">
        <f t="shared" si="154"/>
        <v>329.8393445823275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10.248219129287431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10.248219129287431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69.601928938374087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>
        <f>FE190*VLOOKUP('Données projet'!$B$16,Paramètres!$A$1:$I$89,3,0)*VLOOKUP('Données projet'!$B$16,Paramètres!$A$1:$I$89,5,0)</f>
        <v>0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307.50573770128085</v>
      </c>
      <c r="FK190" s="59">
        <f t="shared" si="156"/>
        <v>300.2007312562655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9.1579830517036633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9.1579830517036633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69.601928938374087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>
        <f>FZ190*VLOOKUP('Données projet'!$B$17,Paramètres!$A$1:$I$89,3,0)*VLOOKUP('Données projet'!$B$17,Paramètres!$A$1:$I$89,5,0)</f>
        <v>0</v>
      </c>
      <c r="GB190" s="13" t="e">
        <f t="shared" si="185"/>
        <v>#NUM!</v>
      </c>
      <c r="GC190" s="20" t="e">
        <f t="shared" si="186"/>
        <v>#NUM!</v>
      </c>
      <c r="GD190" s="59" t="e">
        <f t="shared" si="134"/>
        <v>#NUM!</v>
      </c>
      <c r="GE190" s="59">
        <f ca="1">AVERAGE(OFFSET($GD$3,0,0,'Données projet'!$E$17+1,1))-AVERAGE(OFFSET($H$3,0,0,'Données projet'!$E$17+1,1))</f>
        <v>369.60865427618342</v>
      </c>
      <c r="GF190" s="59">
        <f t="shared" si="158"/>
        <v>359.40898775279197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11.338455206871201</v>
      </c>
      <c r="GM190" s="21">
        <f>EXP(-LN(2)/25)*GM189+(1-EXP(-LN(2)/25))/(LN(2)/25)*Calculateur!GH190*Calculateur!GJ190*VLOOKUP('Données projet'!$B$17,Paramètres!$A$1:$I$89,3,0)*0.475*44/12</f>
        <v>0</v>
      </c>
      <c r="GN190" s="21">
        <f>EXP(-LN(2)/2)*GN189+(1-EXP(-LN(2)/2))/(LN(2)/2)*GH190*GK190*VLOOKUP('Données projet'!$B$17,Paramètres!$A$1:$I$89,3,0)*0.475*44/12</f>
        <v>0</v>
      </c>
      <c r="GO190" s="21">
        <f t="shared" si="187"/>
        <v>11.338455206871201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69.601928938374087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-1.7053025658242404E-13</v>
      </c>
      <c r="GV190" s="17">
        <f>GU190*VLOOKUP('Données projet'!$B$18,Paramètres!$A$1:$I$89,3,0)*VLOOKUP('Données projet'!$B$18,Paramètres!$A$1:$I$89,5,0)</f>
        <v>-1.1173142411280423E-13</v>
      </c>
      <c r="GW190" s="13" t="e">
        <f t="shared" si="188"/>
        <v>#NUM!</v>
      </c>
      <c r="GX190" s="20" t="e">
        <f t="shared" si="189"/>
        <v>#NUM!</v>
      </c>
      <c r="GY190" s="59" t="e">
        <f t="shared" si="137"/>
        <v>#NUM!</v>
      </c>
      <c r="GZ190" s="59">
        <f ca="1">AVERAGE(OFFSET($GY$3,0,0,'Données projet'!$E$18+1,1))-AVERAGE(OFFSET($H$3,0,0,'Données projet'!$E$18+1,1))</f>
        <v>262.62914256200031</v>
      </c>
      <c r="HA190" s="59">
        <f t="shared" si="160"/>
        <v>256.45129229594409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projet'!$B$18,Paramètres!$A$1:$I$89,3,0)*0.475*44/12</f>
        <v>7.3906261844587702</v>
      </c>
      <c r="HH190" s="21">
        <f>EXP(-LN(2)/25)*HH189+(1-EXP(-LN(2)/25))/(LN(2)/25)*Calculateur!HC190*Calculateur!HE190*VLOOKUP('Données projet'!$B$18,Paramètres!$A$1:$I$89,3,0)*0.475*44/12</f>
        <v>0</v>
      </c>
      <c r="HI190" s="21">
        <f>EXP(-LN(2)/2)*HI189+(1-EXP(-LN(2)/2))/(LN(2)/2)*HC190*HF190*VLOOKUP('Données projet'!$B$18,Paramètres!$A$1:$I$89,3,0)*0.475*44/12</f>
        <v>0</v>
      </c>
      <c r="HJ190" s="22">
        <f t="shared" si="190"/>
        <v>7.3906261844587702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2.1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7.7</v>
      </c>
      <c r="H191" s="67">
        <f t="shared" si="110"/>
        <v>225.86666666666665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69.608834581339721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5.6843418860808015E-14</v>
      </c>
      <c r="O191" s="13">
        <f>N191*VLOOKUP('Données projet'!$B$9,Paramètres!$A$1:$I$89,3,0)*VLOOKUP('Données projet'!$B$9,Paramètres!$A$1:$I$89,5,0)</f>
        <v>4.8771653382573282E-14</v>
      </c>
      <c r="P191" s="13">
        <f t="shared" si="141"/>
        <v>7.9655698259503351E-13</v>
      </c>
      <c r="Q191" s="20">
        <f t="shared" si="162"/>
        <v>1.4722807076609983E-12</v>
      </c>
      <c r="R191" s="59">
        <f t="shared" si="109"/>
        <v>291.89906013158048</v>
      </c>
      <c r="S191" s="59">
        <f ca="1">AVERAGE(OFFSET($R$3,0,0,'Données projet'!$E$9+1,1))-AVERAGE(OFFSET($H$3,0,0,'Données projet'!$E$9+1,1))</f>
        <v>476.79071915271794</v>
      </c>
      <c r="T191" s="59">
        <f t="shared" si="142"/>
        <v>264.79929759351762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59.38583072867894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59.38583072867894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69.608834581339721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-9.5769792096689348E-14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365.104658862176</v>
      </c>
      <c r="AO191" s="59">
        <f t="shared" si="144"/>
        <v>226.29232910286325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33.780267475025077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33.780267475025077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69.608834581339721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-1.1368683772161603E-13</v>
      </c>
      <c r="BE191" s="13">
        <f>BD191*VLOOKUP('Données projet'!$B$11,Paramètres!$A$1:$I$89,3,0)*VLOOKUP('Données projet'!$B$11,Paramètres!$A$1:$I$89,5,0)</f>
        <v>-1.0286385077051818E-13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388.12494342575195</v>
      </c>
      <c r="BJ191" s="59">
        <f t="shared" si="146"/>
        <v>239.39471445648454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36.282509510212144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36.282509510212144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69.608834581339721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-1.1368683772161603E-13</v>
      </c>
      <c r="BZ191" s="13">
        <f>BY191*VLOOKUP('Données projet'!$B$12,Paramètres!$A$1:$I$89,3,0)*VLOOKUP('Données projet'!$B$12,Paramètres!$A$1:$I$89,5,0)</f>
        <v>-1.1527845344971866E-13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428.33148932885132</v>
      </c>
      <c r="CE191" s="59">
        <f t="shared" si="148"/>
        <v>262.27548054534373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40.661433071789425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40.661433071789425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69.608834581339721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-1.1368683772161603E-13</v>
      </c>
      <c r="CU191" s="17">
        <f>CT191*VLOOKUP('Données projet'!$B$13,Paramètres!$A$1:$I$89,3,0)*VLOOKUP('Données projet'!$B$13,Paramètres!$A$1:$I$89,5,0)</f>
        <v>-1.0818439477588981E-13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307.62549820830162</v>
      </c>
      <c r="CZ191" s="59">
        <f t="shared" si="150"/>
        <v>160.26466014910304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27.713381685037344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27.713381685037344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69.608834581339721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-1.7053025658242404E-13</v>
      </c>
      <c r="DP191" s="17">
        <f>DO191*VLOOKUP('Données projet'!$B$14,Paramètres!$A$1:$I$89,3,0)*VLOOKUP('Données projet'!$B$14,Paramètres!$A$1:$I$89,5,0)</f>
        <v>-1.3567387213697657E-13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309.14579005132464</v>
      </c>
      <c r="DU191" s="59">
        <f t="shared" si="152"/>
        <v>300.60311050289533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10.844478674500616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10.844478674500616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69.608834581339721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>
        <f>EJ191*VLOOKUP('Données projet'!$B$15,Paramètres!$A$1:$I$89,3,0)*VLOOKUP('Données projet'!$B$15,Paramètres!$A$1:$I$89,5,0)</f>
        <v>0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338.59243085476896</v>
      </c>
      <c r="EP191" s="59">
        <f t="shared" si="154"/>
        <v>329.8393445823275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10.047257802958558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10.047257802958558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69.608834581339721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>
        <f>FE191*VLOOKUP('Données projet'!$B$16,Paramètres!$A$1:$I$89,3,0)*VLOOKUP('Données projet'!$B$16,Paramètres!$A$1:$I$89,5,0)</f>
        <v>0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307.50573770128085</v>
      </c>
      <c r="FK191" s="59">
        <f t="shared" si="156"/>
        <v>300.2007312562655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8.9784005898778627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8.9784005898778627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69.608834581339721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>
        <f>FZ191*VLOOKUP('Données projet'!$B$17,Paramètres!$A$1:$I$89,3,0)*VLOOKUP('Données projet'!$B$17,Paramètres!$A$1:$I$89,5,0)</f>
        <v>0</v>
      </c>
      <c r="GB191" s="13" t="e">
        <f t="shared" si="185"/>
        <v>#NUM!</v>
      </c>
      <c r="GC191" s="20" t="e">
        <f t="shared" si="186"/>
        <v>#NUM!</v>
      </c>
      <c r="GD191" s="59" t="e">
        <f t="shared" si="134"/>
        <v>#NUM!</v>
      </c>
      <c r="GE191" s="59">
        <f ca="1">AVERAGE(OFFSET($GD$3,0,0,'Données projet'!$E$17+1,1))-AVERAGE(OFFSET($H$3,0,0,'Données projet'!$E$17+1,1))</f>
        <v>369.60865427618342</v>
      </c>
      <c r="GF191" s="59">
        <f t="shared" si="158"/>
        <v>359.40898775279197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11.116115016039256</v>
      </c>
      <c r="GM191" s="21">
        <f>EXP(-LN(2)/25)*GM190+(1-EXP(-LN(2)/25))/(LN(2)/25)*Calculateur!GH191*Calculateur!GJ191*VLOOKUP('Données projet'!$B$17,Paramètres!$A$1:$I$89,3,0)*0.475*44/12</f>
        <v>0</v>
      </c>
      <c r="GN191" s="21">
        <f>EXP(-LN(2)/2)*GN190+(1-EXP(-LN(2)/2))/(LN(2)/2)*GH191*GK191*VLOOKUP('Données projet'!$B$17,Paramètres!$A$1:$I$89,3,0)*0.475*44/12</f>
        <v>0</v>
      </c>
      <c r="GO191" s="21">
        <f t="shared" si="187"/>
        <v>11.116115016039256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69.608834581339721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-1.7053025658242404E-13</v>
      </c>
      <c r="GV191" s="17">
        <f>GU191*VLOOKUP('Données projet'!$B$18,Paramètres!$A$1:$I$89,3,0)*VLOOKUP('Données projet'!$B$18,Paramètres!$A$1:$I$89,5,0)</f>
        <v>-1.1173142411280423E-13</v>
      </c>
      <c r="GW191" s="13" t="e">
        <f t="shared" si="188"/>
        <v>#NUM!</v>
      </c>
      <c r="GX191" s="20" t="e">
        <f t="shared" si="189"/>
        <v>#NUM!</v>
      </c>
      <c r="GY191" s="59" t="e">
        <f t="shared" si="137"/>
        <v>#NUM!</v>
      </c>
      <c r="GZ191" s="59">
        <f ca="1">AVERAGE(OFFSET($GY$3,0,0,'Données projet'!$E$18+1,1))-AVERAGE(OFFSET($H$3,0,0,'Données projet'!$E$18+1,1))</f>
        <v>262.62914256200031</v>
      </c>
      <c r="HA191" s="59">
        <f t="shared" si="160"/>
        <v>256.45129229594409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projet'!$B$18,Paramètres!$A$1:$I$89,3,0)*0.475*44/12</f>
        <v>7.2457005128183942</v>
      </c>
      <c r="HH191" s="21">
        <f>EXP(-LN(2)/25)*HH190+(1-EXP(-LN(2)/25))/(LN(2)/25)*Calculateur!HC191*Calculateur!HE191*VLOOKUP('Données projet'!$B$18,Paramètres!$A$1:$I$89,3,0)*0.475*44/12</f>
        <v>0</v>
      </c>
      <c r="HI191" s="21">
        <f>EXP(-LN(2)/2)*HI190+(1-EXP(-LN(2)/2))/(LN(2)/2)*HC191*HF191*VLOOKUP('Données projet'!$B$18,Paramètres!$A$1:$I$89,3,0)*0.475*44/12</f>
        <v>0</v>
      </c>
      <c r="HJ191" s="22">
        <f t="shared" si="190"/>
        <v>7.2457005128183942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2.1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7.7</v>
      </c>
      <c r="H192" s="67">
        <f t="shared" si="110"/>
        <v>225.86666666666665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69.615620426838618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5.6843418860808015E-14</v>
      </c>
      <c r="O192" s="13">
        <f>N192*VLOOKUP('Données projet'!$B$9,Paramètres!$A$1:$I$89,3,0)*VLOOKUP('Données projet'!$B$9,Paramètres!$A$1:$I$89,5,0)</f>
        <v>4.8771653382573282E-14</v>
      </c>
      <c r="P192" s="13">
        <f t="shared" si="141"/>
        <v>7.9655698259503351E-13</v>
      </c>
      <c r="Q192" s="20">
        <f t="shared" si="162"/>
        <v>1.4722807076609983E-12</v>
      </c>
      <c r="R192" s="59">
        <f t="shared" si="109"/>
        <v>291.9239415650764</v>
      </c>
      <c r="S192" s="59">
        <f ca="1">AVERAGE(OFFSET($R$3,0,0,'Données projet'!$E$9+1,1))-AVERAGE(OFFSET($H$3,0,0,'Données projet'!$E$9+1,1))</f>
        <v>476.79071915271794</v>
      </c>
      <c r="T192" s="59">
        <f t="shared" si="142"/>
        <v>264.79929759351762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58.221310809869685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58.221310809869685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69.615620426838618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-9.5769792096689348E-14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365.104658862176</v>
      </c>
      <c r="AO192" s="59">
        <f t="shared" si="144"/>
        <v>226.29232910286325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33.117857033768523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33.117857033768523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69.615620426838618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-1.1368683772161603E-13</v>
      </c>
      <c r="BE192" s="13">
        <f>BD192*VLOOKUP('Données projet'!$B$11,Paramètres!$A$1:$I$89,3,0)*VLOOKUP('Données projet'!$B$11,Paramètres!$A$1:$I$89,5,0)</f>
        <v>-1.0286385077051818E-13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388.12494342575195</v>
      </c>
      <c r="BJ192" s="59">
        <f t="shared" si="146"/>
        <v>239.39471445648454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35.571031628862514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35.571031628862514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69.615620426838618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-1.1368683772161603E-13</v>
      </c>
      <c r="BZ192" s="13">
        <f>BY192*VLOOKUP('Données projet'!$B$12,Paramètres!$A$1:$I$89,3,0)*VLOOKUP('Données projet'!$B$12,Paramètres!$A$1:$I$89,5,0)</f>
        <v>-1.1527845344971866E-13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428.33148932885132</v>
      </c>
      <c r="CE192" s="59">
        <f t="shared" si="148"/>
        <v>262.27548054534373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39.86408717027691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39.86408717027691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69.615620426838618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-1.1368683772161603E-13</v>
      </c>
      <c r="CU192" s="17">
        <f>CT192*VLOOKUP('Données projet'!$B$13,Paramètres!$A$1:$I$89,3,0)*VLOOKUP('Données projet'!$B$13,Paramètres!$A$1:$I$89,5,0)</f>
        <v>-1.0818439477588981E-13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307.62549820830162</v>
      </c>
      <c r="CZ192" s="59">
        <f t="shared" si="150"/>
        <v>160.26466014910304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27.16993917368751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27.16993917368751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69.615620426838618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-1.7053025658242404E-13</v>
      </c>
      <c r="DP192" s="17">
        <f>DO192*VLOOKUP('Données projet'!$B$14,Paramètres!$A$1:$I$89,3,0)*VLOOKUP('Données projet'!$B$14,Paramètres!$A$1:$I$89,5,0)</f>
        <v>-1.3567387213697657E-13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309.14579005132464</v>
      </c>
      <c r="DU192" s="59">
        <f t="shared" si="152"/>
        <v>300.60311050289533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10.631825062172524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10.631825062172524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69.615620426838618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>
        <f>EJ192*VLOOKUP('Données projet'!$B$15,Paramètres!$A$1:$I$89,3,0)*VLOOKUP('Données projet'!$B$15,Paramètres!$A$1:$I$89,5,0)</f>
        <v>0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338.59243085476896</v>
      </c>
      <c r="EP192" s="59">
        <f t="shared" si="154"/>
        <v>329.8393445823275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9.8502372056646887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9.8502372056646887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69.615620426838618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>
        <f>FE192*VLOOKUP('Données projet'!$B$16,Paramètres!$A$1:$I$89,3,0)*VLOOKUP('Données projet'!$B$16,Paramètres!$A$1:$I$89,5,0)</f>
        <v>0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307.50573770128085</v>
      </c>
      <c r="FK192" s="59">
        <f t="shared" si="156"/>
        <v>300.2007312562655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8.8023396305939787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8.8023396305939787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69.615620426838618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>
        <f>FZ192*VLOOKUP('Données projet'!$B$17,Paramètres!$A$1:$I$89,3,0)*VLOOKUP('Données projet'!$B$17,Paramètres!$A$1:$I$89,5,0)</f>
        <v>0</v>
      </c>
      <c r="GB192" s="13" t="e">
        <f t="shared" si="185"/>
        <v>#NUM!</v>
      </c>
      <c r="GC192" s="20" t="e">
        <f t="shared" si="186"/>
        <v>#NUM!</v>
      </c>
      <c r="GD192" s="59" t="e">
        <f t="shared" si="134"/>
        <v>#NUM!</v>
      </c>
      <c r="GE192" s="59">
        <f ca="1">AVERAGE(OFFSET($GD$3,0,0,'Données projet'!$E$17+1,1))-AVERAGE(OFFSET($H$3,0,0,'Données projet'!$E$17+1,1))</f>
        <v>369.60865427618342</v>
      </c>
      <c r="GF192" s="59">
        <f t="shared" si="158"/>
        <v>359.40898775279197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10.898134780735401</v>
      </c>
      <c r="GM192" s="21">
        <f>EXP(-LN(2)/25)*GM191+(1-EXP(-LN(2)/25))/(LN(2)/25)*Calculateur!GH192*Calculateur!GJ192*VLOOKUP('Données projet'!$B$17,Paramètres!$A$1:$I$89,3,0)*0.475*44/12</f>
        <v>0</v>
      </c>
      <c r="GN192" s="21">
        <f>EXP(-LN(2)/2)*GN191+(1-EXP(-LN(2)/2))/(LN(2)/2)*GH192*GK192*VLOOKUP('Données projet'!$B$17,Paramètres!$A$1:$I$89,3,0)*0.475*44/12</f>
        <v>0</v>
      </c>
      <c r="GO192" s="21">
        <f t="shared" si="187"/>
        <v>10.898134780735401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69.615620426838618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-1.7053025658242404E-13</v>
      </c>
      <c r="GV192" s="17">
        <f>GU192*VLOOKUP('Données projet'!$B$18,Paramètres!$A$1:$I$89,3,0)*VLOOKUP('Données projet'!$B$18,Paramètres!$A$1:$I$89,5,0)</f>
        <v>-1.1173142411280423E-13</v>
      </c>
      <c r="GW192" s="13" t="e">
        <f t="shared" si="188"/>
        <v>#NUM!</v>
      </c>
      <c r="GX192" s="20" t="e">
        <f t="shared" si="189"/>
        <v>#NUM!</v>
      </c>
      <c r="GY192" s="59" t="e">
        <f t="shared" si="137"/>
        <v>#NUM!</v>
      </c>
      <c r="GZ192" s="59">
        <f ca="1">AVERAGE(OFFSET($GY$3,0,0,'Données projet'!$E$18+1,1))-AVERAGE(OFFSET($H$3,0,0,'Données projet'!$E$18+1,1))</f>
        <v>262.62914256200031</v>
      </c>
      <c r="HA192" s="59">
        <f t="shared" si="160"/>
        <v>256.45129229594409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projet'!$B$18,Paramètres!$A$1:$I$89,3,0)*0.475*44/12</f>
        <v>7.1036167452029551</v>
      </c>
      <c r="HH192" s="21">
        <f>EXP(-LN(2)/25)*HH191+(1-EXP(-LN(2)/25))/(LN(2)/25)*Calculateur!HC192*Calculateur!HE192*VLOOKUP('Données projet'!$B$18,Paramètres!$A$1:$I$89,3,0)*0.475*44/12</f>
        <v>0</v>
      </c>
      <c r="HI192" s="21">
        <f>EXP(-LN(2)/2)*HI191+(1-EXP(-LN(2)/2))/(LN(2)/2)*HC192*HF192*VLOOKUP('Données projet'!$B$18,Paramètres!$A$1:$I$89,3,0)*0.475*44/12</f>
        <v>0</v>
      </c>
      <c r="HJ192" s="22">
        <f t="shared" si="190"/>
        <v>7.1036167452029551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2.1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7.7</v>
      </c>
      <c r="H193" s="67">
        <f t="shared" si="110"/>
        <v>225.86666666666665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69.622288553088978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5.6843418860808015E-14</v>
      </c>
      <c r="O193" s="13">
        <f>N193*VLOOKUP('Données projet'!$B$9,Paramètres!$A$1:$I$89,3,0)*VLOOKUP('Données projet'!$B$9,Paramètres!$A$1:$I$89,5,0)</f>
        <v>4.8771653382573282E-14</v>
      </c>
      <c r="P193" s="13">
        <f t="shared" si="141"/>
        <v>7.9655698259503351E-13</v>
      </c>
      <c r="Q193" s="20">
        <f t="shared" si="162"/>
        <v>1.4722807076609983E-12</v>
      </c>
      <c r="R193" s="59">
        <f t="shared" si="109"/>
        <v>291.94839136132777</v>
      </c>
      <c r="S193" s="59">
        <f ca="1">AVERAGE(OFFSET($R$3,0,0,'Données projet'!$E$9+1,1))-AVERAGE(OFFSET($H$3,0,0,'Données projet'!$E$9+1,1))</f>
        <v>476.79071915271794</v>
      </c>
      <c r="T193" s="59">
        <f t="shared" si="142"/>
        <v>264.79929759351762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57.079626416381267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57.079626416381267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69.622288553088978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-9.5769792096689348E-14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365.104658862176</v>
      </c>
      <c r="AO193" s="59">
        <f t="shared" si="144"/>
        <v>226.29232910286325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32.468436057234541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32.468436057234541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69.622288553088978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-1.1368683772161603E-13</v>
      </c>
      <c r="BE193" s="13">
        <f>BD193*VLOOKUP('Données projet'!$B$11,Paramètres!$A$1:$I$89,3,0)*VLOOKUP('Données projet'!$B$11,Paramètres!$A$1:$I$89,5,0)</f>
        <v>-1.0286385077051818E-13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388.12494342575195</v>
      </c>
      <c r="BJ193" s="59">
        <f t="shared" si="146"/>
        <v>239.39471445648454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34.873505394807495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34.873505394807495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69.622288553088978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-1.1368683772161603E-13</v>
      </c>
      <c r="BZ193" s="13">
        <f>BY193*VLOOKUP('Données projet'!$B$12,Paramètres!$A$1:$I$89,3,0)*VLOOKUP('Données projet'!$B$12,Paramètres!$A$1:$I$89,5,0)</f>
        <v>-1.1527845344971866E-13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428.33148932885132</v>
      </c>
      <c r="CE193" s="59">
        <f t="shared" si="148"/>
        <v>262.27548054534373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39.082376735560075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39.082376735560075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69.622288553088978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-1.1368683772161603E-13</v>
      </c>
      <c r="CU193" s="17">
        <f>CT193*VLOOKUP('Données projet'!$B$13,Paramètres!$A$1:$I$89,3,0)*VLOOKUP('Données projet'!$B$13,Paramètres!$A$1:$I$89,5,0)</f>
        <v>-1.0818439477588981E-13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307.62549820830162</v>
      </c>
      <c r="CZ193" s="59">
        <f t="shared" si="150"/>
        <v>160.26466014910304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26.637153238518042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26.637153238518042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69.622288553088978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-1.7053025658242404E-13</v>
      </c>
      <c r="DP193" s="17">
        <f>DO193*VLOOKUP('Données projet'!$B$14,Paramètres!$A$1:$I$89,3,0)*VLOOKUP('Données projet'!$B$14,Paramètres!$A$1:$I$89,5,0)</f>
        <v>-1.3567387213697657E-13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309.14579005132464</v>
      </c>
      <c r="DU193" s="59">
        <f t="shared" si="152"/>
        <v>300.60311050289533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10.42334145747629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10.42334145747629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69.622288553088978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>
        <f>EJ193*VLOOKUP('Données projet'!$B$15,Paramètres!$A$1:$I$89,3,0)*VLOOKUP('Données projet'!$B$15,Paramètres!$A$1:$I$89,5,0)</f>
        <v>0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338.59243085476896</v>
      </c>
      <c r="EP193" s="59">
        <f t="shared" si="154"/>
        <v>329.8393445823275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9.657080062113053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9.657080062113053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69.622288553088978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>
        <f>FE193*VLOOKUP('Données projet'!$B$16,Paramètres!$A$1:$I$89,3,0)*VLOOKUP('Données projet'!$B$16,Paramètres!$A$1:$I$89,5,0)</f>
        <v>0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307.50573770128085</v>
      </c>
      <c r="FK193" s="59">
        <f t="shared" si="156"/>
        <v>300.2007312562655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8.6297311193350712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8.6297311193350712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69.622288553088978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>
        <f>FZ193*VLOOKUP('Données projet'!$B$17,Paramètres!$A$1:$I$89,3,0)*VLOOKUP('Données projet'!$B$17,Paramètres!$A$1:$I$89,5,0)</f>
        <v>0</v>
      </c>
      <c r="GB193" s="13" t="e">
        <f t="shared" si="185"/>
        <v>#NUM!</v>
      </c>
      <c r="GC193" s="20" t="e">
        <f t="shared" si="186"/>
        <v>#NUM!</v>
      </c>
      <c r="GD193" s="59" t="e">
        <f t="shared" si="134"/>
        <v>#NUM!</v>
      </c>
      <c r="GE193" s="59">
        <f ca="1">AVERAGE(OFFSET($GD$3,0,0,'Données projet'!$E$17+1,1))-AVERAGE(OFFSET($H$3,0,0,'Données projet'!$E$17+1,1))</f>
        <v>369.60865427618342</v>
      </c>
      <c r="GF193" s="59">
        <f t="shared" si="158"/>
        <v>359.40898775279197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10.684429004891038</v>
      </c>
      <c r="GM193" s="21">
        <f>EXP(-LN(2)/25)*GM192+(1-EXP(-LN(2)/25))/(LN(2)/25)*Calculateur!GH193*Calculateur!GJ193*VLOOKUP('Données projet'!$B$17,Paramètres!$A$1:$I$89,3,0)*0.475*44/12</f>
        <v>0</v>
      </c>
      <c r="GN193" s="21">
        <f>EXP(-LN(2)/2)*GN192+(1-EXP(-LN(2)/2))/(LN(2)/2)*GH193*GK193*VLOOKUP('Données projet'!$B$17,Paramètres!$A$1:$I$89,3,0)*0.475*44/12</f>
        <v>0</v>
      </c>
      <c r="GO193" s="21">
        <f t="shared" si="187"/>
        <v>10.684429004891038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69.622288553088978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-1.7053025658242404E-13</v>
      </c>
      <c r="GV193" s="17">
        <f>GU193*VLOOKUP('Données projet'!$B$18,Paramètres!$A$1:$I$89,3,0)*VLOOKUP('Données projet'!$B$18,Paramètres!$A$1:$I$89,5,0)</f>
        <v>-1.1173142411280423E-13</v>
      </c>
      <c r="GW193" s="13" t="e">
        <f t="shared" si="188"/>
        <v>#NUM!</v>
      </c>
      <c r="GX193" s="20" t="e">
        <f t="shared" si="189"/>
        <v>#NUM!</v>
      </c>
      <c r="GY193" s="59" t="e">
        <f t="shared" si="137"/>
        <v>#NUM!</v>
      </c>
      <c r="GZ193" s="59">
        <f ca="1">AVERAGE(OFFSET($GY$3,0,0,'Données projet'!$E$18+1,1))-AVERAGE(OFFSET($H$3,0,0,'Données projet'!$E$18+1,1))</f>
        <v>262.62914256200031</v>
      </c>
      <c r="HA193" s="59">
        <f t="shared" si="160"/>
        <v>256.45129229594409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projet'!$B$18,Paramètres!$A$1:$I$89,3,0)*0.475*44/12</f>
        <v>6.9643191536079136</v>
      </c>
      <c r="HH193" s="21">
        <f>EXP(-LN(2)/25)*HH192+(1-EXP(-LN(2)/25))/(LN(2)/25)*Calculateur!HC193*Calculateur!HE193*VLOOKUP('Données projet'!$B$18,Paramètres!$A$1:$I$89,3,0)*0.475*44/12</f>
        <v>0</v>
      </c>
      <c r="HI193" s="21">
        <f>EXP(-LN(2)/2)*HI192+(1-EXP(-LN(2)/2))/(LN(2)/2)*HC193*HF193*VLOOKUP('Données projet'!$B$18,Paramètres!$A$1:$I$89,3,0)*0.475*44/12</f>
        <v>0</v>
      </c>
      <c r="HJ193" s="22">
        <f t="shared" si="190"/>
        <v>6.9643191536079136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2.1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7.7</v>
      </c>
      <c r="H194" s="67">
        <f t="shared" si="110"/>
        <v>225.86666666666665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69.628841002256593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5.6843418860808015E-14</v>
      </c>
      <c r="O194" s="13">
        <f>N194*VLOOKUP('Données projet'!$B$9,Paramètres!$A$1:$I$89,3,0)*VLOOKUP('Données projet'!$B$9,Paramètres!$A$1:$I$89,5,0)</f>
        <v>4.8771653382573282E-14</v>
      </c>
      <c r="P194" s="13">
        <f t="shared" si="141"/>
        <v>7.9655698259503351E-13</v>
      </c>
      <c r="Q194" s="20">
        <f t="shared" si="162"/>
        <v>1.4722807076609983E-12</v>
      </c>
      <c r="R194" s="59">
        <f t="shared" si="109"/>
        <v>291.97241700827561</v>
      </c>
      <c r="S194" s="59">
        <f ca="1">AVERAGE(OFFSET($R$3,0,0,'Données projet'!$E$9+1,1))-AVERAGE(OFFSET($H$3,0,0,'Données projet'!$E$9+1,1))</f>
        <v>476.79071915271794</v>
      </c>
      <c r="T194" s="59">
        <f t="shared" si="142"/>
        <v>264.79929759351762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55.960329757490435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55.960329757490435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69.628841002256593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-9.5769792096689348E-14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365.104658862176</v>
      </c>
      <c r="AO194" s="59">
        <f t="shared" si="144"/>
        <v>226.29232910286325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31.831749829942705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31.831749829942705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69.628841002256593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-1.1368683772161603E-13</v>
      </c>
      <c r="BE194" s="13">
        <f>BD194*VLOOKUP('Données projet'!$B$11,Paramètres!$A$1:$I$89,3,0)*VLOOKUP('Données projet'!$B$11,Paramètres!$A$1:$I$89,5,0)</f>
        <v>-1.0286385077051818E-13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388.12494342575195</v>
      </c>
      <c r="BJ194" s="59">
        <f t="shared" si="146"/>
        <v>239.39471445648454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34.189657224753297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34.189657224753297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69.628841002256593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-1.1368683772161603E-13</v>
      </c>
      <c r="BZ194" s="13">
        <f>BY194*VLOOKUP('Données projet'!$B$12,Paramètres!$A$1:$I$89,3,0)*VLOOKUP('Données projet'!$B$12,Paramètres!$A$1:$I$89,5,0)</f>
        <v>-1.1527845344971866E-13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428.33148932885132</v>
      </c>
      <c r="CE194" s="59">
        <f t="shared" si="148"/>
        <v>262.27548054534373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38.315995165671751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38.315995165671751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69.628841002256593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-1.1368683772161603E-13</v>
      </c>
      <c r="CU194" s="17">
        <f>CT194*VLOOKUP('Données projet'!$B$13,Paramètres!$A$1:$I$89,3,0)*VLOOKUP('Données projet'!$B$13,Paramètres!$A$1:$I$89,5,0)</f>
        <v>-1.0818439477588981E-13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307.62549820830162</v>
      </c>
      <c r="CZ194" s="59">
        <f t="shared" si="150"/>
        <v>160.26466014910304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26.114814910569915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26.114814910569915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69.628841002256593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-1.7053025658242404E-13</v>
      </c>
      <c r="DP194" s="17">
        <f>DO194*VLOOKUP('Données projet'!$B$14,Paramètres!$A$1:$I$89,3,0)*VLOOKUP('Données projet'!$B$14,Paramètres!$A$1:$I$89,5,0)</f>
        <v>-1.3567387213697657E-13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309.14579005132464</v>
      </c>
      <c r="DU194" s="59">
        <f t="shared" si="152"/>
        <v>300.60311050289533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10.218946089105707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10.218946089105707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69.628841002256593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>
        <f>EJ194*VLOOKUP('Données projet'!$B$15,Paramètres!$A$1:$I$89,3,0)*VLOOKUP('Données projet'!$B$15,Paramètres!$A$1:$I$89,5,0)</f>
        <v>0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338.59243085476896</v>
      </c>
      <c r="EP194" s="59">
        <f t="shared" si="154"/>
        <v>329.8393445823275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9.4677106123322421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9.4677106123322421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69.628841002256593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>
        <f>FE194*VLOOKUP('Données projet'!$B$16,Paramètres!$A$1:$I$89,3,0)*VLOOKUP('Données projet'!$B$16,Paramètres!$A$1:$I$89,5,0)</f>
        <v>0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307.50573770128085</v>
      </c>
      <c r="FK194" s="59">
        <f t="shared" si="156"/>
        <v>300.2007312562655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8.4605073557011536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8.4605073557011536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69.628841002256593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>
        <f>FZ194*VLOOKUP('Données projet'!$B$17,Paramètres!$A$1:$I$89,3,0)*VLOOKUP('Données projet'!$B$17,Paramètres!$A$1:$I$89,5,0)</f>
        <v>0</v>
      </c>
      <c r="GB194" s="13" t="e">
        <f t="shared" si="185"/>
        <v>#NUM!</v>
      </c>
      <c r="GC194" s="20" t="e">
        <f t="shared" si="186"/>
        <v>#NUM!</v>
      </c>
      <c r="GD194" s="59" t="e">
        <f t="shared" si="134"/>
        <v>#NUM!</v>
      </c>
      <c r="GE194" s="59">
        <f ca="1">AVERAGE(OFFSET($GD$3,0,0,'Données projet'!$E$17+1,1))-AVERAGE(OFFSET($H$3,0,0,'Données projet'!$E$17+1,1))</f>
        <v>369.60865427618342</v>
      </c>
      <c r="GF194" s="59">
        <f t="shared" si="158"/>
        <v>359.40898775279197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10.474913868963332</v>
      </c>
      <c r="GM194" s="21">
        <f>EXP(-LN(2)/25)*GM193+(1-EXP(-LN(2)/25))/(LN(2)/25)*Calculateur!GH194*Calculateur!GJ194*VLOOKUP('Données projet'!$B$17,Paramètres!$A$1:$I$89,3,0)*0.475*44/12</f>
        <v>0</v>
      </c>
      <c r="GN194" s="21">
        <f>EXP(-LN(2)/2)*GN193+(1-EXP(-LN(2)/2))/(LN(2)/2)*GH194*GK194*VLOOKUP('Données projet'!$B$17,Paramètres!$A$1:$I$89,3,0)*0.475*44/12</f>
        <v>0</v>
      </c>
      <c r="GO194" s="21">
        <f t="shared" si="187"/>
        <v>10.474913868963332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69.628841002256593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-1.7053025658242404E-13</v>
      </c>
      <c r="GV194" s="17">
        <f>GU194*VLOOKUP('Données projet'!$B$18,Paramètres!$A$1:$I$89,3,0)*VLOOKUP('Données projet'!$B$18,Paramètres!$A$1:$I$89,5,0)</f>
        <v>-1.1173142411280423E-13</v>
      </c>
      <c r="GW194" s="13" t="e">
        <f t="shared" si="188"/>
        <v>#NUM!</v>
      </c>
      <c r="GX194" s="20" t="e">
        <f t="shared" si="189"/>
        <v>#NUM!</v>
      </c>
      <c r="GY194" s="59" t="e">
        <f t="shared" si="137"/>
        <v>#NUM!</v>
      </c>
      <c r="GZ194" s="59">
        <f ca="1">AVERAGE(OFFSET($GY$3,0,0,'Données projet'!$E$18+1,1))-AVERAGE(OFFSET($H$3,0,0,'Données projet'!$E$18+1,1))</f>
        <v>262.62914256200031</v>
      </c>
      <c r="HA194" s="59">
        <f t="shared" si="160"/>
        <v>256.45129229594409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projet'!$B$18,Paramètres!$A$1:$I$89,3,0)*0.475*44/12</f>
        <v>6.8277531028209095</v>
      </c>
      <c r="HH194" s="21">
        <f>EXP(-LN(2)/25)*HH193+(1-EXP(-LN(2)/25))/(LN(2)/25)*Calculateur!HC194*Calculateur!HE194*VLOOKUP('Données projet'!$B$18,Paramètres!$A$1:$I$89,3,0)*0.475*44/12</f>
        <v>0</v>
      </c>
      <c r="HI194" s="21">
        <f>EXP(-LN(2)/2)*HI193+(1-EXP(-LN(2)/2))/(LN(2)/2)*HC194*HF194*VLOOKUP('Données projet'!$B$18,Paramètres!$A$1:$I$89,3,0)*0.475*44/12</f>
        <v>0</v>
      </c>
      <c r="HJ194" s="22">
        <f t="shared" si="190"/>
        <v>6.8277531028209095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2.1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7.7</v>
      </c>
      <c r="H195" s="67">
        <f t="shared" si="110"/>
        <v>225.86666666666665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69.635279781080243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5.6843418860808015E-14</v>
      </c>
      <c r="O195" s="13">
        <f>N195*VLOOKUP('Données projet'!$B$9,Paramètres!$A$1:$I$89,3,0)*VLOOKUP('Données projet'!$B$9,Paramètres!$A$1:$I$89,5,0)</f>
        <v>4.8771653382573282E-14</v>
      </c>
      <c r="P195" s="13">
        <f t="shared" si="141"/>
        <v>7.9655698259503351E-13</v>
      </c>
      <c r="Q195" s="20">
        <f t="shared" si="162"/>
        <v>1.4722807076609983E-12</v>
      </c>
      <c r="R195" s="59">
        <f t="shared" ref="R195:R203" si="191">Q195+(I195+J195)*44/12</f>
        <v>291.99602586396236</v>
      </c>
      <c r="S195" s="59">
        <f ca="1">AVERAGE(OFFSET($R$3,0,0,'Données projet'!$E$9+1,1))-AVERAGE(OFFSET($H$3,0,0,'Données projet'!$E$9+1,1))</f>
        <v>476.79071915271794</v>
      </c>
      <c r="T195" s="59">
        <f t="shared" si="142"/>
        <v>264.79929759351762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54.862981823376899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54.862981823376899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69.635279781080243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-9.5769792096689348E-14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365.104658862176</v>
      </c>
      <c r="AO195" s="59">
        <f t="shared" si="144"/>
        <v>226.29232910286325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31.207548631227809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31.207548631227809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69.635279781080243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-1.1368683772161603E-13</v>
      </c>
      <c r="BE195" s="13">
        <f>BD195*VLOOKUP('Données projet'!$B$11,Paramètres!$A$1:$I$89,3,0)*VLOOKUP('Données projet'!$B$11,Paramètres!$A$1:$I$89,5,0)</f>
        <v>-1.0286385077051818E-13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388.12494342575195</v>
      </c>
      <c r="BJ195" s="59">
        <f t="shared" si="146"/>
        <v>239.39471445648454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33.519218900207669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33.519218900207669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69.635279781080243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-1.1368683772161603E-13</v>
      </c>
      <c r="BZ195" s="13">
        <f>BY195*VLOOKUP('Données projet'!$B$12,Paramètres!$A$1:$I$89,3,0)*VLOOKUP('Données projet'!$B$12,Paramètres!$A$1:$I$89,5,0)</f>
        <v>-1.1527845344971866E-13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428.33148932885132</v>
      </c>
      <c r="CE195" s="59">
        <f t="shared" si="148"/>
        <v>262.27548054534373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37.564641870922337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37.564641870922337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69.635279781080243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-1.1368683772161603E-13</v>
      </c>
      <c r="CU195" s="17">
        <f>CT195*VLOOKUP('Données projet'!$B$13,Paramètres!$A$1:$I$89,3,0)*VLOOKUP('Données projet'!$B$13,Paramètres!$A$1:$I$89,5,0)</f>
        <v>-1.0818439477588981E-13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307.62549820830162</v>
      </c>
      <c r="CZ195" s="59">
        <f t="shared" si="150"/>
        <v>160.26466014910304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25.602719318637931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25.602719318637931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69.635279781080243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-1.7053025658242404E-13</v>
      </c>
      <c r="DP195" s="17">
        <f>DO195*VLOOKUP('Données projet'!$B$14,Paramètres!$A$1:$I$89,3,0)*VLOOKUP('Données projet'!$B$14,Paramètres!$A$1:$I$89,5,0)</f>
        <v>-1.3567387213697657E-13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309.14579005132464</v>
      </c>
      <c r="DU195" s="59">
        <f t="shared" si="152"/>
        <v>300.60311050289533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10.018558789240005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10.018558789240005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69.635279781080243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>
        <f>EJ195*VLOOKUP('Données projet'!$B$15,Paramètres!$A$1:$I$89,3,0)*VLOOKUP('Données projet'!$B$15,Paramètres!$A$1:$I$89,5,0)</f>
        <v>0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338.59243085476896</v>
      </c>
      <c r="EP195" s="59">
        <f t="shared" si="154"/>
        <v>329.8393445823275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9.2820545819576736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9.2820545819576736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69.635279781080243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>
        <f>FE195*VLOOKUP('Données projet'!$B$16,Paramètres!$A$1:$I$89,3,0)*VLOOKUP('Données projet'!$B$16,Paramètres!$A$1:$I$89,5,0)</f>
        <v>0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307.50573770128085</v>
      </c>
      <c r="FK195" s="59">
        <f t="shared" si="156"/>
        <v>300.2007312562655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8.2946019668557938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8.2946019668557938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69.635279781080243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>
        <f>FZ195*VLOOKUP('Données projet'!$B$17,Paramètres!$A$1:$I$89,3,0)*VLOOKUP('Données projet'!$B$17,Paramètres!$A$1:$I$89,5,0)</f>
        <v>0</v>
      </c>
      <c r="GB195" s="13" t="e">
        <f t="shared" si="185"/>
        <v>#NUM!</v>
      </c>
      <c r="GC195" s="20" t="e">
        <f t="shared" si="186"/>
        <v>#NUM!</v>
      </c>
      <c r="GD195" s="59" t="e">
        <f t="shared" si="134"/>
        <v>#NUM!</v>
      </c>
      <c r="GE195" s="59">
        <f ca="1">AVERAGE(OFFSET($GD$3,0,0,'Données projet'!$E$17+1,1))-AVERAGE(OFFSET($H$3,0,0,'Données projet'!$E$17+1,1))</f>
        <v>369.60865427618342</v>
      </c>
      <c r="GF195" s="59">
        <f t="shared" si="158"/>
        <v>359.40898775279197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10.269507197059554</v>
      </c>
      <c r="GM195" s="21">
        <f>EXP(-LN(2)/25)*GM194+(1-EXP(-LN(2)/25))/(LN(2)/25)*Calculateur!GH195*Calculateur!GJ195*VLOOKUP('Données projet'!$B$17,Paramètres!$A$1:$I$89,3,0)*0.475*44/12</f>
        <v>0</v>
      </c>
      <c r="GN195" s="21">
        <f>EXP(-LN(2)/2)*GN194+(1-EXP(-LN(2)/2))/(LN(2)/2)*GH195*GK195*VLOOKUP('Données projet'!$B$17,Paramètres!$A$1:$I$89,3,0)*0.475*44/12</f>
        <v>0</v>
      </c>
      <c r="GO195" s="21">
        <f t="shared" si="187"/>
        <v>10.269507197059554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69.635279781080243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-1.7053025658242404E-13</v>
      </c>
      <c r="GV195" s="17">
        <f>GU195*VLOOKUP('Données projet'!$B$18,Paramètres!$A$1:$I$89,3,0)*VLOOKUP('Données projet'!$B$18,Paramètres!$A$1:$I$89,5,0)</f>
        <v>-1.1173142411280423E-13</v>
      </c>
      <c r="GW195" s="13" t="e">
        <f t="shared" si="188"/>
        <v>#NUM!</v>
      </c>
      <c r="GX195" s="20" t="e">
        <f t="shared" si="189"/>
        <v>#NUM!</v>
      </c>
      <c r="GY195" s="59" t="e">
        <f t="shared" si="137"/>
        <v>#NUM!</v>
      </c>
      <c r="GZ195" s="59">
        <f ca="1">AVERAGE(OFFSET($GY$3,0,0,'Données projet'!$E$18+1,1))-AVERAGE(OFFSET($H$3,0,0,'Données projet'!$E$18+1,1))</f>
        <v>262.62914256200031</v>
      </c>
      <c r="HA195" s="59">
        <f t="shared" si="160"/>
        <v>256.45129229594409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projet'!$B$18,Paramètres!$A$1:$I$89,3,0)*0.475*44/12</f>
        <v>6.6938650289927724</v>
      </c>
      <c r="HH195" s="21">
        <f>EXP(-LN(2)/25)*HH194+(1-EXP(-LN(2)/25))/(LN(2)/25)*Calculateur!HC195*Calculateur!HE195*VLOOKUP('Données projet'!$B$18,Paramètres!$A$1:$I$89,3,0)*0.475*44/12</f>
        <v>0</v>
      </c>
      <c r="HI195" s="21">
        <f>EXP(-LN(2)/2)*HI194+(1-EXP(-LN(2)/2))/(LN(2)/2)*HC195*HF195*VLOOKUP('Données projet'!$B$18,Paramètres!$A$1:$I$89,3,0)*0.475*44/12</f>
        <v>0</v>
      </c>
      <c r="HJ195" s="22">
        <f t="shared" si="190"/>
        <v>6.6938650289927724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2.1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7.7</v>
      </c>
      <c r="H196" s="67">
        <f t="shared" ref="H196:H203" si="192">(B196+E196+F196)*44/12+(C196+D196)*0.475*44/12</f>
        <v>225.86666666666665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69.641606861486238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5.6843418860808015E-14</v>
      </c>
      <c r="O196" s="13">
        <f>N196*VLOOKUP('Données projet'!$B$9,Paramètres!$A$1:$I$89,3,0)*VLOOKUP('Données projet'!$B$9,Paramètres!$A$1:$I$89,5,0)</f>
        <v>4.8771653382573282E-14</v>
      </c>
      <c r="P196" s="13">
        <f t="shared" si="141"/>
        <v>7.9655698259503351E-13</v>
      </c>
      <c r="Q196" s="20">
        <f t="shared" si="162"/>
        <v>1.4722807076609983E-12</v>
      </c>
      <c r="R196" s="59">
        <f t="shared" si="191"/>
        <v>292.01922515878437</v>
      </c>
      <c r="S196" s="59">
        <f ca="1">AVERAGE(OFFSET($R$3,0,0,'Données projet'!$E$9+1,1))-AVERAGE(OFFSET($H$3,0,0,'Données projet'!$E$9+1,1))</f>
        <v>476.79071915271794</v>
      </c>
      <c r="T196" s="59">
        <f t="shared" si="142"/>
        <v>264.79929759351762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53.787152212935183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53.787152212935183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69.641606861486238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-9.5769792096689348E-14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365.104658862176</v>
      </c>
      <c r="AO196" s="59">
        <f t="shared" si="144"/>
        <v>226.29232910286325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30.595587637294575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30.595587637294575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69.641606861486238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-1.1368683772161603E-13</v>
      </c>
      <c r="BE196" s="13">
        <f>BD196*VLOOKUP('Données projet'!$B$11,Paramètres!$A$1:$I$89,3,0)*VLOOKUP('Données projet'!$B$11,Paramètres!$A$1:$I$89,5,0)</f>
        <v>-1.0286385077051818E-13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388.12494342575195</v>
      </c>
      <c r="BJ196" s="59">
        <f t="shared" si="146"/>
        <v>239.39471445648454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32.861927462279375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32.861927462279375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69.641606861486238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-1.1368683772161603E-13</v>
      </c>
      <c r="BZ196" s="13">
        <f>BY196*VLOOKUP('Données projet'!$B$12,Paramètres!$A$1:$I$89,3,0)*VLOOKUP('Données projet'!$B$12,Paramètres!$A$1:$I$89,5,0)</f>
        <v>-1.1527845344971866E-13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428.33148932885132</v>
      </c>
      <c r="CE196" s="59">
        <f t="shared" si="148"/>
        <v>262.27548054534373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36.828022156002703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36.828022156002703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69.641606861486238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-1.1368683772161603E-13</v>
      </c>
      <c r="CU196" s="17">
        <f>CT196*VLOOKUP('Données projet'!$B$13,Paramètres!$A$1:$I$89,3,0)*VLOOKUP('Données projet'!$B$13,Paramètres!$A$1:$I$89,5,0)</f>
        <v>-1.0818439477588981E-13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307.62549820830162</v>
      </c>
      <c r="CZ196" s="59">
        <f t="shared" si="150"/>
        <v>160.26466014910304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25.100665608916263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25.100665608916263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69.641606861486238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-1.7053025658242404E-13</v>
      </c>
      <c r="DP196" s="17">
        <f>DO196*VLOOKUP('Données projet'!$B$14,Paramètres!$A$1:$I$89,3,0)*VLOOKUP('Données projet'!$B$14,Paramètres!$A$1:$I$89,5,0)</f>
        <v>-1.3567387213697657E-13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309.14579005132464</v>
      </c>
      <c r="DU196" s="59">
        <f t="shared" si="152"/>
        <v>300.60311050289533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9.8221009621004871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9.8221009621004871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69.641606861486238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>
        <f>EJ196*VLOOKUP('Données projet'!$B$15,Paramètres!$A$1:$I$89,3,0)*VLOOKUP('Données projet'!$B$15,Paramètres!$A$1:$I$89,5,0)</f>
        <v>0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338.59243085476896</v>
      </c>
      <c r="EP196" s="59">
        <f t="shared" si="154"/>
        <v>329.8393445823275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9.1000391530997522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9.1000391530997522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69.641606861486238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>
        <f>FE196*VLOOKUP('Données projet'!$B$16,Paramètres!$A$1:$I$89,3,0)*VLOOKUP('Données projet'!$B$16,Paramètres!$A$1:$I$89,5,0)</f>
        <v>0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307.50573770128085</v>
      </c>
      <c r="FK196" s="59">
        <f t="shared" si="156"/>
        <v>300.2007312562655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8.1319498814933961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8.1319498814933961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69.641606861486238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>
        <f>FZ196*VLOOKUP('Données projet'!$B$17,Paramètres!$A$1:$I$89,3,0)*VLOOKUP('Données projet'!$B$17,Paramètres!$A$1:$I$89,5,0)</f>
        <v>0</v>
      </c>
      <c r="GB196" s="13" t="e">
        <f t="shared" si="185"/>
        <v>#NUM!</v>
      </c>
      <c r="GC196" s="20" t="e">
        <f t="shared" si="186"/>
        <v>#NUM!</v>
      </c>
      <c r="GD196" s="59" t="e">
        <f t="shared" ref="GD196:GD203" si="200">GC196+(FU196+FV196)*44/12</f>
        <v>#NUM!</v>
      </c>
      <c r="GE196" s="59">
        <f ca="1">AVERAGE(OFFSET($GD$3,0,0,'Données projet'!$E$17+1,1))-AVERAGE(OFFSET($H$3,0,0,'Données projet'!$E$17+1,1))</f>
        <v>369.60865427618342</v>
      </c>
      <c r="GF196" s="59">
        <f t="shared" si="158"/>
        <v>359.40898775279197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10.068128424706108</v>
      </c>
      <c r="GM196" s="21">
        <f>EXP(-LN(2)/25)*GM195+(1-EXP(-LN(2)/25))/(LN(2)/25)*Calculateur!GH196*Calculateur!GJ196*VLOOKUP('Données projet'!$B$17,Paramètres!$A$1:$I$89,3,0)*0.475*44/12</f>
        <v>0</v>
      </c>
      <c r="GN196" s="21">
        <f>EXP(-LN(2)/2)*GN195+(1-EXP(-LN(2)/2))/(LN(2)/2)*GH196*GK196*VLOOKUP('Données projet'!$B$17,Paramètres!$A$1:$I$89,3,0)*0.475*44/12</f>
        <v>0</v>
      </c>
      <c r="GO196" s="21">
        <f t="shared" si="187"/>
        <v>10.068128424706108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69.641606861486238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-1.7053025658242404E-13</v>
      </c>
      <c r="GV196" s="17">
        <f>GU196*VLOOKUP('Données projet'!$B$18,Paramètres!$A$1:$I$89,3,0)*VLOOKUP('Données projet'!$B$18,Paramètres!$A$1:$I$89,5,0)</f>
        <v>-1.1173142411280423E-13</v>
      </c>
      <c r="GW196" s="13" t="e">
        <f t="shared" si="188"/>
        <v>#NUM!</v>
      </c>
      <c r="GX196" s="20" t="e">
        <f t="shared" si="189"/>
        <v>#NUM!</v>
      </c>
      <c r="GY196" s="59" t="e">
        <f t="shared" ref="GY196:GY203" si="201">GX196+(GP196+GQ196)*44/12</f>
        <v>#NUM!</v>
      </c>
      <c r="GZ196" s="59">
        <f ca="1">AVERAGE(OFFSET($GY$3,0,0,'Données projet'!$E$18+1,1))-AVERAGE(OFFSET($H$3,0,0,'Données projet'!$E$18+1,1))</f>
        <v>262.62914256200031</v>
      </c>
      <c r="HA196" s="59">
        <f t="shared" si="160"/>
        <v>256.45129229594409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projet'!$B$18,Paramètres!$A$1:$I$89,3,0)*0.475*44/12</f>
        <v>6.5626024186287433</v>
      </c>
      <c r="HH196" s="21">
        <f>EXP(-LN(2)/25)*HH195+(1-EXP(-LN(2)/25))/(LN(2)/25)*Calculateur!HC196*Calculateur!HE196*VLOOKUP('Données projet'!$B$18,Paramètres!$A$1:$I$89,3,0)*0.475*44/12</f>
        <v>0</v>
      </c>
      <c r="HI196" s="21">
        <f>EXP(-LN(2)/2)*HI195+(1-EXP(-LN(2)/2))/(LN(2)/2)*HC196*HF196*VLOOKUP('Données projet'!$B$18,Paramètres!$A$1:$I$89,3,0)*0.475*44/12</f>
        <v>0</v>
      </c>
      <c r="HJ196" s="22">
        <f t="shared" si="190"/>
        <v>6.5626024186287433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2.1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7.7</v>
      </c>
      <c r="H197" s="67">
        <f t="shared" si="192"/>
        <v>225.86666666666665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69.647824181192433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5.6843418860808015E-14</v>
      </c>
      <c r="O197" s="13">
        <f>N197*VLOOKUP('Données projet'!$B$9,Paramètres!$A$1:$I$89,3,0)*VLOOKUP('Données projet'!$B$9,Paramètres!$A$1:$I$89,5,0)</f>
        <v>4.8771653382573282E-14</v>
      </c>
      <c r="P197" s="13">
        <f t="shared" ref="P197:P203" si="203">EXP(-1.0587+0.8836*LN(O197)+0.284)</f>
        <v>7.9655698259503351E-13</v>
      </c>
      <c r="Q197" s="20">
        <f t="shared" si="162"/>
        <v>1.4722807076609983E-12</v>
      </c>
      <c r="R197" s="59">
        <f t="shared" si="191"/>
        <v>292.04202199770708</v>
      </c>
      <c r="S197" s="59">
        <f ca="1">AVERAGE(OFFSET($R$3,0,0,'Données projet'!$E$9+1,1))-AVERAGE(OFFSET($H$3,0,0,'Données projet'!$E$9+1,1))</f>
        <v>476.79071915271794</v>
      </c>
      <c r="T197" s="59">
        <f t="shared" ref="T197:T203" si="204">$T$3</f>
        <v>264.79929759351762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52.73241896496296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52.73241896496296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69.647824181192433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-9.5769792096689348E-14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365.104658862176</v>
      </c>
      <c r="AO197" s="59">
        <f t="shared" ref="AO197:AO203" si="205">$AO$3</f>
        <v>226.29232910286325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29.995626825193021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29.995626825193021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69.647824181192433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-1.1368683772161603E-13</v>
      </c>
      <c r="BE197" s="13">
        <f>BD197*VLOOKUP('Données projet'!$B$11,Paramètres!$A$1:$I$89,3,0)*VLOOKUP('Données projet'!$B$11,Paramètres!$A$1:$I$89,5,0)</f>
        <v>-1.0286385077051818E-13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388.12494342575195</v>
      </c>
      <c r="BJ197" s="59">
        <f t="shared" ref="BJ197:BJ203" si="206">$BJ$3</f>
        <v>239.39471445648454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32.21752510854067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32.21752510854067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69.647824181192433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-1.1368683772161603E-13</v>
      </c>
      <c r="BZ197" s="13">
        <f>BY197*VLOOKUP('Données projet'!$B$12,Paramètres!$A$1:$I$89,3,0)*VLOOKUP('Données projet'!$B$12,Paramètres!$A$1:$I$89,5,0)</f>
        <v>-1.1527845344971866E-13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428.33148932885132</v>
      </c>
      <c r="CE197" s="59">
        <f t="shared" ref="CE197:CE203" si="207">$CE$3</f>
        <v>262.27548054534373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36.105847104398983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36.105847104398983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69.647824181192433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-1.1368683772161603E-13</v>
      </c>
      <c r="CU197" s="17">
        <f>CT197*VLOOKUP('Données projet'!$B$13,Paramètres!$A$1:$I$89,3,0)*VLOOKUP('Données projet'!$B$13,Paramètres!$A$1:$I$89,5,0)</f>
        <v>-1.0818439477588981E-13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307.62549820830162</v>
      </c>
      <c r="CZ197" s="59">
        <f t="shared" ref="CZ197:CZ203" si="208">$CZ$3</f>
        <v>160.26466014910304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24.608456866219708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24.608456866219708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69.647824181192433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-1.7053025658242404E-13</v>
      </c>
      <c r="DP197" s="17">
        <f>DO197*VLOOKUP('Données projet'!$B$14,Paramètres!$A$1:$I$89,3,0)*VLOOKUP('Données projet'!$B$14,Paramètres!$A$1:$I$89,5,0)</f>
        <v>-1.3567387213697657E-13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309.14579005132464</v>
      </c>
      <c r="DU197" s="59">
        <f t="shared" ref="DU197:DU203" si="209">$DU$3</f>
        <v>300.60311050289533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9.6294955531237321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9.6294955531237321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69.647824181192433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>
        <f>EJ197*VLOOKUP('Données projet'!$B$15,Paramètres!$A$1:$I$89,3,0)*VLOOKUP('Données projet'!$B$15,Paramètres!$A$1:$I$89,5,0)</f>
        <v>0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338.59243085476896</v>
      </c>
      <c r="EP197" s="59">
        <f t="shared" ref="EP197:EP203" si="210">$EP$3</f>
        <v>329.8393445823275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8.9215929357832859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8.9215929357832859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69.647824181192433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>
        <f>FE197*VLOOKUP('Données projet'!$B$16,Paramètres!$A$1:$I$89,3,0)*VLOOKUP('Données projet'!$B$16,Paramètres!$A$1:$I$89,5,0)</f>
        <v>0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307.50573770128085</v>
      </c>
      <c r="FK197" s="59">
        <f t="shared" ref="FK197:FK203" si="211">$FK$3</f>
        <v>300.2007312562655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7.9724873043169788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7.9724873043169788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69.647824181192433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>
        <f>FZ197*VLOOKUP('Données projet'!$B$17,Paramètres!$A$1:$I$89,3,0)*VLOOKUP('Données projet'!$B$17,Paramètres!$A$1:$I$89,5,0)</f>
        <v>0</v>
      </c>
      <c r="GB197" s="13" t="e">
        <f t="shared" si="185"/>
        <v>#NUM!</v>
      </c>
      <c r="GC197" s="20" t="e">
        <f t="shared" si="186"/>
        <v>#NUM!</v>
      </c>
      <c r="GD197" s="59" t="e">
        <f t="shared" si="200"/>
        <v>#NUM!</v>
      </c>
      <c r="GE197" s="59">
        <f ca="1">AVERAGE(OFFSET($GD$3,0,0,'Données projet'!$E$17+1,1))-AVERAGE(OFFSET($H$3,0,0,'Données projet'!$E$17+1,1))</f>
        <v>369.60865427618342</v>
      </c>
      <c r="GF197" s="59">
        <f t="shared" ref="GF197:GF203" si="212">$GF$3</f>
        <v>359.40898775279197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9.8706985672495922</v>
      </c>
      <c r="GM197" s="21">
        <f>EXP(-LN(2)/25)*GM196+(1-EXP(-LN(2)/25))/(LN(2)/25)*Calculateur!GH197*Calculateur!GJ197*VLOOKUP('Données projet'!$B$17,Paramètres!$A$1:$I$89,3,0)*0.475*44/12</f>
        <v>0</v>
      </c>
      <c r="GN197" s="21">
        <f>EXP(-LN(2)/2)*GN196+(1-EXP(-LN(2)/2))/(LN(2)/2)*GH197*GK197*VLOOKUP('Données projet'!$B$17,Paramètres!$A$1:$I$89,3,0)*0.475*44/12</f>
        <v>0</v>
      </c>
      <c r="GO197" s="21">
        <f t="shared" si="187"/>
        <v>9.8706985672495922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69.647824181192433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-1.7053025658242404E-13</v>
      </c>
      <c r="GV197" s="17">
        <f>GU197*VLOOKUP('Données projet'!$B$18,Paramètres!$A$1:$I$89,3,0)*VLOOKUP('Données projet'!$B$18,Paramètres!$A$1:$I$89,5,0)</f>
        <v>-1.1173142411280423E-13</v>
      </c>
      <c r="GW197" s="13" t="e">
        <f t="shared" si="188"/>
        <v>#NUM!</v>
      </c>
      <c r="GX197" s="20" t="e">
        <f t="shared" si="189"/>
        <v>#NUM!</v>
      </c>
      <c r="GY197" s="59" t="e">
        <f t="shared" si="201"/>
        <v>#NUM!</v>
      </c>
      <c r="GZ197" s="59">
        <f ca="1">AVERAGE(OFFSET($GY$3,0,0,'Données projet'!$E$18+1,1))-AVERAGE(OFFSET($H$3,0,0,'Données projet'!$E$18+1,1))</f>
        <v>262.62914256200031</v>
      </c>
      <c r="HA197" s="59">
        <f t="shared" ref="HA197:HA203" si="213">$HA$3</f>
        <v>256.45129229594409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projet'!$B$18,Paramètres!$A$1:$I$89,3,0)*0.475*44/12</f>
        <v>6.4339137879916661</v>
      </c>
      <c r="HH197" s="21">
        <f>EXP(-LN(2)/25)*HH196+(1-EXP(-LN(2)/25))/(LN(2)/25)*Calculateur!HC197*Calculateur!HE197*VLOOKUP('Données projet'!$B$18,Paramètres!$A$1:$I$89,3,0)*0.475*44/12</f>
        <v>0</v>
      </c>
      <c r="HI197" s="21">
        <f>EXP(-LN(2)/2)*HI196+(1-EXP(-LN(2)/2))/(LN(2)/2)*HC197*HF197*VLOOKUP('Données projet'!$B$18,Paramètres!$A$1:$I$89,3,0)*0.475*44/12</f>
        <v>0</v>
      </c>
      <c r="HJ197" s="22">
        <f t="shared" si="190"/>
        <v>6.4339137879916661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2.1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7.7</v>
      </c>
      <c r="H198" s="67">
        <f t="shared" si="192"/>
        <v>225.86666666666665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69.65393364430156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5.6843418860808015E-14</v>
      </c>
      <c r="O198" s="13">
        <f>N198*VLOOKUP('Données projet'!$B$9,Paramètres!$A$1:$I$89,3,0)*VLOOKUP('Données projet'!$B$9,Paramètres!$A$1:$I$89,5,0)</f>
        <v>4.8771653382573282E-14</v>
      </c>
      <c r="P198" s="13">
        <f t="shared" si="203"/>
        <v>7.9655698259503351E-13</v>
      </c>
      <c r="Q198" s="20">
        <f t="shared" si="162"/>
        <v>1.4722807076609983E-12</v>
      </c>
      <c r="R198" s="59">
        <f t="shared" si="191"/>
        <v>292.06442336244055</v>
      </c>
      <c r="S198" s="59">
        <f ca="1">AVERAGE(OFFSET($R$3,0,0,'Données projet'!$E$9+1,1))-AVERAGE(OFFSET($H$3,0,0,'Données projet'!$E$9+1,1))</f>
        <v>476.79071915271794</v>
      </c>
      <c r="T198" s="59">
        <f t="shared" si="204"/>
        <v>264.79929759351762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51.698368392659717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51.698368392659717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69.65393364430156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-9.5769792096689348E-14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365.104658862176</v>
      </c>
      <c r="AO198" s="59">
        <f t="shared" si="205"/>
        <v>226.29232910286325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29.407430878676816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29.407430878676816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69.65393364430156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-1.1368683772161603E-13</v>
      </c>
      <c r="BE198" s="13">
        <f>BD198*VLOOKUP('Données projet'!$B$11,Paramètres!$A$1:$I$89,3,0)*VLOOKUP('Données projet'!$B$11,Paramètres!$A$1:$I$89,5,0)</f>
        <v>-1.0286385077051818E-13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388.12494342575195</v>
      </c>
      <c r="BJ198" s="59">
        <f t="shared" si="206"/>
        <v>239.39471445648454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31.585759091912152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31.585759091912152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69.65393364430156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-1.1368683772161603E-13</v>
      </c>
      <c r="BZ198" s="13">
        <f>BY198*VLOOKUP('Données projet'!$B$12,Paramètres!$A$1:$I$89,3,0)*VLOOKUP('Données projet'!$B$12,Paramètres!$A$1:$I$89,5,0)</f>
        <v>-1.1527845344971866E-13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428.33148932885132</v>
      </c>
      <c r="CE198" s="59">
        <f t="shared" si="207"/>
        <v>262.27548054534373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35.397833465073923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35.397833465073923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69.65393364430156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-1.1368683772161603E-13</v>
      </c>
      <c r="CU198" s="17">
        <f>CT198*VLOOKUP('Données projet'!$B$13,Paramètres!$A$1:$I$89,3,0)*VLOOKUP('Données projet'!$B$13,Paramètres!$A$1:$I$89,5,0)</f>
        <v>-1.0818439477588981E-13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307.62549820830162</v>
      </c>
      <c r="CZ198" s="59">
        <f t="shared" si="208"/>
        <v>160.26466014910304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24.125900036749744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24.125900036749744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69.65393364430156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-1.7053025658242404E-13</v>
      </c>
      <c r="DP198" s="17">
        <f>DO198*VLOOKUP('Données projet'!$B$14,Paramètres!$A$1:$I$89,3,0)*VLOOKUP('Données projet'!$B$14,Paramètres!$A$1:$I$89,5,0)</f>
        <v>-1.3567387213697657E-13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309.14579005132464</v>
      </c>
      <c r="DU198" s="59">
        <f t="shared" si="209"/>
        <v>300.60311050289533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9.4406670187393118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9.4406670187393118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69.65393364430156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>
        <f>EJ198*VLOOKUP('Données projet'!$B$15,Paramètres!$A$1:$I$89,3,0)*VLOOKUP('Données projet'!$B$15,Paramètres!$A$1:$I$89,5,0)</f>
        <v>0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338.59243085476896</v>
      </c>
      <c r="EP198" s="59">
        <f t="shared" si="210"/>
        <v>329.8393445823275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8.7466459399469496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8.7466459399469496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69.65393364430156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>
        <f>FE198*VLOOKUP('Données projet'!$B$16,Paramètres!$A$1:$I$89,3,0)*VLOOKUP('Données projet'!$B$16,Paramètres!$A$1:$I$89,5,0)</f>
        <v>0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307.50573770128085</v>
      </c>
      <c r="FK198" s="59">
        <f t="shared" si="211"/>
        <v>300.2007312562655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7.8161516910164233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7.8161516910164233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69.65393364430156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>
        <f>FZ198*VLOOKUP('Données projet'!$B$17,Paramètres!$A$1:$I$89,3,0)*VLOOKUP('Données projet'!$B$17,Paramètres!$A$1:$I$89,5,0)</f>
        <v>0</v>
      </c>
      <c r="GB198" s="13" t="e">
        <f t="shared" si="185"/>
        <v>#NUM!</v>
      </c>
      <c r="GC198" s="20" t="e">
        <f t="shared" si="186"/>
        <v>#NUM!</v>
      </c>
      <c r="GD198" s="59" t="e">
        <f t="shared" si="200"/>
        <v>#NUM!</v>
      </c>
      <c r="GE198" s="59">
        <f ca="1">AVERAGE(OFFSET($GD$3,0,0,'Données projet'!$E$17+1,1))-AVERAGE(OFFSET($H$3,0,0,'Données projet'!$E$17+1,1))</f>
        <v>369.60865427618342</v>
      </c>
      <c r="GF198" s="59">
        <f t="shared" si="212"/>
        <v>359.40898775279197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9.6771401888774751</v>
      </c>
      <c r="GM198" s="21">
        <f>EXP(-LN(2)/25)*GM197+(1-EXP(-LN(2)/25))/(LN(2)/25)*Calculateur!GH198*Calculateur!GJ198*VLOOKUP('Données projet'!$B$17,Paramètres!$A$1:$I$89,3,0)*0.475*44/12</f>
        <v>0</v>
      </c>
      <c r="GN198" s="21">
        <f>EXP(-LN(2)/2)*GN197+(1-EXP(-LN(2)/2))/(LN(2)/2)*GH198*GK198*VLOOKUP('Données projet'!$B$17,Paramètres!$A$1:$I$89,3,0)*0.475*44/12</f>
        <v>0</v>
      </c>
      <c r="GO198" s="21">
        <f t="shared" si="187"/>
        <v>9.6771401888774751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69.65393364430156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-1.7053025658242404E-13</v>
      </c>
      <c r="GV198" s="17">
        <f>GU198*VLOOKUP('Données projet'!$B$18,Paramètres!$A$1:$I$89,3,0)*VLOOKUP('Données projet'!$B$18,Paramètres!$A$1:$I$89,5,0)</f>
        <v>-1.1173142411280423E-13</v>
      </c>
      <c r="GW198" s="13" t="e">
        <f t="shared" si="188"/>
        <v>#NUM!</v>
      </c>
      <c r="GX198" s="20" t="e">
        <f t="shared" si="189"/>
        <v>#NUM!</v>
      </c>
      <c r="GY198" s="59" t="e">
        <f t="shared" si="201"/>
        <v>#NUM!</v>
      </c>
      <c r="GZ198" s="59">
        <f ca="1">AVERAGE(OFFSET($GY$3,0,0,'Données projet'!$E$18+1,1))-AVERAGE(OFFSET($H$3,0,0,'Données projet'!$E$18+1,1))</f>
        <v>262.62914256200031</v>
      </c>
      <c r="HA198" s="59">
        <f t="shared" si="213"/>
        <v>256.45129229594409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projet'!$B$18,Paramètres!$A$1:$I$89,3,0)*0.475*44/12</f>
        <v>6.3077486629090682</v>
      </c>
      <c r="HH198" s="21">
        <f>EXP(-LN(2)/25)*HH197+(1-EXP(-LN(2)/25))/(LN(2)/25)*Calculateur!HC198*Calculateur!HE198*VLOOKUP('Données projet'!$B$18,Paramètres!$A$1:$I$89,3,0)*0.475*44/12</f>
        <v>0</v>
      </c>
      <c r="HI198" s="21">
        <f>EXP(-LN(2)/2)*HI197+(1-EXP(-LN(2)/2))/(LN(2)/2)*HC198*HF198*VLOOKUP('Données projet'!$B$18,Paramètres!$A$1:$I$89,3,0)*0.475*44/12</f>
        <v>0</v>
      </c>
      <c r="HJ198" s="22">
        <f t="shared" si="190"/>
        <v>6.3077486629090682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2.1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7.7</v>
      </c>
      <c r="H199" s="67">
        <f t="shared" si="192"/>
        <v>225.86666666666665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69.659937121884468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5.6843418860808015E-14</v>
      </c>
      <c r="O199" s="13">
        <f>N199*VLOOKUP('Données projet'!$B$9,Paramètres!$A$1:$I$89,3,0)*VLOOKUP('Données projet'!$B$9,Paramètres!$A$1:$I$89,5,0)</f>
        <v>4.8771653382573282E-14</v>
      </c>
      <c r="P199" s="13">
        <f t="shared" si="203"/>
        <v>7.9655698259503351E-13</v>
      </c>
      <c r="Q199" s="20">
        <f t="shared" si="162"/>
        <v>1.4722807076609983E-12</v>
      </c>
      <c r="R199" s="59">
        <f t="shared" si="191"/>
        <v>292.08643611357786</v>
      </c>
      <c r="S199" s="59">
        <f ca="1">AVERAGE(OFFSET($R$3,0,0,'Données projet'!$E$9+1,1))-AVERAGE(OFFSET($H$3,0,0,'Données projet'!$E$9+1,1))</f>
        <v>476.79071915271794</v>
      </c>
      <c r="T199" s="59">
        <f t="shared" si="204"/>
        <v>264.79929759351762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50.684594921370767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50.684594921370767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69.659937121884468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-9.5769792096689348E-14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365.104658862176</v>
      </c>
      <c r="AO199" s="59">
        <f t="shared" si="205"/>
        <v>226.29232910286325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28.830769095907691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28.830769095907691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69.659937121884468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-1.1368683772161603E-13</v>
      </c>
      <c r="BE199" s="13">
        <f>BD199*VLOOKUP('Données projet'!$B$11,Paramètres!$A$1:$I$89,3,0)*VLOOKUP('Données projet'!$B$11,Paramètres!$A$1:$I$89,5,0)</f>
        <v>-1.0286385077051818E-13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388.12494342575195</v>
      </c>
      <c r="BJ199" s="59">
        <f t="shared" si="206"/>
        <v>239.39471445648454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30.966381621530498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30.966381621530498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69.659937121884468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-1.1368683772161603E-13</v>
      </c>
      <c r="BZ199" s="13">
        <f>BY199*VLOOKUP('Données projet'!$B$12,Paramètres!$A$1:$I$89,3,0)*VLOOKUP('Données projet'!$B$12,Paramètres!$A$1:$I$89,5,0)</f>
        <v>-1.1527845344971866E-13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428.33148932885132</v>
      </c>
      <c r="CE199" s="59">
        <f t="shared" si="207"/>
        <v>262.27548054534373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34.703703541370345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34.703703541370345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69.659937121884468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-1.1368683772161603E-13</v>
      </c>
      <c r="CU199" s="17">
        <f>CT199*VLOOKUP('Données projet'!$B$13,Paramètres!$A$1:$I$89,3,0)*VLOOKUP('Données projet'!$B$13,Paramètres!$A$1:$I$89,5,0)</f>
        <v>-1.0818439477588981E-13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307.62549820830162</v>
      </c>
      <c r="CZ199" s="59">
        <f t="shared" si="208"/>
        <v>160.26466014910304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23.652805852375085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23.652805852375085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69.659937121884468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-1.7053025658242404E-13</v>
      </c>
      <c r="DP199" s="17">
        <f>DO199*VLOOKUP('Données projet'!$B$14,Paramètres!$A$1:$I$89,3,0)*VLOOKUP('Données projet'!$B$14,Paramètres!$A$1:$I$89,5,0)</f>
        <v>-1.3567387213697657E-13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309.14579005132464</v>
      </c>
      <c r="DU199" s="59">
        <f t="shared" si="209"/>
        <v>300.60311050289533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9.2555412967401374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9.2555412967401374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69.659937121884468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>
        <f>EJ199*VLOOKUP('Données projet'!$B$15,Paramètres!$A$1:$I$89,3,0)*VLOOKUP('Données projet'!$B$15,Paramètres!$A$1:$I$89,5,0)</f>
        <v>0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338.59243085476896</v>
      </c>
      <c r="EP199" s="59">
        <f t="shared" si="210"/>
        <v>329.8393445823275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8.5751295479918337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8.5751295479918337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69.659937121884468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>
        <f>FE199*VLOOKUP('Données projet'!$B$16,Paramètres!$A$1:$I$89,3,0)*VLOOKUP('Données projet'!$B$16,Paramètres!$A$1:$I$89,5,0)</f>
        <v>0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307.50573770128085</v>
      </c>
      <c r="FK199" s="59">
        <f t="shared" si="211"/>
        <v>300.2007312562655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7.6628817237373825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7.6628817237373825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69.659937121884468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>
        <f>FZ199*VLOOKUP('Données projet'!$B$17,Paramètres!$A$1:$I$89,3,0)*VLOOKUP('Données projet'!$B$17,Paramètres!$A$1:$I$89,5,0)</f>
        <v>0</v>
      </c>
      <c r="GB199" s="13" t="e">
        <f t="shared" si="185"/>
        <v>#NUM!</v>
      </c>
      <c r="GC199" s="20" t="e">
        <f t="shared" si="186"/>
        <v>#NUM!</v>
      </c>
      <c r="GD199" s="59" t="e">
        <f t="shared" si="200"/>
        <v>#NUM!</v>
      </c>
      <c r="GE199" s="59">
        <f ca="1">AVERAGE(OFFSET($GD$3,0,0,'Données projet'!$E$17+1,1))-AVERAGE(OFFSET($H$3,0,0,'Données projet'!$E$17+1,1))</f>
        <v>369.60865427618342</v>
      </c>
      <c r="GF199" s="59">
        <f t="shared" si="212"/>
        <v>359.40898775279197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9.4873773722462822</v>
      </c>
      <c r="GM199" s="21">
        <f>EXP(-LN(2)/25)*GM198+(1-EXP(-LN(2)/25))/(LN(2)/25)*Calculateur!GH199*Calculateur!GJ199*VLOOKUP('Données projet'!$B$17,Paramètres!$A$1:$I$89,3,0)*0.475*44/12</f>
        <v>0</v>
      </c>
      <c r="GN199" s="21">
        <f>EXP(-LN(2)/2)*GN198+(1-EXP(-LN(2)/2))/(LN(2)/2)*GH199*GK199*VLOOKUP('Données projet'!$B$17,Paramètres!$A$1:$I$89,3,0)*0.475*44/12</f>
        <v>0</v>
      </c>
      <c r="GO199" s="21">
        <f t="shared" si="187"/>
        <v>9.4873773722462822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69.659937121884468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-1.7053025658242404E-13</v>
      </c>
      <c r="GV199" s="17">
        <f>GU199*VLOOKUP('Données projet'!$B$18,Paramètres!$A$1:$I$89,3,0)*VLOOKUP('Données projet'!$B$18,Paramètres!$A$1:$I$89,5,0)</f>
        <v>-1.1173142411280423E-13</v>
      </c>
      <c r="GW199" s="13" t="e">
        <f t="shared" si="188"/>
        <v>#NUM!</v>
      </c>
      <c r="GX199" s="20" t="e">
        <f t="shared" si="189"/>
        <v>#NUM!</v>
      </c>
      <c r="GY199" s="59" t="e">
        <f t="shared" si="201"/>
        <v>#NUM!</v>
      </c>
      <c r="GZ199" s="59">
        <f ca="1">AVERAGE(OFFSET($GY$3,0,0,'Données projet'!$E$18+1,1))-AVERAGE(OFFSET($H$3,0,0,'Données projet'!$E$18+1,1))</f>
        <v>262.62914256200031</v>
      </c>
      <c r="HA199" s="59">
        <f t="shared" si="213"/>
        <v>256.45129229594409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projet'!$B$18,Paramètres!$A$1:$I$89,3,0)*0.475*44/12</f>
        <v>6.1840575589762121</v>
      </c>
      <c r="HH199" s="21">
        <f>EXP(-LN(2)/25)*HH198+(1-EXP(-LN(2)/25))/(LN(2)/25)*Calculateur!HC199*Calculateur!HE199*VLOOKUP('Données projet'!$B$18,Paramètres!$A$1:$I$89,3,0)*0.475*44/12</f>
        <v>0</v>
      </c>
      <c r="HI199" s="21">
        <f>EXP(-LN(2)/2)*HI198+(1-EXP(-LN(2)/2))/(LN(2)/2)*HC199*HF199*VLOOKUP('Données projet'!$B$18,Paramètres!$A$1:$I$89,3,0)*0.475*44/12</f>
        <v>0</v>
      </c>
      <c r="HJ199" s="22">
        <f t="shared" si="190"/>
        <v>6.1840575589762121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2.1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7.7</v>
      </c>
      <c r="H200" s="67">
        <f t="shared" si="192"/>
        <v>225.86666666666665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69.665836452553066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5.6843418860808015E-14</v>
      </c>
      <c r="O200" s="13">
        <f>N200*VLOOKUP('Données projet'!$B$9,Paramètres!$A$1:$I$89,3,0)*VLOOKUP('Données projet'!$B$9,Paramètres!$A$1:$I$89,5,0)</f>
        <v>4.8771653382573282E-14</v>
      </c>
      <c r="P200" s="13">
        <f t="shared" si="203"/>
        <v>7.9655698259503351E-13</v>
      </c>
      <c r="Q200" s="20">
        <f t="shared" si="162"/>
        <v>1.4722807076609983E-12</v>
      </c>
      <c r="R200" s="59">
        <f t="shared" si="191"/>
        <v>292.10806699269602</v>
      </c>
      <c r="S200" s="59">
        <f ca="1">AVERAGE(OFFSET($R$3,0,0,'Données projet'!$E$9+1,1))-AVERAGE(OFFSET($H$3,0,0,'Données projet'!$E$9+1,1))</f>
        <v>476.79071915271794</v>
      </c>
      <c r="T200" s="59">
        <f t="shared" si="204"/>
        <v>264.79929759351762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49.690700929513028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49.690700929513028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69.665836452553066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-9.5769792096689348E-14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365.104658862176</v>
      </c>
      <c r="AO200" s="59">
        <f t="shared" si="205"/>
        <v>226.29232910286325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28.26541529896971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28.26541529896971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69.665836452553066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-1.1368683772161603E-13</v>
      </c>
      <c r="BE200" s="13">
        <f>BD200*VLOOKUP('Données projet'!$B$11,Paramètres!$A$1:$I$89,3,0)*VLOOKUP('Données projet'!$B$11,Paramètres!$A$1:$I$89,5,0)</f>
        <v>-1.0286385077051818E-13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388.12494342575195</v>
      </c>
      <c r="BJ200" s="59">
        <f t="shared" si="206"/>
        <v>239.39471445648454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30.359149765560076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30.359149765560076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69.665836452553066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-1.1368683772161603E-13</v>
      </c>
      <c r="BZ200" s="13">
        <f>BY200*VLOOKUP('Données projet'!$B$12,Paramètres!$A$1:$I$89,3,0)*VLOOKUP('Données projet'!$B$12,Paramètres!$A$1:$I$89,5,0)</f>
        <v>-1.1527845344971866E-13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428.33148932885132</v>
      </c>
      <c r="CE200" s="59">
        <f t="shared" si="207"/>
        <v>262.27548054534373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34.02318508209315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34.02318508209315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69.665836452553066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-1.1368683772161603E-13</v>
      </c>
      <c r="CU200" s="17">
        <f>CT200*VLOOKUP('Données projet'!$B$13,Paramètres!$A$1:$I$89,3,0)*VLOOKUP('Données projet'!$B$13,Paramètres!$A$1:$I$89,5,0)</f>
        <v>-1.0818439477588981E-13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307.62549820830162</v>
      </c>
      <c r="CZ200" s="59">
        <f t="shared" si="208"/>
        <v>160.26466014910304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23.188988756397052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23.188988756397052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69.665836452553066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-1.7053025658242404E-13</v>
      </c>
      <c r="DP200" s="17">
        <f>DO200*VLOOKUP('Données projet'!$B$14,Paramètres!$A$1:$I$89,3,0)*VLOOKUP('Données projet'!$B$14,Paramètres!$A$1:$I$89,5,0)</f>
        <v>-1.3567387213697657E-13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309.14579005132464</v>
      </c>
      <c r="DU200" s="59">
        <f t="shared" si="209"/>
        <v>300.60311050289533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9.0740457772338257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9.0740457772338257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69.665836452553066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>
        <f>EJ200*VLOOKUP('Données projet'!$B$15,Paramètres!$A$1:$I$89,3,0)*VLOOKUP('Données projet'!$B$15,Paramètres!$A$1:$I$89,5,0)</f>
        <v>0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338.59243085476896</v>
      </c>
      <c r="EP200" s="59">
        <f t="shared" si="210"/>
        <v>329.8393445823275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8.4069764878682882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8.4069764878682882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69.665836452553066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>
        <f>FE200*VLOOKUP('Données projet'!$B$16,Paramètres!$A$1:$I$89,3,0)*VLOOKUP('Données projet'!$B$16,Paramètres!$A$1:$I$89,5,0)</f>
        <v>0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307.50573770128085</v>
      </c>
      <c r="FK200" s="59">
        <f t="shared" si="211"/>
        <v>300.2007312562655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7.5126172870312349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7.5126172870312349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69.665836452553066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>
        <f>FZ200*VLOOKUP('Données projet'!$B$17,Paramètres!$A$1:$I$89,3,0)*VLOOKUP('Données projet'!$B$17,Paramètres!$A$1:$I$89,5,0)</f>
        <v>0</v>
      </c>
      <c r="GB200" s="13" t="e">
        <f t="shared" si="185"/>
        <v>#NUM!</v>
      </c>
      <c r="GC200" s="20" t="e">
        <f t="shared" si="186"/>
        <v>#NUM!</v>
      </c>
      <c r="GD200" s="59" t="e">
        <f t="shared" si="200"/>
        <v>#NUM!</v>
      </c>
      <c r="GE200" s="59">
        <f ca="1">AVERAGE(OFFSET($GD$3,0,0,'Données projet'!$E$17+1,1))-AVERAGE(OFFSET($H$3,0,0,'Données projet'!$E$17+1,1))</f>
        <v>369.60865427618342</v>
      </c>
      <c r="GF200" s="59">
        <f t="shared" si="212"/>
        <v>359.40898775279197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9.301335688705338</v>
      </c>
      <c r="GM200" s="21">
        <f>EXP(-LN(2)/25)*GM199+(1-EXP(-LN(2)/25))/(LN(2)/25)*Calculateur!GH200*Calculateur!GJ200*VLOOKUP('Données projet'!$B$17,Paramètres!$A$1:$I$89,3,0)*0.475*44/12</f>
        <v>0</v>
      </c>
      <c r="GN200" s="21">
        <f>EXP(-LN(2)/2)*GN199+(1-EXP(-LN(2)/2))/(LN(2)/2)*GH200*GK200*VLOOKUP('Données projet'!$B$17,Paramètres!$A$1:$I$89,3,0)*0.475*44/12</f>
        <v>0</v>
      </c>
      <c r="GO200" s="21">
        <f t="shared" si="187"/>
        <v>9.301335688705338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69.665836452553066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-1.7053025658242404E-13</v>
      </c>
      <c r="GV200" s="17">
        <f>GU200*VLOOKUP('Données projet'!$B$18,Paramètres!$A$1:$I$89,3,0)*VLOOKUP('Données projet'!$B$18,Paramètres!$A$1:$I$89,5,0)</f>
        <v>-1.1173142411280423E-13</v>
      </c>
      <c r="GW200" s="13" t="e">
        <f t="shared" si="188"/>
        <v>#NUM!</v>
      </c>
      <c r="GX200" s="20" t="e">
        <f t="shared" si="189"/>
        <v>#NUM!</v>
      </c>
      <c r="GY200" s="59" t="e">
        <f t="shared" si="201"/>
        <v>#NUM!</v>
      </c>
      <c r="GZ200" s="59">
        <f ca="1">AVERAGE(OFFSET($GY$3,0,0,'Données projet'!$E$18+1,1))-AVERAGE(OFFSET($H$3,0,0,'Données projet'!$E$18+1,1))</f>
        <v>262.62914256200031</v>
      </c>
      <c r="HA200" s="59">
        <f t="shared" si="213"/>
        <v>256.45129229594409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projet'!$B$18,Paramètres!$A$1:$I$89,3,0)*0.475*44/12</f>
        <v>6.0627919621473554</v>
      </c>
      <c r="HH200" s="21">
        <f>EXP(-LN(2)/25)*HH199+(1-EXP(-LN(2)/25))/(LN(2)/25)*Calculateur!HC200*Calculateur!HE200*VLOOKUP('Données projet'!$B$18,Paramètres!$A$1:$I$89,3,0)*0.475*44/12</f>
        <v>0</v>
      </c>
      <c r="HI200" s="21">
        <f>EXP(-LN(2)/2)*HI199+(1-EXP(-LN(2)/2))/(LN(2)/2)*HC200*HF200*VLOOKUP('Données projet'!$B$18,Paramètres!$A$1:$I$89,3,0)*0.475*44/12</f>
        <v>0</v>
      </c>
      <c r="HJ200" s="22">
        <f t="shared" si="190"/>
        <v>6.0627919621473554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2.1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7.7</v>
      </c>
      <c r="H201" s="67">
        <f t="shared" si="192"/>
        <v>225.86666666666665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69.671633443023509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5.6843418860808015E-14</v>
      </c>
      <c r="O201" s="13">
        <f>N201*VLOOKUP('Données projet'!$B$9,Paramètres!$A$1:$I$89,3,0)*VLOOKUP('Données projet'!$B$9,Paramètres!$A$1:$I$89,5,0)</f>
        <v>4.8771653382573282E-14</v>
      </c>
      <c r="P201" s="13">
        <f t="shared" si="203"/>
        <v>7.9655698259503351E-13</v>
      </c>
      <c r="Q201" s="20">
        <f t="shared" si="162"/>
        <v>1.4722807076609983E-12</v>
      </c>
      <c r="R201" s="59">
        <f t="shared" si="191"/>
        <v>292.12932262442104</v>
      </c>
      <c r="S201" s="59">
        <f ca="1">AVERAGE(OFFSET($R$3,0,0,'Données projet'!$E$9+1,1))-AVERAGE(OFFSET($H$3,0,0,'Données projet'!$E$9+1,1))</f>
        <v>476.79071915271794</v>
      </c>
      <c r="T201" s="59">
        <f t="shared" si="204"/>
        <v>264.79929759351762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48.716296592620147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48.716296592620147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69.671633443023509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-9.5769792096689348E-14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365.104658862176</v>
      </c>
      <c r="AO201" s="59">
        <f t="shared" si="205"/>
        <v>226.29232910286325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27.71114774515792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27.71114774515792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69.671633443023509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-1.1368683772161603E-13</v>
      </c>
      <c r="BE201" s="13">
        <f>BD201*VLOOKUP('Données projet'!$B$11,Paramètres!$A$1:$I$89,3,0)*VLOOKUP('Données projet'!$B$11,Paramètres!$A$1:$I$89,5,0)</f>
        <v>-1.0286385077051818E-13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388.12494342575195</v>
      </c>
      <c r="BJ201" s="59">
        <f t="shared" si="206"/>
        <v>239.39471445648454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29.763825355910374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29.763825355910374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69.671633443023509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-1.1368683772161603E-13</v>
      </c>
      <c r="BZ201" s="13">
        <f>BY201*VLOOKUP('Données projet'!$B$12,Paramètres!$A$1:$I$89,3,0)*VLOOKUP('Données projet'!$B$12,Paramètres!$A$1:$I$89,5,0)</f>
        <v>-1.1527845344971866E-13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428.33148932885132</v>
      </c>
      <c r="CE201" s="59">
        <f t="shared" si="207"/>
        <v>262.27548054534373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33.356011174727101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33.356011174727101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69.671633443023509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-1.1368683772161603E-13</v>
      </c>
      <c r="CU201" s="17">
        <f>CT201*VLOOKUP('Données projet'!$B$13,Paramètres!$A$1:$I$89,3,0)*VLOOKUP('Données projet'!$B$13,Paramètres!$A$1:$I$89,5,0)</f>
        <v>-1.0818439477588981E-13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307.62549820830162</v>
      </c>
      <c r="CZ201" s="59">
        <f t="shared" si="208"/>
        <v>160.26466014910304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22.734266830770654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22.734266830770654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69.671633443023509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-1.7053025658242404E-13</v>
      </c>
      <c r="DP201" s="17">
        <f>DO201*VLOOKUP('Données projet'!$B$14,Paramètres!$A$1:$I$89,3,0)*VLOOKUP('Données projet'!$B$14,Paramètres!$A$1:$I$89,5,0)</f>
        <v>-1.3567387213697657E-13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309.14579005132464</v>
      </c>
      <c r="DU201" s="59">
        <f t="shared" si="209"/>
        <v>300.60311050289533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8.8961092741636953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8.8961092741636953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69.671633443023509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>
        <f>EJ201*VLOOKUP('Données projet'!$B$15,Paramètres!$A$1:$I$89,3,0)*VLOOKUP('Données projet'!$B$15,Paramètres!$A$1:$I$89,5,0)</f>
        <v>0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338.59243085476896</v>
      </c>
      <c r="EP201" s="59">
        <f t="shared" si="210"/>
        <v>329.8393445823275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8.2421208066905258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8.2421208066905258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69.671633443023509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>
        <f>FE201*VLOOKUP('Données projet'!$B$16,Paramètres!$A$1:$I$89,3,0)*VLOOKUP('Données projet'!$B$16,Paramètres!$A$1:$I$89,5,0)</f>
        <v>0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307.50573770128085</v>
      </c>
      <c r="FK201" s="59">
        <f t="shared" si="211"/>
        <v>300.2007312562655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7.3652994442766389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7.3652994442766389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69.671633443023509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>
        <f>FZ201*VLOOKUP('Données projet'!$B$17,Paramètres!$A$1:$I$89,3,0)*VLOOKUP('Données projet'!$B$17,Paramètres!$A$1:$I$89,5,0)</f>
        <v>0</v>
      </c>
      <c r="GB201" s="13" t="e">
        <f t="shared" si="185"/>
        <v>#NUM!</v>
      </c>
      <c r="GC201" s="20" t="e">
        <f t="shared" si="186"/>
        <v>#NUM!</v>
      </c>
      <c r="GD201" s="59" t="e">
        <f t="shared" si="200"/>
        <v>#NUM!</v>
      </c>
      <c r="GE201" s="59">
        <f ca="1">AVERAGE(OFFSET($GD$3,0,0,'Données projet'!$E$17+1,1))-AVERAGE(OFFSET($H$3,0,0,'Données projet'!$E$17+1,1))</f>
        <v>369.60865427618342</v>
      </c>
      <c r="GF201" s="59">
        <f t="shared" si="212"/>
        <v>359.40898775279197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9.1189421691044092</v>
      </c>
      <c r="GM201" s="21">
        <f>EXP(-LN(2)/25)*GM200+(1-EXP(-LN(2)/25))/(LN(2)/25)*Calculateur!GH201*Calculateur!GJ201*VLOOKUP('Données projet'!$B$17,Paramètres!$A$1:$I$89,3,0)*0.475*44/12</f>
        <v>0</v>
      </c>
      <c r="GN201" s="21">
        <f>EXP(-LN(2)/2)*GN200+(1-EXP(-LN(2)/2))/(LN(2)/2)*GH201*GK201*VLOOKUP('Données projet'!$B$17,Paramètres!$A$1:$I$89,3,0)*0.475*44/12</f>
        <v>0</v>
      </c>
      <c r="GO201" s="21">
        <f t="shared" si="187"/>
        <v>9.1189421691044092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69.671633443023509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-1.7053025658242404E-13</v>
      </c>
      <c r="GV201" s="17">
        <f>GU201*VLOOKUP('Données projet'!$B$18,Paramètres!$A$1:$I$89,3,0)*VLOOKUP('Données projet'!$B$18,Paramètres!$A$1:$I$89,5,0)</f>
        <v>-1.1173142411280423E-13</v>
      </c>
      <c r="GW201" s="13" t="e">
        <f t="shared" si="188"/>
        <v>#NUM!</v>
      </c>
      <c r="GX201" s="20" t="e">
        <f t="shared" si="189"/>
        <v>#NUM!</v>
      </c>
      <c r="GY201" s="59" t="e">
        <f t="shared" si="201"/>
        <v>#NUM!</v>
      </c>
      <c r="GZ201" s="59">
        <f ca="1">AVERAGE(OFFSET($GY$3,0,0,'Données projet'!$E$18+1,1))-AVERAGE(OFFSET($H$3,0,0,'Données projet'!$E$18+1,1))</f>
        <v>262.62914256200031</v>
      </c>
      <c r="HA201" s="59">
        <f t="shared" si="213"/>
        <v>256.45129229594409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projet'!$B$18,Paramètres!$A$1:$I$89,3,0)*0.475*44/12</f>
        <v>5.9439043097076016</v>
      </c>
      <c r="HH201" s="21">
        <f>EXP(-LN(2)/25)*HH200+(1-EXP(-LN(2)/25))/(LN(2)/25)*Calculateur!HC201*Calculateur!HE201*VLOOKUP('Données projet'!$B$18,Paramètres!$A$1:$I$89,3,0)*0.475*44/12</f>
        <v>0</v>
      </c>
      <c r="HI201" s="21">
        <f>EXP(-LN(2)/2)*HI200+(1-EXP(-LN(2)/2))/(LN(2)/2)*HC201*HF201*VLOOKUP('Données projet'!$B$18,Paramètres!$A$1:$I$89,3,0)*0.475*44/12</f>
        <v>0</v>
      </c>
      <c r="HJ201" s="22">
        <f t="shared" si="190"/>
        <v>5.9439043097076016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2.1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7.7</v>
      </c>
      <c r="H202" s="67">
        <f t="shared" si="192"/>
        <v>225.86666666666665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69.677329868669403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5.6843418860808015E-14</v>
      </c>
      <c r="O202" s="13">
        <f>N202*VLOOKUP('Données projet'!$B$9,Paramètres!$A$1:$I$89,3,0)*VLOOKUP('Données projet'!$B$9,Paramètres!$A$1:$I$89,5,0)</f>
        <v>4.8771653382573282E-14</v>
      </c>
      <c r="P202" s="13">
        <f t="shared" si="203"/>
        <v>7.9655698259503351E-13</v>
      </c>
      <c r="Q202" s="20">
        <f t="shared" si="162"/>
        <v>1.4722807076609983E-12</v>
      </c>
      <c r="R202" s="59">
        <f t="shared" si="191"/>
        <v>292.15020951845594</v>
      </c>
      <c r="S202" s="59">
        <f ca="1">AVERAGE(OFFSET($R$3,0,0,'Données projet'!$E$9+1,1))-AVERAGE(OFFSET($H$3,0,0,'Données projet'!$E$9+1,1))</f>
        <v>476.79071915271794</v>
      </c>
      <c r="T202" s="59">
        <f t="shared" si="204"/>
        <v>264.79929759351762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47.760999730445775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47.760999730445775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69.677329868669403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-9.5769792096689348E-14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365.104658862176</v>
      </c>
      <c r="AO202" s="59">
        <f t="shared" si="205"/>
        <v>226.29232910286325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27.167749040006552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27.167749040006552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69.677329868669403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-1.1368683772161603E-13</v>
      </c>
      <c r="BE202" s="13">
        <f>BD202*VLOOKUP('Données projet'!$B$11,Paramètres!$A$1:$I$89,3,0)*VLOOKUP('Données projet'!$B$11,Paramètres!$A$1:$I$89,5,0)</f>
        <v>-1.0286385077051818E-13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388.12494342575195</v>
      </c>
      <c r="BJ202" s="59">
        <f t="shared" si="206"/>
        <v>239.39471445648454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29.180174894821867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29.180174894821867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69.677329868669403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-1.1368683772161603E-13</v>
      </c>
      <c r="BZ202" s="13">
        <f>BY202*VLOOKUP('Données projet'!$B$12,Paramètres!$A$1:$I$89,3,0)*VLOOKUP('Données projet'!$B$12,Paramètres!$A$1:$I$89,5,0)</f>
        <v>-1.1527845344971866E-13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428.33148932885132</v>
      </c>
      <c r="CE202" s="59">
        <f t="shared" si="207"/>
        <v>262.27548054534373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32.701920140748598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32.701920140748598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69.677329868669403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-1.1368683772161603E-13</v>
      </c>
      <c r="CU202" s="17">
        <f>CT202*VLOOKUP('Données projet'!$B$13,Paramètres!$A$1:$I$89,3,0)*VLOOKUP('Données projet'!$B$13,Paramètres!$A$1:$I$89,5,0)</f>
        <v>-1.0818439477588981E-13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307.62549820830162</v>
      </c>
      <c r="CZ202" s="59">
        <f t="shared" si="208"/>
        <v>160.26466014910304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22.288461724752803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22.288461724752803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69.677329868669403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-1.7053025658242404E-13</v>
      </c>
      <c r="DP202" s="17">
        <f>DO202*VLOOKUP('Données projet'!$B$14,Paramètres!$A$1:$I$89,3,0)*VLOOKUP('Données projet'!$B$14,Paramètres!$A$1:$I$89,5,0)</f>
        <v>-1.3567387213697657E-13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309.14579005132464</v>
      </c>
      <c r="DU202" s="59">
        <f t="shared" si="209"/>
        <v>300.60311050289533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8.721661997388221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8.721661997388221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69.677329868669403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>
        <f>EJ202*VLOOKUP('Données projet'!$B$15,Paramètres!$A$1:$I$89,3,0)*VLOOKUP('Données projet'!$B$15,Paramètres!$A$1:$I$89,5,0)</f>
        <v>0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338.59243085476896</v>
      </c>
      <c r="EP202" s="59">
        <f t="shared" si="210"/>
        <v>329.8393445823275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8.0804978448686224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8.0804978448686224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69.677329868669403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>
        <f>FE202*VLOOKUP('Données projet'!$B$16,Paramètres!$A$1:$I$89,3,0)*VLOOKUP('Données projet'!$B$16,Paramètres!$A$1:$I$89,5,0)</f>
        <v>0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307.50573770128085</v>
      </c>
      <c r="FK202" s="59">
        <f t="shared" si="211"/>
        <v>300.2007312562655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7.2208704145634481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7.2208704145634481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69.677329868669403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>
        <f>FZ202*VLOOKUP('Données projet'!$B$17,Paramètres!$A$1:$I$89,3,0)*VLOOKUP('Données projet'!$B$17,Paramètres!$A$1:$I$89,5,0)</f>
        <v>0</v>
      </c>
      <c r="GB202" s="13" t="e">
        <f t="shared" si="185"/>
        <v>#NUM!</v>
      </c>
      <c r="GC202" s="20" t="e">
        <f t="shared" si="186"/>
        <v>#NUM!</v>
      </c>
      <c r="GD202" s="59" t="e">
        <f t="shared" si="200"/>
        <v>#NUM!</v>
      </c>
      <c r="GE202" s="59">
        <f ca="1">AVERAGE(OFFSET($GD$3,0,0,'Données projet'!$E$17+1,1))-AVERAGE(OFFSET($H$3,0,0,'Données projet'!$E$17+1,1))</f>
        <v>369.60865427618342</v>
      </c>
      <c r="GF202" s="59">
        <f t="shared" si="212"/>
        <v>359.40898775279197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8.9401252751737932</v>
      </c>
      <c r="GM202" s="21">
        <f>EXP(-LN(2)/25)*GM201+(1-EXP(-LN(2)/25))/(LN(2)/25)*Calculateur!GH202*Calculateur!GJ202*VLOOKUP('Données projet'!$B$17,Paramètres!$A$1:$I$89,3,0)*0.475*44/12</f>
        <v>0</v>
      </c>
      <c r="GN202" s="21">
        <f>EXP(-LN(2)/2)*GN201+(1-EXP(-LN(2)/2))/(LN(2)/2)*GH202*GK202*VLOOKUP('Données projet'!$B$17,Paramètres!$A$1:$I$89,3,0)*0.475*44/12</f>
        <v>0</v>
      </c>
      <c r="GO202" s="21">
        <f t="shared" si="187"/>
        <v>8.9401252751737932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69.677329868669403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-1.7053025658242404E-13</v>
      </c>
      <c r="GV202" s="17">
        <f>GU202*VLOOKUP('Données projet'!$B$18,Paramètres!$A$1:$I$89,3,0)*VLOOKUP('Données projet'!$B$18,Paramètres!$A$1:$I$89,5,0)</f>
        <v>-1.1173142411280423E-13</v>
      </c>
      <c r="GW202" s="13" t="e">
        <f t="shared" si="188"/>
        <v>#NUM!</v>
      </c>
      <c r="GX202" s="20" t="e">
        <f t="shared" si="189"/>
        <v>#NUM!</v>
      </c>
      <c r="GY202" s="59" t="e">
        <f t="shared" si="201"/>
        <v>#NUM!</v>
      </c>
      <c r="GZ202" s="59">
        <f ca="1">AVERAGE(OFFSET($GY$3,0,0,'Données projet'!$E$18+1,1))-AVERAGE(OFFSET($H$3,0,0,'Données projet'!$E$18+1,1))</f>
        <v>262.62914256200031</v>
      </c>
      <c r="HA202" s="59">
        <f t="shared" si="213"/>
        <v>256.45129229594409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projet'!$B$18,Paramètres!$A$1:$I$89,3,0)*0.475*44/12</f>
        <v>5.8273479716178835</v>
      </c>
      <c r="HH202" s="21">
        <f>EXP(-LN(2)/25)*HH201+(1-EXP(-LN(2)/25))/(LN(2)/25)*Calculateur!HC202*Calculateur!HE202*VLOOKUP('Données projet'!$B$18,Paramètres!$A$1:$I$89,3,0)*0.475*44/12</f>
        <v>0</v>
      </c>
      <c r="HI202" s="21">
        <f>EXP(-LN(2)/2)*HI201+(1-EXP(-LN(2)/2))/(LN(2)/2)*HC202*HF202*VLOOKUP('Données projet'!$B$18,Paramètres!$A$1:$I$89,3,0)*0.475*44/12</f>
        <v>0</v>
      </c>
      <c r="HJ202" s="22">
        <f t="shared" si="190"/>
        <v>5.8273479716178835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2.1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59.499999999999993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7.7</v>
      </c>
      <c r="H203" s="67">
        <f t="shared" si="192"/>
        <v>225.86666666666665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69.68292747406565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5.6843418860808015E-14</v>
      </c>
      <c r="O203" s="13">
        <f>N203*VLOOKUP('Données projet'!$B$9,Paramètres!$A$1:$I$89,3,0)*VLOOKUP('Données projet'!$B$9,Paramètres!$A$1:$I$89,5,0)</f>
        <v>4.8771653382573282E-14</v>
      </c>
      <c r="P203" s="13">
        <f t="shared" si="203"/>
        <v>7.9655698259503351E-13</v>
      </c>
      <c r="Q203" s="20">
        <f t="shared" si="162"/>
        <v>1.4722807076609983E-12</v>
      </c>
      <c r="R203" s="59">
        <f t="shared" si="191"/>
        <v>292.17073407157551</v>
      </c>
      <c r="S203" s="59">
        <f ca="1">AVERAGE(OFFSET($R$3,0,0,'Données projet'!$E$9+1,1))-AVERAGE(OFFSET($H$3,0,0,'Données projet'!$E$9+1,1))</f>
        <v>476.79071915271794</v>
      </c>
      <c r="T203" s="59">
        <f t="shared" si="204"/>
        <v>264.79929759351762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46.824435657065088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46.824435657065088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69.68292747406565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-9.5769792096689348E-14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365.104658862176</v>
      </c>
      <c r="AO203" s="59">
        <f t="shared" si="205"/>
        <v>226.29232910286325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26.635006052022717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26.635006052022717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69.68292747406565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-1.1368683772161603E-13</v>
      </c>
      <c r="BE203" s="13">
        <f>BD203*VLOOKUP('Données projet'!$B$11,Paramètres!$A$1:$I$89,3,0)*VLOOKUP('Données projet'!$B$11,Paramètres!$A$1:$I$89,5,0)</f>
        <v>-1.0286385077051818E-13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388.12494342575195</v>
      </c>
      <c r="BJ203" s="59">
        <f t="shared" si="206"/>
        <v>239.39471445648454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28.607969463283673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28.607969463283673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69.68292747406565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-1.1368683772161603E-13</v>
      </c>
      <c r="BZ203" s="13">
        <f>BY203*VLOOKUP('Données projet'!$B$12,Paramètres!$A$1:$I$89,3,0)*VLOOKUP('Données projet'!$B$12,Paramètres!$A$1:$I$89,5,0)</f>
        <v>-1.1527845344971866E-13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428.33148932885132</v>
      </c>
      <c r="CE203" s="59">
        <f t="shared" si="207"/>
        <v>262.27548054534373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32.060655432990281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32.060655432990281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69.68292747406565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-1.1368683772161603E-13</v>
      </c>
      <c r="CU203" s="17">
        <f>CT203*VLOOKUP('Données projet'!$B$13,Paramètres!$A$1:$I$89,3,0)*VLOOKUP('Données projet'!$B$13,Paramètres!$A$1:$I$89,5,0)</f>
        <v>-1.0818439477588981E-13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307.62549820830162</v>
      </c>
      <c r="CZ203" s="59">
        <f t="shared" si="208"/>
        <v>160.26466014910304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21.851398584949695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21.851398584949695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69.68292747406565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-1.7053025658242404E-13</v>
      </c>
      <c r="DP203" s="17">
        <f>DO203*VLOOKUP('Données projet'!$B$14,Paramètres!$A$1:$I$89,3,0)*VLOOKUP('Données projet'!$B$14,Paramètres!$A$1:$I$89,5,0)</f>
        <v>-1.3567387213697657E-13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309.14579005132464</v>
      </c>
      <c r="DU203" s="59">
        <f t="shared" si="209"/>
        <v>300.60311050289533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8.55063552530798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8.55063552530798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69.68292747406565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>
        <f>EJ203*VLOOKUP('Données projet'!$B$15,Paramètres!$A$1:$I$89,3,0)*VLOOKUP('Données projet'!$B$15,Paramètres!$A$1:$I$89,5,0)</f>
        <v>0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338.59243085476896</v>
      </c>
      <c r="EP203" s="59">
        <f t="shared" si="210"/>
        <v>329.8393445823275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7.9220442107477735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7.9220442107477735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69.68292747406565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>
        <f>FE203*VLOOKUP('Données projet'!$B$16,Paramètres!$A$1:$I$89,3,0)*VLOOKUP('Données projet'!$B$16,Paramètres!$A$1:$I$89,5,0)</f>
        <v>0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307.50573770128085</v>
      </c>
      <c r="FK203" s="59">
        <f t="shared" si="211"/>
        <v>300.2007312562655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7.0792735500299235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7.0792735500299235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69.68292747406565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>
        <f>FZ203*VLOOKUP('Données projet'!$B$17,Paramètres!$A$1:$I$89,3,0)*VLOOKUP('Données projet'!$B$17,Paramètres!$A$1:$I$89,5,0)</f>
        <v>0</v>
      </c>
      <c r="GB203" s="13" t="e">
        <f t="shared" si="185"/>
        <v>#NUM!</v>
      </c>
      <c r="GC203" s="20" t="e">
        <f t="shared" si="186"/>
        <v>#NUM!</v>
      </c>
      <c r="GD203" s="59" t="e">
        <f t="shared" si="200"/>
        <v>#NUM!</v>
      </c>
      <c r="GE203" s="59">
        <f ca="1">AVERAGE(OFFSET($GD$3,0,0,'Données projet'!$E$17+1,1))-AVERAGE(OFFSET($H$3,0,0,'Données projet'!$E$17+1,1))</f>
        <v>369.60865427618342</v>
      </c>
      <c r="GF203" s="59">
        <f t="shared" si="212"/>
        <v>359.40898775279197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8.7648148714656209</v>
      </c>
      <c r="GM203" s="21">
        <f>EXP(-LN(2)/25)*GM202+(1-EXP(-LN(2)/25))/(LN(2)/25)*Calculateur!GH203*Calculateur!GJ203*VLOOKUP('Données projet'!$B$17,Paramètres!$A$1:$I$89,3,0)*0.475*44/12</f>
        <v>0</v>
      </c>
      <c r="GN203" s="21">
        <f>EXP(-LN(2)/2)*GN202+(1-EXP(-LN(2)/2))/(LN(2)/2)*GH203*GK203*VLOOKUP('Données projet'!$B$17,Paramètres!$A$1:$I$89,3,0)*0.475*44/12</f>
        <v>0</v>
      </c>
      <c r="GO203" s="21">
        <f t="shared" si="187"/>
        <v>8.7648148714656209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69.68292747406565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-1.7053025658242404E-13</v>
      </c>
      <c r="GV203" s="17">
        <f>GU203*VLOOKUP('Données projet'!$B$18,Paramètres!$A$1:$I$89,3,0)*VLOOKUP('Données projet'!$B$18,Paramètres!$A$1:$I$89,5,0)</f>
        <v>-1.1173142411280423E-13</v>
      </c>
      <c r="GW203" s="13" t="e">
        <f t="shared" si="188"/>
        <v>#NUM!</v>
      </c>
      <c r="GX203" s="20" t="e">
        <f t="shared" si="189"/>
        <v>#NUM!</v>
      </c>
      <c r="GY203" s="59" t="e">
        <f t="shared" si="201"/>
        <v>#NUM!</v>
      </c>
      <c r="GZ203" s="59">
        <f ca="1">AVERAGE(OFFSET($GY$3,0,0,'Données projet'!$E$18+1,1))-AVERAGE(OFFSET($H$3,0,0,'Données projet'!$E$18+1,1))</f>
        <v>262.62914256200031</v>
      </c>
      <c r="HA203" s="59">
        <f t="shared" si="213"/>
        <v>256.45129229594409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projet'!$B$18,Paramètres!$A$1:$I$89,3,0)*0.475*44/12</f>
        <v>5.7130772322257588</v>
      </c>
      <c r="HH203" s="21">
        <f>EXP(-LN(2)/25)*HH202+(1-EXP(-LN(2)/25))/(LN(2)/25)*Calculateur!HC203*Calculateur!HE203*VLOOKUP('Données projet'!$B$18,Paramètres!$A$1:$I$89,3,0)*0.475*44/12</f>
        <v>0</v>
      </c>
      <c r="HI203" s="21">
        <f>EXP(-LN(2)/2)*HI202+(1-EXP(-LN(2)/2))/(LN(2)/2)*HC203*HF203*VLOOKUP('Données projet'!$B$18,Paramètres!$A$1:$I$89,3,0)*0.475*44/12</f>
        <v>0</v>
      </c>
      <c r="HJ203" s="22">
        <f t="shared" si="190"/>
        <v>5.7130772322257588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1.1891387833073912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1.2054868146447177</v>
      </c>
      <c r="BA205" s="82">
        <f>EXP(LN('Données projet'!B88)/'Données projet'!A88)</f>
        <v>1.2054868146447177</v>
      </c>
      <c r="BV205" s="82">
        <f>EXP(LN('Données projet'!B114)/'Données projet'!A114)</f>
        <v>1.2054868146447177</v>
      </c>
      <c r="CQ205" s="82">
        <f>EXP(LN('Données projet'!B140)/'Données projet'!A140)</f>
        <v>1.1457367676485573</v>
      </c>
      <c r="DL205" s="82">
        <f>EXP(LN('Données projet'!B166)/'Données projet'!A166)</f>
        <v>1.2721747796233518</v>
      </c>
      <c r="EG205" s="82">
        <f>EXP(LN('Données projet'!B192)/'Données projet'!A192)</f>
        <v>1.2709816152101407</v>
      </c>
      <c r="FB205" s="82">
        <f>EXP(LN('Données projet'!B218)/'Données projet'!A218)</f>
        <v>1.2709816152101407</v>
      </c>
      <c r="FW205" s="82">
        <f>EXP(LN('Données projet'!B244)/'Données projet'!A244)</f>
        <v>1.2709816152101407</v>
      </c>
      <c r="GR205" s="82">
        <f>EXP(LN('Données projet'!B270)/'Données projet'!A270)</f>
        <v>1.2721747796233518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J42" sqref="J42"/>
    </sheetView>
  </sheetViews>
  <sheetFormatPr baseColWidth="10" defaultColWidth="11.42578125" defaultRowHeight="15" x14ac:dyDescent="0.25"/>
  <cols>
    <col min="1" max="1" width="22.85546875" style="1" bestFit="1" customWidth="1"/>
    <col min="2" max="2" width="10.42578125" style="1" bestFit="1" customWidth="1"/>
    <col min="3" max="3" width="15.42578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Hêtre</v>
      </c>
      <c r="B6" s="146">
        <f>'Données projet'!D9</f>
        <v>0.44999999999999996</v>
      </c>
      <c r="C6" s="147">
        <f ca="1">IF(OR('Données projet'!B9="",'Données projet'!C9="",'Données projet'!C9=0%),0,Calculateur!S3)</f>
        <v>476.79071915271794</v>
      </c>
      <c r="D6" s="147">
        <f>IF(OR('Données projet'!B9="",'Données projet'!C9="",'Données projet'!C9=0%),0,Calculateur!T3)</f>
        <v>264.79929759351762</v>
      </c>
      <c r="E6" s="147">
        <f ca="1">MIN(C6,D6)</f>
        <v>264.79929759351762</v>
      </c>
      <c r="F6" s="147">
        <f ca="1">E6*B6</f>
        <v>119.15968391708292</v>
      </c>
      <c r="G6" s="147">
        <f ca="1">F6*(100%-'Données projet'!$C$24)*(100%-'Données projet'!$C$25)*(100%-'Données projet'!$C$26)*(100%-'Données projet'!$C$27)</f>
        <v>107.24371552537463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3.9374999999999996</v>
      </c>
      <c r="K6" s="151">
        <f>J6*(100%-'Données projet'!$C$24)*(100%-'Données projet'!$C$25)*(100%-'Données projet'!$C$26)*(100%-'Données projet'!$C$27)</f>
        <v>3.5437499999999997</v>
      </c>
      <c r="L6" s="152">
        <f ca="1">G6+I6+K6</f>
        <v>110.78746552537463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 pédonculé</v>
      </c>
      <c r="B7" s="154">
        <f>'Données projet'!D10</f>
        <v>0.2</v>
      </c>
      <c r="C7" s="147">
        <f ca="1">IF(OR('Données projet'!B10="",'Données projet'!C10="",'Données projet'!C10=0%),0,Calculateur!AN3)</f>
        <v>365.104658862176</v>
      </c>
      <c r="D7" s="147">
        <f>IF(OR('Données projet'!B10="",'Données projet'!C10="",'Données projet'!C10=0%),0,Calculateur!AO3)</f>
        <v>226.29232910286325</v>
      </c>
      <c r="E7" s="147">
        <f t="shared" ref="E7:E15" ca="1" si="0">MIN(C7,D7)</f>
        <v>226.29232910286325</v>
      </c>
      <c r="F7" s="147">
        <f t="shared" ref="F7:F15" ca="1" si="1">E7*B7</f>
        <v>45.258465820572653</v>
      </c>
      <c r="G7" s="147">
        <f ca="1">F7*(100%-'Données projet'!$C$24)*(100%-'Données projet'!$C$25)*(100%-'Données projet'!$C$26)*(100%-'Données projet'!$C$27)</f>
        <v>40.73261923851539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1.05</v>
      </c>
      <c r="K7" s="151">
        <f>J7*(100%-'Données projet'!$C$24)*(100%-'Données projet'!$C$25)*(100%-'Données projet'!$C$26)*(100%-'Données projet'!$C$27)</f>
        <v>0.94500000000000006</v>
      </c>
      <c r="L7" s="152">
        <f t="shared" ref="L7:L15" ca="1" si="2">G7+I7+K7</f>
        <v>41.677619238515391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Chêne sessile</v>
      </c>
      <c r="B8" s="154">
        <f>'Données projet'!D11</f>
        <v>0.25</v>
      </c>
      <c r="C8" s="147">
        <f ca="1">IF(OR('Données projet'!B11="",'Données projet'!C11="",'Données projet'!C11=0%),0,Calculateur!BI3)</f>
        <v>388.12494342575195</v>
      </c>
      <c r="D8" s="147">
        <f>IF(OR('Données projet'!B11="",'Données projet'!C11="",'Données projet'!C11=0%),0,Calculateur!BJ3)</f>
        <v>239.39471445648454</v>
      </c>
      <c r="E8" s="147">
        <f t="shared" ca="1" si="0"/>
        <v>239.39471445648454</v>
      </c>
      <c r="F8" s="147">
        <f t="shared" ca="1" si="1"/>
        <v>59.848678614121134</v>
      </c>
      <c r="G8" s="147">
        <f ca="1">F8*(100%-'Données projet'!$C$24)*(100%-'Données projet'!$C$25)*(100%-'Données projet'!$C$26)*(100%-'Données projet'!$C$27)</f>
        <v>53.863810752709021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1.3125</v>
      </c>
      <c r="K8" s="151">
        <f>J8*(100%-'Données projet'!$C$24)*(100%-'Données projet'!$C$25)*(100%-'Données projet'!$C$26)*(100%-'Données projet'!$C$27)</f>
        <v>1.1812500000000001</v>
      </c>
      <c r="L8" s="152">
        <f t="shared" ca="1" si="2"/>
        <v>55.04506075270902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Chêne pubescent</v>
      </c>
      <c r="B9" s="154">
        <f>'Données projet'!D12</f>
        <v>0.05</v>
      </c>
      <c r="C9" s="147">
        <f ca="1">IF(OR('Données projet'!B12="",'Données projet'!C12="",'Données projet'!C12=0%),0,Calculateur!CD3)</f>
        <v>428.33148932885132</v>
      </c>
      <c r="D9" s="147">
        <f>IF(OR('Données projet'!B12="",'Données projet'!C12="",'Données projet'!C12=0%),0,Calculateur!CE3)</f>
        <v>262.27548054534373</v>
      </c>
      <c r="E9" s="147">
        <f t="shared" ca="1" si="0"/>
        <v>262.27548054534373</v>
      </c>
      <c r="F9" s="147">
        <f t="shared" ca="1" si="1"/>
        <v>13.113774027267187</v>
      </c>
      <c r="G9" s="147">
        <f ca="1">F9*(100%-'Données projet'!$C$24)*(100%-'Données projet'!$C$25)*(100%-'Données projet'!$C$26)*(100%-'Données projet'!$C$27)</f>
        <v>11.802396624540469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0.26250000000000001</v>
      </c>
      <c r="K9" s="151">
        <f>J9*(100%-'Données projet'!$C$24)*(100%-'Données projet'!$C$25)*(100%-'Données projet'!$C$26)*(100%-'Données projet'!$C$27)</f>
        <v>0.23625000000000002</v>
      </c>
      <c r="L9" s="152">
        <f t="shared" ca="1" si="2"/>
        <v>12.038646624540469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Charme</v>
      </c>
      <c r="B10" s="154">
        <f>'Données projet'!D13</f>
        <v>0.4</v>
      </c>
      <c r="C10" s="147">
        <f ca="1">IF(OR('Données projet'!B13="",'Données projet'!C13="",'Données projet'!C13=0%),0,Calculateur!CY3)</f>
        <v>307.62549820830162</v>
      </c>
      <c r="D10" s="147">
        <f>IF(OR('Données projet'!B13="",'Données projet'!C13="",'Données projet'!C13=0%),0,Calculateur!CZ3)</f>
        <v>160.26466014910304</v>
      </c>
      <c r="E10" s="147">
        <f t="shared" ca="1" si="0"/>
        <v>160.26466014910304</v>
      </c>
      <c r="F10" s="147">
        <f t="shared" ca="1" si="1"/>
        <v>64.10586405964122</v>
      </c>
      <c r="G10" s="147">
        <f ca="1">F10*(100%-'Données projet'!$C$24)*(100%-'Données projet'!$C$25)*(100%-'Données projet'!$C$26)*(100%-'Données projet'!$C$27)</f>
        <v>57.695277653677103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57.695277653677103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Erable sycomore</v>
      </c>
      <c r="B11" s="154">
        <f>'Données projet'!D14</f>
        <v>7.4999999999999997E-2</v>
      </c>
      <c r="C11" s="147">
        <f ca="1">IF(OR('Données projet'!B14="",'Données projet'!C14="",'Données projet'!C14=0%),0,Calculateur!DT3)</f>
        <v>309.14579005132464</v>
      </c>
      <c r="D11" s="147">
        <f>IF(OR('Données projet'!B14="",'Données projet'!C14="",'Données projet'!C14=0%),0,Calculateur!DU3)</f>
        <v>300.60311050289533</v>
      </c>
      <c r="E11" s="147">
        <f t="shared" ca="1" si="0"/>
        <v>300.60311050289533</v>
      </c>
      <c r="F11" s="147">
        <f t="shared" ca="1" si="1"/>
        <v>22.545233287717149</v>
      </c>
      <c r="G11" s="147">
        <f ca="1">F11*(100%-'Données projet'!$C$24)*(100%-'Données projet'!$C$25)*(100%-'Données projet'!$C$26)*(100%-'Données projet'!$C$27)</f>
        <v>20.290709958945435</v>
      </c>
      <c r="H11" s="155">
        <f>IF(OR('Données projet'!B14="",'Données projet'!C14="",'Données projet'!C14=0%),0,AVERAGE(Calculateur!$ED$3:$ED$33)*B11)</f>
        <v>6.3154652670547743E-3</v>
      </c>
      <c r="I11" s="149">
        <f>H11*(100%-'Données projet'!$C$24)*(100%-'Données projet'!$C$25)*(100%-'Données projet'!$C$26)*(100%-'Données projet'!$C$27)</f>
        <v>5.6839187403492971E-3</v>
      </c>
      <c r="J11" s="150">
        <f>IF(OR('Données projet'!B14="",'Données projet'!C14="",'Données projet'!C14=0%),0,SUM(Calculateur!$DW$3:$DW$33)*VLOOKUP('Données projet'!$B$14,Paramètres!$A$1:$I$89,9,0)*B11)</f>
        <v>1.85625</v>
      </c>
      <c r="K11" s="151">
        <f>J11*(100%-'Données projet'!$C$24)*(100%-'Données projet'!$C$25)*(100%-'Données projet'!$C$26)*(100%-'Données projet'!$C$27)</f>
        <v>1.670625</v>
      </c>
      <c r="L11" s="152">
        <f t="shared" ca="1" si="2"/>
        <v>21.967018877685785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>Châtaignier</v>
      </c>
      <c r="B12" s="154">
        <f>'Données projet'!D15</f>
        <v>7.4999999999999997E-2</v>
      </c>
      <c r="C12" s="147">
        <f ca="1">IF(OR('Données projet'!B15="",'Données projet'!C15="",'Données projet'!C15=0%),0,Calculateur!EO3)</f>
        <v>338.59243085476896</v>
      </c>
      <c r="D12" s="147">
        <f>IF(OR('Données projet'!B15="",'Données projet'!C15="",'Données projet'!C15=0%),0,Calculateur!EP3)</f>
        <v>329.8393445823275</v>
      </c>
      <c r="E12" s="147">
        <f t="shared" ca="1" si="0"/>
        <v>329.8393445823275</v>
      </c>
      <c r="F12" s="147">
        <f t="shared" ca="1" si="1"/>
        <v>24.737950843674561</v>
      </c>
      <c r="G12" s="147">
        <f ca="1">F12*(100%-'Données projet'!$C$24)*(100%-'Données projet'!$C$25)*(100%-'Données projet'!$C$26)*(100%-'Données projet'!$C$27)</f>
        <v>22.264155759307105</v>
      </c>
      <c r="H12" s="155">
        <f>IF(OR('Données projet'!B15="",'Données projet'!C15="",'Données projet'!C15=0%),0,AVERAGE(Calculateur!$EY$3:$EY$33)*B12)</f>
        <v>3.9626031588718559E-2</v>
      </c>
      <c r="I12" s="149">
        <f>H12*(100%-'Données projet'!$C$24)*(100%-'Données projet'!$C$25)*(100%-'Données projet'!$C$26)*(100%-'Données projet'!$C$27)</f>
        <v>3.5663428429846704E-2</v>
      </c>
      <c r="J12" s="150">
        <f>IF(OR('Données projet'!B15="",'Données projet'!C15="",'Données projet'!C15=0%),0,SUM(Calculateur!$ER$3:$ER$33)*VLOOKUP('Données projet'!$B$15,Paramètres!$A$1:$I$89,9,0)*B12)</f>
        <v>2.5687500000000001</v>
      </c>
      <c r="K12" s="151">
        <f>J12*(100%-'Données projet'!$C$24)*(100%-'Données projet'!$C$25)*(100%-'Données projet'!$C$26)*(100%-'Données projet'!$C$27)</f>
        <v>2.3118750000000001</v>
      </c>
      <c r="L12" s="152">
        <f t="shared" ca="1" si="2"/>
        <v>24.611694187736951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>Aulne à feuilles en cœur</v>
      </c>
      <c r="B13" s="154">
        <f>'Données projet'!D16</f>
        <v>0.2</v>
      </c>
      <c r="C13" s="147">
        <f ca="1">IF(OR('Données projet'!B16="",'Données projet'!C16="",'Données projet'!C16=0%),0,Calculateur!FJ3)</f>
        <v>307.50573770128085</v>
      </c>
      <c r="D13" s="147">
        <f>IF(OR('Données projet'!B16="",'Données projet'!C16="",'Données projet'!C16=0%),0,Calculateur!FK3)</f>
        <v>300.2007312562655</v>
      </c>
      <c r="E13" s="147">
        <f t="shared" ca="1" si="0"/>
        <v>300.2007312562655</v>
      </c>
      <c r="F13" s="147">
        <f t="shared" ca="1" si="1"/>
        <v>60.040146251253105</v>
      </c>
      <c r="G13" s="147">
        <f ca="1">F13*(100%-'Données projet'!$C$24)*(100%-'Données projet'!$C$25)*(100%-'Données projet'!$C$26)*(100%-'Données projet'!$C$27)</f>
        <v>54.036131626127798</v>
      </c>
      <c r="H13" s="155">
        <f>IF(OR('Données projet'!B16="",'Données projet'!C16="",'Données projet'!C16=0%),0,AVERAGE(Calculateur!$FT$3:$FT$33)*B13)</f>
        <v>9.4427990168861262E-2</v>
      </c>
      <c r="I13" s="149">
        <f>H13*(100%-'Données projet'!$C$24)*(100%-'Données projet'!$C$25)*(100%-'Données projet'!$C$26)*(100%-'Données projet'!$C$27)</f>
        <v>8.4985191151975142E-2</v>
      </c>
      <c r="J13" s="150">
        <f>IF(OR('Données projet'!C16="",'Données projet'!C16=0%),0,SUM(Calculateur!$FM$3:$FM$33)*VLOOKUP('Données projet'!$B$16,Paramètres!$A$1:$I$89,9,0)*B13)</f>
        <v>6.8500000000000005</v>
      </c>
      <c r="K13" s="151">
        <f>J13*(100%-'Données projet'!$C$24)*(100%-'Données projet'!$C$25)*(100%-'Données projet'!$C$26)*(100%-'Données projet'!$C$27)</f>
        <v>6.1650000000000009</v>
      </c>
      <c r="L13" s="152">
        <f t="shared" ca="1" si="2"/>
        <v>60.286116817279769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>Bouleau verruqueux</v>
      </c>
      <c r="B14" s="154">
        <f>'Données projet'!D17</f>
        <v>0.25</v>
      </c>
      <c r="C14" s="147">
        <f ca="1">IF(OR('Données projet'!B17="",'Données projet'!C17="",'Données projet'!C17=0%),0,Calculateur!GE3)</f>
        <v>369.60865427618342</v>
      </c>
      <c r="D14" s="147">
        <f>IF(OR('Données projet'!B17="",'Données projet'!C17="",'Données projet'!C17=0%),0,Calculateur!GF3)</f>
        <v>359.40898775279197</v>
      </c>
      <c r="E14" s="147">
        <f t="shared" ca="1" si="0"/>
        <v>359.40898775279197</v>
      </c>
      <c r="F14" s="147">
        <f t="shared" ca="1" si="1"/>
        <v>89.852246938197993</v>
      </c>
      <c r="G14" s="147">
        <f ca="1">F14*(100%-'Données projet'!$C$24)*(100%-'Données projet'!$C$25)*(100%-'Données projet'!$C$26)*(100%-'Données projet'!$C$27)</f>
        <v>80.867022244378191</v>
      </c>
      <c r="H14" s="155">
        <f>IF(OR('Données projet'!B17="",'Données projet'!C17="",'Données projet'!C17=0%),0,AVERAGE(Calculateur!$GO$3:$GO$33)*B14)</f>
        <v>0.14613855621371385</v>
      </c>
      <c r="I14" s="149">
        <f>H14*(100%-'Données projet'!$C$24)*(100%-'Données projet'!$C$25)*(100%-'Données projet'!$C$26)*(100%-'Données projet'!$C$27)</f>
        <v>0.13152470059234248</v>
      </c>
      <c r="J14" s="150">
        <f>IF(OR('Données projet'!B17="",'Données projet'!C17="",'Données projet'!C17=0%),0,SUM(Calculateur!$GH$3:$GH$33)*VLOOKUP('Données projet'!$B$17,Paramètres!$A$1:$I$89,9,0)*B14)</f>
        <v>8.5625</v>
      </c>
      <c r="K14" s="151">
        <f>J14*(100%-'Données projet'!$C$24)*(100%-'Données projet'!$C$25)*(100%-'Données projet'!$C$26)*(100%-'Données projet'!$C$27)</f>
        <v>7.7062499999999998</v>
      </c>
      <c r="L14" s="152">
        <f t="shared" ca="1" si="2"/>
        <v>88.704796944970525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>Aulne glutineux</v>
      </c>
      <c r="B15" s="157">
        <f>'Données projet'!D18</f>
        <v>0.1</v>
      </c>
      <c r="C15" s="158">
        <f ca="1">IF(OR('Données projet'!B18="",'Données projet'!C18="",'Données projet'!C18=0%),0,Calculateur!GZ3)</f>
        <v>262.62914256200031</v>
      </c>
      <c r="D15" s="158">
        <f>IF(OR('Données projet'!B18="",'Données projet'!C18="",'Données projet'!C18=0%),0,Calculateur!HA3)</f>
        <v>256.45129229594409</v>
      </c>
      <c r="E15" s="158">
        <f t="shared" ca="1" si="0"/>
        <v>256.45129229594409</v>
      </c>
      <c r="F15" s="159">
        <f t="shared" ca="1" si="1"/>
        <v>25.64512922959441</v>
      </c>
      <c r="G15" s="159">
        <f ca="1">F15*(100%-'Données projet'!$C$24)*(100%-'Données projet'!$C$25)*(100%-'Données projet'!$C$26)*(100%-'Données projet'!$C$27)</f>
        <v>23.080616306634969</v>
      </c>
      <c r="H15" s="160">
        <f>IF(OR('Données projet'!B18="",'Données projet'!C18="",'Données projet'!C18=0%),0,AVERAGE(Calculateur!$HJ$3:$HJ$33)*B15)</f>
        <v>5.6262080514494633E-3</v>
      </c>
      <c r="I15" s="161">
        <f>H15*(100%-'Données projet'!$C$24)*(100%-'Données projet'!$C$25)*(100%-'Données projet'!$C$26)*(100%-'Données projet'!$C$27)</f>
        <v>5.0635872463045172E-3</v>
      </c>
      <c r="J15" s="162">
        <f>IF(OR('Données projet'!B18="",'Données projet'!C18="",'Données projet'!C18=0%),0,SUM(Calculateur!$HC$3:$HC$33)*VLOOKUP('Données projet'!$B$18,Paramètres!$A$1:$I$89,9,0)*B15)</f>
        <v>2.4750000000000001</v>
      </c>
      <c r="K15" s="163">
        <f>J15*(100%-'Données projet'!$C$24)*(100%-'Données projet'!$C$25)*(100%-'Données projet'!$C$26)*(100%-'Données projet'!$C$27)</f>
        <v>2.2275</v>
      </c>
      <c r="L15" s="164">
        <f t="shared" ca="1" si="2"/>
        <v>25.313179893881273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8"/>
      <c r="B16" s="212"/>
      <c r="C16" s="213"/>
      <c r="D16" s="23"/>
      <c r="E16" s="23"/>
      <c r="F16" s="165">
        <f t="shared" ref="F16:L16" ca="1" si="3">SUM(F6:F15)</f>
        <v>524.30717298912236</v>
      </c>
      <c r="G16" s="166">
        <f t="shared" ca="1" si="3"/>
        <v>471.87645569021015</v>
      </c>
      <c r="H16" s="167">
        <f t="shared" si="3"/>
        <v>0.29213425128979792</v>
      </c>
      <c r="I16" s="167">
        <f t="shared" si="3"/>
        <v>0.26292082616081813</v>
      </c>
      <c r="J16" s="168">
        <f t="shared" si="3"/>
        <v>28.875</v>
      </c>
      <c r="K16" s="168">
        <f t="shared" si="3"/>
        <v>25.987500000000001</v>
      </c>
      <c r="L16" s="169">
        <f t="shared" ca="1" si="3"/>
        <v>498.12687651637088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Hêtre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 pédonculé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Chêne sessile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Chêne pubescent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Charme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Erable sycomore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>Châtaignier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>Aulne à feuilles en cœur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>Bouleau verruqueux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>Aulne glutineux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C1" zoomScale="80" zoomScaleNormal="80" workbookViewId="0">
      <selection activeCell="R30" sqref="R3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42578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7" t="s">
        <v>315</v>
      </c>
      <c r="I4" s="257"/>
      <c r="K4" s="299" t="s">
        <v>253</v>
      </c>
      <c r="L4" s="300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1" t="s">
        <v>310</v>
      </c>
      <c r="S7" s="292"/>
      <c r="T7" s="292"/>
      <c r="U7" s="292"/>
      <c r="V7" s="29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Hêtre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-1462.9075533813746</v>
      </c>
      <c r="U10" s="178">
        <f>'Données projet'!D9</f>
        <v>0.44999999999999996</v>
      </c>
      <c r="V10" s="177">
        <f>U10*T10</f>
        <v>-658.30839902161847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>Chêne pédonculé</v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28.665788696967013</v>
      </c>
      <c r="U11" s="178">
        <f>'Données projet'!D10</f>
        <v>0.2</v>
      </c>
      <c r="V11" s="177">
        <f t="shared" ref="V11" si="0">U11*T11</f>
        <v>5.7331577393934028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>Chêne sessile</v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28.665788696967013</v>
      </c>
      <c r="U12" s="178">
        <f>'Données projet'!D11</f>
        <v>0.25</v>
      </c>
      <c r="V12" s="177">
        <f t="shared" ref="V12:V19" si="1">U12*T12</f>
        <v>7.1664471742417533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>Chêne pubescent</v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28.665788696967013</v>
      </c>
      <c r="U13" s="178">
        <f>'Données projet'!D12</f>
        <v>0.05</v>
      </c>
      <c r="V13" s="177">
        <f t="shared" si="1"/>
        <v>1.4332894348483507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Hêtre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>Charme</v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-1502.5475004910716</v>
      </c>
      <c r="U14" s="178">
        <f>'Données projet'!D13</f>
        <v>0.4</v>
      </c>
      <c r="V14" s="177">
        <f t="shared" si="1"/>
        <v>-601.01900019642869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29"/>
      <c r="G15" s="302" t="s">
        <v>318</v>
      </c>
      <c r="H15" s="190"/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>Erable sycomore</v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-633.25509136089386</v>
      </c>
      <c r="U15" s="178">
        <f>'Données projet'!D14</f>
        <v>7.4999999999999997E-2</v>
      </c>
      <c r="V15" s="177">
        <f t="shared" si="1"/>
        <v>-47.494131852067035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302"/>
      <c r="H16" s="190"/>
      <c r="I16" s="191"/>
      <c r="J16" s="201"/>
      <c r="K16" s="207"/>
      <c r="L16" s="299" t="s">
        <v>254</v>
      </c>
      <c r="M16" s="300"/>
      <c r="N16" s="2"/>
      <c r="O16" s="23"/>
      <c r="P16" s="23"/>
      <c r="Q16" s="233"/>
      <c r="R16" s="23"/>
      <c r="S16" s="36" t="str">
        <f>B200</f>
        <v>Châtaignier</v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556.50103135906625</v>
      </c>
      <c r="U16" s="178">
        <f>'Données projet'!D15</f>
        <v>7.4999999999999997E-2</v>
      </c>
      <c r="V16" s="177">
        <f t="shared" si="1"/>
        <v>41.737577351929964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8" t="s">
        <v>132</v>
      </c>
      <c r="C17" s="197" t="s">
        <v>132</v>
      </c>
      <c r="D17" s="196" t="s">
        <v>132</v>
      </c>
      <c r="E17" s="193">
        <v>1845.56</v>
      </c>
      <c r="F17" s="229"/>
      <c r="G17" s="302"/>
      <c r="J17" s="201"/>
      <c r="K17" s="207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>Aulne à feuilles en cœur</v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-403.88137246097625</v>
      </c>
      <c r="U17" s="178">
        <f>'Données projet'!D16</f>
        <v>0.2</v>
      </c>
      <c r="V17" s="177">
        <f t="shared" si="1"/>
        <v>-80.776274492195256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302"/>
      <c r="J18" s="201"/>
      <c r="K18" s="207"/>
      <c r="L18" s="259" t="s">
        <v>255</v>
      </c>
      <c r="M18" s="261"/>
      <c r="N18" s="192"/>
      <c r="O18" s="23"/>
      <c r="P18" s="23"/>
      <c r="Q18" s="233"/>
      <c r="R18" s="23"/>
      <c r="S18" s="36" t="str">
        <f>B262</f>
        <v>Bouleau verruqueux</v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-403.88137246097625</v>
      </c>
      <c r="U18" s="178">
        <f>'Données projet'!D17</f>
        <v>0.25</v>
      </c>
      <c r="V18" s="177">
        <f t="shared" si="1"/>
        <v>-100.97034311524406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8" t="s">
        <v>132</v>
      </c>
      <c r="C19" s="197" t="s">
        <v>132</v>
      </c>
      <c r="D19" s="196" t="s">
        <v>132</v>
      </c>
      <c r="E19" s="193"/>
      <c r="F19" s="229"/>
      <c r="G19" s="302"/>
      <c r="H19" s="211" t="s">
        <v>178</v>
      </c>
      <c r="I19" s="211" t="s">
        <v>287</v>
      </c>
      <c r="J19" s="93"/>
      <c r="K19" s="173"/>
      <c r="L19" s="299" t="s">
        <v>288</v>
      </c>
      <c r="M19" s="300"/>
      <c r="N19" s="179">
        <f>N17*N18</f>
        <v>0</v>
      </c>
      <c r="O19" s="23"/>
      <c r="P19" s="4"/>
      <c r="Q19" s="234"/>
      <c r="R19" s="4"/>
      <c r="S19" s="36" t="str">
        <f>B293</f>
        <v>Aulne glutineux</v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-905.68606383351084</v>
      </c>
      <c r="U19" s="178">
        <f>'Données projet'!D18</f>
        <v>0.1</v>
      </c>
      <c r="V19" s="177">
        <f t="shared" si="1"/>
        <v>-90.568606383351096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8" t="s">
        <v>132</v>
      </c>
      <c r="C20" s="197" t="s">
        <v>132</v>
      </c>
      <c r="D20" s="196" t="s">
        <v>132</v>
      </c>
      <c r="E20" s="193"/>
      <c r="F20" s="229"/>
      <c r="G20" s="302"/>
      <c r="H20" s="190">
        <v>0</v>
      </c>
      <c r="I20" s="191">
        <v>300</v>
      </c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8" t="s">
        <v>132</v>
      </c>
      <c r="C21" s="197" t="s">
        <v>132</v>
      </c>
      <c r="D21" s="196" t="s">
        <v>132</v>
      </c>
      <c r="E21" s="193"/>
      <c r="F21" s="229"/>
      <c r="H21" s="190">
        <v>1</v>
      </c>
      <c r="I21" s="191">
        <v>300</v>
      </c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8" t="s">
        <v>132</v>
      </c>
      <c r="C22" s="197" t="s">
        <v>132</v>
      </c>
      <c r="D22" s="196" t="s">
        <v>132</v>
      </c>
      <c r="E22" s="193"/>
      <c r="F22" s="229"/>
      <c r="H22" s="190">
        <v>2</v>
      </c>
      <c r="I22" s="191"/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25</v>
      </c>
      <c r="B23" s="181">
        <f>'Données projet'!D36</f>
        <v>7</v>
      </c>
      <c r="C23" s="193">
        <f>47*'Données projet'!E36+13.8*('Données projet'!F36+'Données projet'!G36)+10*'Données projet'!G36</f>
        <v>0</v>
      </c>
      <c r="D23" s="182">
        <f>B23*C23</f>
        <v>0</v>
      </c>
      <c r="E23" s="193"/>
      <c r="F23" s="229"/>
      <c r="H23" s="190">
        <v>3</v>
      </c>
      <c r="I23" s="191">
        <v>300</v>
      </c>
      <c r="K23" s="207"/>
      <c r="L23" s="301" t="s">
        <v>260</v>
      </c>
      <c r="M23" s="301"/>
      <c r="N23" s="301"/>
      <c r="O23" s="23"/>
      <c r="P23" s="23"/>
      <c r="Q23" s="233"/>
      <c r="R23" s="23"/>
      <c r="S23" s="36" t="s">
        <v>264</v>
      </c>
      <c r="T23" s="29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-3647.9920856839694</v>
      </c>
      <c r="U23" s="296"/>
      <c r="V23" s="29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30</v>
      </c>
      <c r="B24" s="181">
        <f>'Données projet'!D37</f>
        <v>28</v>
      </c>
      <c r="C24" s="193">
        <f>47*'Données projet'!E37+13.8*('Données projet'!F37+'Données projet'!G37)+10*'Données projet'!G37</f>
        <v>0</v>
      </c>
      <c r="D24" s="182">
        <f t="shared" ref="D24:D42" si="2">B24*C24</f>
        <v>0</v>
      </c>
      <c r="E24" s="193"/>
      <c r="F24" s="232"/>
      <c r="H24" s="190">
        <v>4</v>
      </c>
      <c r="I24" s="191"/>
      <c r="K24" s="207"/>
      <c r="O24" s="23"/>
      <c r="P24" s="23"/>
      <c r="Q24" s="233"/>
      <c r="R24" s="23"/>
      <c r="S24" s="36" t="s">
        <v>261</v>
      </c>
      <c r="T24" s="29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7"/>
      <c r="V24" s="29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35</v>
      </c>
      <c r="B25" s="181">
        <f>'Données projet'!D38</f>
        <v>28</v>
      </c>
      <c r="C25" s="193">
        <f>47*'Données projet'!E38+13.8*('Données projet'!F38+'Données projet'!G38)+10*'Données projet'!G38</f>
        <v>0</v>
      </c>
      <c r="D25" s="182">
        <f t="shared" si="2"/>
        <v>0</v>
      </c>
      <c r="E25" s="193"/>
      <c r="F25" s="232"/>
      <c r="H25" s="190">
        <v>5</v>
      </c>
      <c r="I25" s="191"/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298">
        <f ca="1">T23-T24</f>
        <v>-3647.9920856839694</v>
      </c>
      <c r="U25" s="298"/>
      <c r="V25" s="29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40</v>
      </c>
      <c r="B26" s="181">
        <f>'Données projet'!D39</f>
        <v>28</v>
      </c>
      <c r="C26" s="193">
        <f>47*'Données projet'!E39+13.8*('Données projet'!F39+'Données projet'!G39)+10*'Données projet'!G39</f>
        <v>0</v>
      </c>
      <c r="D26" s="182">
        <f t="shared" si="2"/>
        <v>0</v>
      </c>
      <c r="E26" s="193"/>
      <c r="F26" s="232"/>
      <c r="G26" s="228"/>
      <c r="H26" s="190"/>
      <c r="I26" s="191"/>
      <c r="K26" s="207"/>
      <c r="L26" s="285" t="s">
        <v>258</v>
      </c>
      <c r="M26" s="286"/>
      <c r="N26" s="286"/>
      <c r="O26" s="286"/>
      <c r="P26" s="287"/>
      <c r="Q26" s="233"/>
      <c r="R26" s="23"/>
      <c r="S26" s="186" t="s">
        <v>265</v>
      </c>
      <c r="T26" s="295" t="str">
        <f ca="1">IF(T25&lt;0,"Votre projet est additionnel","Votre projet n'est pas additionnel")</f>
        <v>Votre projet est additionnel</v>
      </c>
      <c r="U26" s="295"/>
      <c r="V26" s="29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45</v>
      </c>
      <c r="B27" s="181">
        <f>'Données projet'!D40</f>
        <v>28</v>
      </c>
      <c r="C27" s="193">
        <f>47*'Données projet'!E40+13.8*('Données projet'!F40+'Données projet'!G40)+10*'Données projet'!G40</f>
        <v>9.4</v>
      </c>
      <c r="D27" s="182">
        <f t="shared" si="2"/>
        <v>263.2</v>
      </c>
      <c r="E27" s="193"/>
      <c r="F27" s="232"/>
      <c r="G27" s="228"/>
      <c r="H27" s="190"/>
      <c r="I27" s="191"/>
      <c r="K27" s="207"/>
      <c r="L27" s="288"/>
      <c r="M27" s="289"/>
      <c r="N27" s="289"/>
      <c r="O27" s="289"/>
      <c r="P27" s="290"/>
      <c r="Q27" s="233"/>
      <c r="R27" s="23"/>
      <c r="S27" s="294" t="s">
        <v>267</v>
      </c>
      <c r="T27" s="294"/>
      <c r="U27" s="294"/>
      <c r="V27" s="29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50</v>
      </c>
      <c r="B28" s="181">
        <f>'Données projet'!D41</f>
        <v>28</v>
      </c>
      <c r="C28" s="193">
        <f>47*'Données projet'!E41+13.8*('Données projet'!F41+'Données projet'!G41)+10*'Données projet'!G41</f>
        <v>9.4</v>
      </c>
      <c r="D28" s="182">
        <f t="shared" si="2"/>
        <v>263.2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55</v>
      </c>
      <c r="B29" s="181">
        <f>'Données projet'!D42</f>
        <v>28</v>
      </c>
      <c r="C29" s="193">
        <f>47*'Données projet'!E42+13.8*('Données projet'!F42+'Données projet'!G42)+10*'Données projet'!G42</f>
        <v>14.1</v>
      </c>
      <c r="D29" s="182">
        <f t="shared" si="2"/>
        <v>394.8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60</v>
      </c>
      <c r="B30" s="181">
        <f>'Données projet'!D43</f>
        <v>28</v>
      </c>
      <c r="C30" s="193">
        <f>47*'Données projet'!E43+13.8*('Données projet'!F43+'Données projet'!G43)+10*'Données projet'!G43</f>
        <v>14.1</v>
      </c>
      <c r="D30" s="182">
        <f t="shared" si="2"/>
        <v>394.8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65</v>
      </c>
      <c r="B31" s="181">
        <f>'Données projet'!D44</f>
        <v>28</v>
      </c>
      <c r="C31" s="193">
        <f>47*'Données projet'!E44+13.8*('Données projet'!F44+'Données projet'!G44)+10*'Données projet'!G44</f>
        <v>18.8</v>
      </c>
      <c r="D31" s="182">
        <f t="shared" si="2"/>
        <v>526.4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70</v>
      </c>
      <c r="B32" s="181">
        <f>'Données projet'!D45</f>
        <v>28</v>
      </c>
      <c r="C32" s="193">
        <f>47*'Données projet'!E45+13.8*('Données projet'!F45+'Données projet'!G45)+10*'Données projet'!G45</f>
        <v>18.8</v>
      </c>
      <c r="D32" s="182">
        <f t="shared" si="2"/>
        <v>526.4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75</v>
      </c>
      <c r="B33" s="181">
        <f>'Données projet'!D46</f>
        <v>28</v>
      </c>
      <c r="C33" s="193">
        <f>47*'Données projet'!E46+13.8*('Données projet'!F46+'Données projet'!G46)+10*'Données projet'!G46</f>
        <v>23.5</v>
      </c>
      <c r="D33" s="182">
        <f t="shared" si="2"/>
        <v>658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80</v>
      </c>
      <c r="B34" s="181">
        <f>'Données projet'!D47</f>
        <v>28</v>
      </c>
      <c r="C34" s="193">
        <f>47*'Données projet'!E47+13.8*('Données projet'!F47+'Données projet'!G47)+10*'Données projet'!G47</f>
        <v>23.5</v>
      </c>
      <c r="D34" s="182">
        <f t="shared" si="2"/>
        <v>658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85</v>
      </c>
      <c r="B35" s="181">
        <f>'Données projet'!D48</f>
        <v>27</v>
      </c>
      <c r="C35" s="193">
        <f>47*'Données projet'!E48+13.8*('Données projet'!F48+'Données projet'!G48)+10*'Données projet'!G48</f>
        <v>28.2</v>
      </c>
      <c r="D35" s="182">
        <f t="shared" si="2"/>
        <v>761.4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90</v>
      </c>
      <c r="B36" s="181">
        <f>'Données projet'!D49</f>
        <v>26</v>
      </c>
      <c r="C36" s="193">
        <f>47*'Données projet'!E49+13.8*('Données projet'!F49+'Données projet'!G49)+10*'Données projet'!G49</f>
        <v>28.2</v>
      </c>
      <c r="D36" s="182">
        <f t="shared" si="2"/>
        <v>733.19999999999993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95</v>
      </c>
      <c r="B37" s="181">
        <f>'Données projet'!D50</f>
        <v>25</v>
      </c>
      <c r="C37" s="193">
        <f>47*'Données projet'!E50+13.8*('Données projet'!F50+'Données projet'!G50)+10*'Données projet'!G50</f>
        <v>32.9</v>
      </c>
      <c r="D37" s="182">
        <f t="shared" si="2"/>
        <v>822.5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100</v>
      </c>
      <c r="B38" s="181">
        <f>'Données projet'!D51</f>
        <v>24</v>
      </c>
      <c r="C38" s="193">
        <f>47*'Données projet'!E51+13.8*('Données projet'!F51+'Données projet'!G51)+10*'Données projet'!G51</f>
        <v>32.9</v>
      </c>
      <c r="D38" s="182">
        <f t="shared" si="2"/>
        <v>789.59999999999991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105</v>
      </c>
      <c r="B39" s="181">
        <f>'Données projet'!D52</f>
        <v>23</v>
      </c>
      <c r="C39" s="193">
        <f>47*'Données projet'!E52+13.8*('Données projet'!F52+'Données projet'!G52)+10*'Données projet'!G52</f>
        <v>32.9</v>
      </c>
      <c r="D39" s="182">
        <f t="shared" si="2"/>
        <v>756.69999999999993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110</v>
      </c>
      <c r="B40" s="181">
        <f>'Données projet'!D53</f>
        <v>22</v>
      </c>
      <c r="C40" s="193">
        <f>47*'Données projet'!E53+13.8*('Données projet'!F53+'Données projet'!G53)+10*'Données projet'!G53</f>
        <v>37.6</v>
      </c>
      <c r="D40" s="182">
        <f t="shared" si="2"/>
        <v>827.2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115</v>
      </c>
      <c r="B41" s="181">
        <f>'Données projet'!D54</f>
        <v>22</v>
      </c>
      <c r="C41" s="193">
        <f>47*'Données projet'!E54+13.8*('Données projet'!F54+'Données projet'!G54)+10*'Données projet'!G54</f>
        <v>37.6</v>
      </c>
      <c r="D41" s="182">
        <f t="shared" si="2"/>
        <v>827.2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120</v>
      </c>
      <c r="B42" s="181">
        <f>'Données projet'!D55</f>
        <v>432</v>
      </c>
      <c r="C42" s="193">
        <f>47*'Données projet'!E55+13.8*('Données projet'!F55+'Données projet'!G55)+10*'Données projet'!G55</f>
        <v>37.6</v>
      </c>
      <c r="D42" s="182">
        <f t="shared" si="2"/>
        <v>16243.2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Chêne pédonculé</v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8" t="s">
        <v>132</v>
      </c>
      <c r="C48" s="197" t="s">
        <v>132</v>
      </c>
      <c r="D48" s="196" t="s">
        <v>132</v>
      </c>
      <c r="E48" s="193">
        <v>1845.56</v>
      </c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8" t="s">
        <v>132</v>
      </c>
      <c r="C52" s="197" t="s">
        <v>132</v>
      </c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8" t="s">
        <v>132</v>
      </c>
      <c r="C53" s="197" t="s">
        <v>132</v>
      </c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0</v>
      </c>
      <c r="C54" s="191">
        <f>225*'Données projet'!E62+13.8*('Données projet'!F62+'Données projet'!G62)+10*'Données projet'!H62</f>
        <v>10</v>
      </c>
      <c r="D54" s="179">
        <f>B54*C54</f>
        <v>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25</v>
      </c>
      <c r="B55" s="181">
        <f>'Données projet'!D63</f>
        <v>0</v>
      </c>
      <c r="C55" s="191">
        <f>225*'Données projet'!E63+13.8*('Données projet'!F63+'Données projet'!G63)+10*'Données projet'!H63</f>
        <v>10</v>
      </c>
      <c r="D55" s="179">
        <f t="shared" ref="D55:D73" si="4">B55*C55</f>
        <v>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30</v>
      </c>
      <c r="B56" s="181">
        <f>'Données projet'!D64</f>
        <v>21</v>
      </c>
      <c r="C56" s="191">
        <f>225*'Données projet'!E64+13.8*('Données projet'!F64+'Données projet'!G64)+10*'Données projet'!H64</f>
        <v>10</v>
      </c>
      <c r="D56" s="179">
        <f t="shared" si="4"/>
        <v>210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35</v>
      </c>
      <c r="B57" s="181">
        <f>'Données projet'!D65</f>
        <v>21</v>
      </c>
      <c r="C57" s="191">
        <f>225*'Données projet'!E65+13.8*('Données projet'!F65+'Données projet'!G65)+10*'Données projet'!H65</f>
        <v>10</v>
      </c>
      <c r="D57" s="179">
        <f t="shared" si="4"/>
        <v>210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40</v>
      </c>
      <c r="B58" s="181">
        <f>'Données projet'!D66</f>
        <v>21</v>
      </c>
      <c r="C58" s="191">
        <f>225*'Données projet'!E66+13.8*('Données projet'!F66+'Données projet'!G66)+10*'Données projet'!H66</f>
        <v>53</v>
      </c>
      <c r="D58" s="179">
        <f t="shared" si="4"/>
        <v>1113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45</v>
      </c>
      <c r="B59" s="181">
        <f>'Données projet'!D67</f>
        <v>21</v>
      </c>
      <c r="C59" s="191">
        <f>225*'Données projet'!E67+13.8*('Données projet'!F67+'Données projet'!G67)+10*'Données projet'!H67</f>
        <v>53</v>
      </c>
      <c r="D59" s="179">
        <f t="shared" si="4"/>
        <v>1113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50</v>
      </c>
      <c r="B60" s="181">
        <f>'Données projet'!D68</f>
        <v>21</v>
      </c>
      <c r="C60" s="191">
        <f>225*'Données projet'!E68+13.8*('Données projet'!F68+'Données projet'!G68)+10*'Données projet'!H68</f>
        <v>74.5</v>
      </c>
      <c r="D60" s="179">
        <f t="shared" si="4"/>
        <v>1564.5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55</v>
      </c>
      <c r="B61" s="181">
        <f>'Données projet'!D69</f>
        <v>21</v>
      </c>
      <c r="C61" s="191">
        <f>225*'Données projet'!E69+13.8*('Données projet'!F69+'Données projet'!G69)+10*'Données projet'!H69</f>
        <v>74.5</v>
      </c>
      <c r="D61" s="179">
        <f t="shared" si="4"/>
        <v>1564.5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60</v>
      </c>
      <c r="B62" s="181">
        <f>'Données projet'!D70</f>
        <v>21</v>
      </c>
      <c r="C62" s="191">
        <f>225*'Données projet'!E70+13.8*('Données projet'!F70+'Données projet'!G70)+10*'Données projet'!H70</f>
        <v>96</v>
      </c>
      <c r="D62" s="179">
        <f t="shared" si="4"/>
        <v>2016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65</v>
      </c>
      <c r="B63" s="181">
        <f>'Données projet'!D71</f>
        <v>21</v>
      </c>
      <c r="C63" s="191">
        <f>225*'Données projet'!E71+13.8*('Données projet'!F71+'Données projet'!G71)+10*'Données projet'!H71</f>
        <v>96</v>
      </c>
      <c r="D63" s="179">
        <f t="shared" si="4"/>
        <v>2016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70</v>
      </c>
      <c r="B64" s="181">
        <f>'Données projet'!D72</f>
        <v>21</v>
      </c>
      <c r="C64" s="191">
        <f>225*'Données projet'!E72+13.8*('Données projet'!F72+'Données projet'!G72)+10*'Données projet'!H72</f>
        <v>117.5</v>
      </c>
      <c r="D64" s="179">
        <f t="shared" si="4"/>
        <v>2467.5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75</v>
      </c>
      <c r="B65" s="181">
        <f>'Données projet'!D73</f>
        <v>21</v>
      </c>
      <c r="C65" s="191">
        <f>225*'Données projet'!E73+13.8*('Données projet'!F73+'Données projet'!G73)+10*'Données projet'!H73</f>
        <v>117.5</v>
      </c>
      <c r="D65" s="179">
        <f t="shared" si="4"/>
        <v>2467.5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80</v>
      </c>
      <c r="B66" s="181">
        <f>'Données projet'!D74</f>
        <v>21</v>
      </c>
      <c r="C66" s="191">
        <f>225*'Données projet'!E74+13.8*('Données projet'!F74+'Données projet'!G74)+10*'Données projet'!H74</f>
        <v>139</v>
      </c>
      <c r="D66" s="179">
        <f t="shared" si="4"/>
        <v>2919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85</v>
      </c>
      <c r="B67" s="181">
        <f>'Données projet'!D75</f>
        <v>21</v>
      </c>
      <c r="C67" s="191">
        <f>225*'Données projet'!E75+13.8*('Données projet'!F75+'Données projet'!G75)+10*'Données projet'!H75</f>
        <v>139</v>
      </c>
      <c r="D67" s="179">
        <f t="shared" si="4"/>
        <v>2919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90</v>
      </c>
      <c r="B68" s="181">
        <f>'Données projet'!D76</f>
        <v>21</v>
      </c>
      <c r="C68" s="191">
        <f>225*'Données projet'!E76+13.8*('Données projet'!F76+'Données projet'!G76)+10*'Données projet'!H76</f>
        <v>160.5</v>
      </c>
      <c r="D68" s="179">
        <f t="shared" si="4"/>
        <v>3370.5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95</v>
      </c>
      <c r="B69" s="181">
        <f>'Données projet'!D77</f>
        <v>21</v>
      </c>
      <c r="C69" s="191">
        <f>225*'Données projet'!E77+13.8*('Données projet'!F77+'Données projet'!G77)+10*'Données projet'!H77</f>
        <v>160.5</v>
      </c>
      <c r="D69" s="179">
        <f t="shared" si="4"/>
        <v>3370.5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100</v>
      </c>
      <c r="B70" s="181">
        <f>'Données projet'!D78</f>
        <v>21</v>
      </c>
      <c r="C70" s="191">
        <f>225*'Données projet'!E78+13.8*('Données projet'!F78+'Données projet'!G78)+10*'Données projet'!H78</f>
        <v>160.5</v>
      </c>
      <c r="D70" s="179">
        <f t="shared" si="4"/>
        <v>3370.5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110</v>
      </c>
      <c r="B71" s="181">
        <f>'Données projet'!D79</f>
        <v>39</v>
      </c>
      <c r="C71" s="191">
        <f>225*'Données projet'!E79+13.8*('Données projet'!F79+'Données projet'!G79)+10*'Données projet'!H79</f>
        <v>182</v>
      </c>
      <c r="D71" s="179">
        <f t="shared" si="4"/>
        <v>7098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115</v>
      </c>
      <c r="B72" s="181">
        <f>'Données projet'!D80</f>
        <v>18</v>
      </c>
      <c r="C72" s="191">
        <f>225*'Données projet'!E80+13.8*('Données projet'!F80+'Données projet'!G80)+10*'Données projet'!H80</f>
        <v>182</v>
      </c>
      <c r="D72" s="179">
        <f t="shared" si="4"/>
        <v>3276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120</v>
      </c>
      <c r="B73" s="181">
        <f>'Données projet'!D81</f>
        <v>285</v>
      </c>
      <c r="C73" s="191">
        <f>225*'Données projet'!E81+13.8*('Données projet'!F81+'Données projet'!G81)+10*'Données projet'!H81</f>
        <v>182</v>
      </c>
      <c r="D73" s="179">
        <f t="shared" si="4"/>
        <v>51870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Chêne sessile</v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30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8" t="s">
        <v>132</v>
      </c>
      <c r="C79" s="197" t="s">
        <v>132</v>
      </c>
      <c r="D79" s="196" t="s">
        <v>132</v>
      </c>
      <c r="E79" s="193">
        <v>1845.56</v>
      </c>
      <c r="F79" s="230"/>
      <c r="G79" s="205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8" t="s">
        <v>132</v>
      </c>
      <c r="C83" s="197" t="s">
        <v>132</v>
      </c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8" t="s">
        <v>132</v>
      </c>
      <c r="C84" s="197" t="s">
        <v>132</v>
      </c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20</v>
      </c>
      <c r="B85" s="181">
        <f>'Données projet'!D88</f>
        <v>0</v>
      </c>
      <c r="C85" s="191">
        <f>225*'Données projet'!E88+13.8*('Données projet'!F88+'Données projet'!G88)+10*'Données projet'!H88</f>
        <v>10</v>
      </c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25</v>
      </c>
      <c r="B86" s="181">
        <f>'Données projet'!D89</f>
        <v>0</v>
      </c>
      <c r="C86" s="191">
        <f>225*'Données projet'!E89+13.8*('Données projet'!F89+'Données projet'!G89)+10*'Données projet'!H89</f>
        <v>10</v>
      </c>
      <c r="D86" s="179">
        <f t="shared" ref="D86:D104" si="6">B86*C86</f>
        <v>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30</v>
      </c>
      <c r="B87" s="181">
        <f>'Données projet'!D90</f>
        <v>21</v>
      </c>
      <c r="C87" s="191">
        <f>225*'Données projet'!E90+13.8*('Données projet'!F90+'Données projet'!G90)+10*'Données projet'!H90</f>
        <v>10</v>
      </c>
      <c r="D87" s="179">
        <f t="shared" si="6"/>
        <v>210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35</v>
      </c>
      <c r="B88" s="181">
        <f>'Données projet'!D91</f>
        <v>21</v>
      </c>
      <c r="C88" s="191">
        <f>225*'Données projet'!E91+13.8*('Données projet'!F91+'Données projet'!G91)+10*'Données projet'!H91</f>
        <v>10</v>
      </c>
      <c r="D88" s="179">
        <f t="shared" si="6"/>
        <v>210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40</v>
      </c>
      <c r="B89" s="181">
        <f>'Données projet'!D92</f>
        <v>21</v>
      </c>
      <c r="C89" s="191">
        <f>225*'Données projet'!E92+13.8*('Données projet'!F92+'Données projet'!G92)+10*'Données projet'!H92</f>
        <v>53</v>
      </c>
      <c r="D89" s="179">
        <f t="shared" si="6"/>
        <v>1113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45</v>
      </c>
      <c r="B90" s="181">
        <f>'Données projet'!D93</f>
        <v>21</v>
      </c>
      <c r="C90" s="191">
        <f>225*'Données projet'!E93+13.8*('Données projet'!F93+'Données projet'!G93)+10*'Données projet'!H93</f>
        <v>53</v>
      </c>
      <c r="D90" s="179">
        <f t="shared" si="6"/>
        <v>1113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50</v>
      </c>
      <c r="B91" s="181">
        <f>'Données projet'!D94</f>
        <v>21</v>
      </c>
      <c r="C91" s="191">
        <f>225*'Données projet'!E94+13.8*('Données projet'!F94+'Données projet'!G94)+10*'Données projet'!H94</f>
        <v>74.5</v>
      </c>
      <c r="D91" s="179">
        <f t="shared" si="6"/>
        <v>1564.5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55</v>
      </c>
      <c r="B92" s="181">
        <f>'Données projet'!D95</f>
        <v>21</v>
      </c>
      <c r="C92" s="191">
        <f>225*'Données projet'!E95+13.8*('Données projet'!F95+'Données projet'!G95)+10*'Données projet'!H95</f>
        <v>74.5</v>
      </c>
      <c r="D92" s="179">
        <f t="shared" si="6"/>
        <v>1564.5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60</v>
      </c>
      <c r="B93" s="181">
        <f>'Données projet'!D96</f>
        <v>21</v>
      </c>
      <c r="C93" s="191">
        <f>225*'Données projet'!E96+13.8*('Données projet'!F96+'Données projet'!G96)+10*'Données projet'!H96</f>
        <v>96</v>
      </c>
      <c r="D93" s="179">
        <f t="shared" si="6"/>
        <v>2016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65</v>
      </c>
      <c r="B94" s="181">
        <f>'Données projet'!D97</f>
        <v>21</v>
      </c>
      <c r="C94" s="191">
        <f>225*'Données projet'!E97+13.8*('Données projet'!F97+'Données projet'!G97)+10*'Données projet'!H97</f>
        <v>96</v>
      </c>
      <c r="D94" s="179">
        <f t="shared" si="6"/>
        <v>2016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70</v>
      </c>
      <c r="B95" s="181">
        <f>'Données projet'!D98</f>
        <v>21</v>
      </c>
      <c r="C95" s="191">
        <f>225*'Données projet'!E98+13.8*('Données projet'!F98+'Données projet'!G98)+10*'Données projet'!H98</f>
        <v>117.5</v>
      </c>
      <c r="D95" s="179">
        <f t="shared" si="6"/>
        <v>2467.5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75</v>
      </c>
      <c r="B96" s="181">
        <f>'Données projet'!D99</f>
        <v>21</v>
      </c>
      <c r="C96" s="191">
        <f>225*'Données projet'!E99+13.8*('Données projet'!F99+'Données projet'!G99)+10*'Données projet'!H99</f>
        <v>117.5</v>
      </c>
      <c r="D96" s="179">
        <f t="shared" si="6"/>
        <v>2467.5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80</v>
      </c>
      <c r="B97" s="181">
        <f>'Données projet'!D100</f>
        <v>21</v>
      </c>
      <c r="C97" s="191">
        <f>225*'Données projet'!E100+13.8*('Données projet'!F100+'Données projet'!G100)+10*'Données projet'!H100</f>
        <v>139</v>
      </c>
      <c r="D97" s="179">
        <f t="shared" si="6"/>
        <v>2919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85</v>
      </c>
      <c r="B98" s="181">
        <f>'Données projet'!D101</f>
        <v>21</v>
      </c>
      <c r="C98" s="191">
        <f>225*'Données projet'!E101+13.8*('Données projet'!F101+'Données projet'!G101)+10*'Données projet'!H101</f>
        <v>139</v>
      </c>
      <c r="D98" s="179">
        <f t="shared" si="6"/>
        <v>2919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90</v>
      </c>
      <c r="B99" s="181">
        <f>'Données projet'!D102</f>
        <v>21</v>
      </c>
      <c r="C99" s="191">
        <f>225*'Données projet'!E102+13.8*('Données projet'!F102+'Données projet'!G102)+10*'Données projet'!H102</f>
        <v>160.5</v>
      </c>
      <c r="D99" s="179">
        <f t="shared" si="6"/>
        <v>3370.5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95</v>
      </c>
      <c r="B100" s="181">
        <f>'Données projet'!D103</f>
        <v>21</v>
      </c>
      <c r="C100" s="191">
        <f>225*'Données projet'!E103+13.8*('Données projet'!F103+'Données projet'!G103)+10*'Données projet'!H103</f>
        <v>160.5</v>
      </c>
      <c r="D100" s="179">
        <f t="shared" si="6"/>
        <v>3370.5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100</v>
      </c>
      <c r="B101" s="181">
        <f>'Données projet'!D104</f>
        <v>21</v>
      </c>
      <c r="C101" s="191">
        <f>225*'Données projet'!E104+13.8*('Données projet'!F104+'Données projet'!G104)+10*'Données projet'!H104</f>
        <v>160.5</v>
      </c>
      <c r="D101" s="179">
        <f t="shared" si="6"/>
        <v>3370.5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110</v>
      </c>
      <c r="B102" s="181">
        <f>'Données projet'!D105</f>
        <v>39</v>
      </c>
      <c r="C102" s="191">
        <f>225*'Données projet'!E105+13.8*('Données projet'!F105+'Données projet'!G105)+10*'Données projet'!H105</f>
        <v>182</v>
      </c>
      <c r="D102" s="179">
        <f t="shared" si="6"/>
        <v>7098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115</v>
      </c>
      <c r="B103" s="181">
        <f>'Données projet'!D106</f>
        <v>18</v>
      </c>
      <c r="C103" s="191">
        <f>225*'Données projet'!E106+13.8*('Données projet'!F106+'Données projet'!G106)+10*'Données projet'!H106</f>
        <v>182</v>
      </c>
      <c r="D103" s="179">
        <f t="shared" si="6"/>
        <v>3276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120</v>
      </c>
      <c r="B104" s="181">
        <f>'Données projet'!D107</f>
        <v>285</v>
      </c>
      <c r="C104" s="191">
        <f>225*'Données projet'!E107+13.8*('Données projet'!F107+'Données projet'!G107)+10*'Données projet'!H107</f>
        <v>182</v>
      </c>
      <c r="D104" s="179">
        <f t="shared" si="6"/>
        <v>51870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Chêne pubescent</v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30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8" t="s">
        <v>132</v>
      </c>
      <c r="C110" s="197" t="s">
        <v>132</v>
      </c>
      <c r="D110" s="196" t="s">
        <v>132</v>
      </c>
      <c r="E110" s="193">
        <v>1845.56</v>
      </c>
      <c r="F110" s="230"/>
      <c r="G110" s="205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20</v>
      </c>
      <c r="B116" s="181">
        <f>'Données projet'!D114</f>
        <v>0</v>
      </c>
      <c r="C116" s="191">
        <f>225*'Données projet'!E114+13.8*('Données projet'!F114+'Données projet'!G114)+10*'Données projet'!H114</f>
        <v>10</v>
      </c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25</v>
      </c>
      <c r="B117" s="181">
        <f>'Données projet'!D115</f>
        <v>0</v>
      </c>
      <c r="C117" s="191">
        <f>225*'Données projet'!E115+13.8*('Données projet'!F115+'Données projet'!G115)+10*'Données projet'!H115</f>
        <v>10</v>
      </c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30</v>
      </c>
      <c r="B118" s="181">
        <f>'Données projet'!D116</f>
        <v>21</v>
      </c>
      <c r="C118" s="191">
        <f>225*'Données projet'!E116+13.8*('Données projet'!F116+'Données projet'!G116)+10*'Données projet'!H116</f>
        <v>10</v>
      </c>
      <c r="D118" s="179">
        <f t="shared" si="8"/>
        <v>210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35</v>
      </c>
      <c r="B119" s="181">
        <f>'Données projet'!D117</f>
        <v>21</v>
      </c>
      <c r="C119" s="191">
        <f>225*'Données projet'!E117+13.8*('Données projet'!F117+'Données projet'!G117)+10*'Données projet'!H117</f>
        <v>10</v>
      </c>
      <c r="D119" s="179">
        <f t="shared" si="8"/>
        <v>210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40</v>
      </c>
      <c r="B120" s="181">
        <f>'Données projet'!D118</f>
        <v>21</v>
      </c>
      <c r="C120" s="191">
        <f>225*'Données projet'!E118+13.8*('Données projet'!F118+'Données projet'!G118)+10*'Données projet'!H118</f>
        <v>53</v>
      </c>
      <c r="D120" s="179">
        <f t="shared" si="8"/>
        <v>1113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45</v>
      </c>
      <c r="B121" s="181">
        <f>'Données projet'!D119</f>
        <v>21</v>
      </c>
      <c r="C121" s="191">
        <f>225*'Données projet'!E119+13.8*('Données projet'!F119+'Données projet'!G119)+10*'Données projet'!H119</f>
        <v>53</v>
      </c>
      <c r="D121" s="179">
        <f t="shared" si="8"/>
        <v>1113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50</v>
      </c>
      <c r="B122" s="181">
        <f>'Données projet'!D120</f>
        <v>21</v>
      </c>
      <c r="C122" s="191">
        <f>225*'Données projet'!E120+13.8*('Données projet'!F120+'Données projet'!G120)+10*'Données projet'!H120</f>
        <v>74.5</v>
      </c>
      <c r="D122" s="179">
        <f t="shared" si="8"/>
        <v>1564.5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55</v>
      </c>
      <c r="B123" s="181">
        <f>'Données projet'!D121</f>
        <v>21</v>
      </c>
      <c r="C123" s="191">
        <f>225*'Données projet'!E121+13.8*('Données projet'!F121+'Données projet'!G121)+10*'Données projet'!H121</f>
        <v>74.5</v>
      </c>
      <c r="D123" s="179">
        <f t="shared" si="8"/>
        <v>1564.5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60</v>
      </c>
      <c r="B124" s="181">
        <f>'Données projet'!D122</f>
        <v>21</v>
      </c>
      <c r="C124" s="191">
        <f>225*'Données projet'!E122+13.8*('Données projet'!F122+'Données projet'!G122)+10*'Données projet'!H122</f>
        <v>96</v>
      </c>
      <c r="D124" s="179">
        <f t="shared" si="8"/>
        <v>2016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65</v>
      </c>
      <c r="B125" s="181">
        <f>'Données projet'!D123</f>
        <v>21</v>
      </c>
      <c r="C125" s="191">
        <f>225*'Données projet'!E123+13.8*('Données projet'!F123+'Données projet'!G123)+10*'Données projet'!H123</f>
        <v>96</v>
      </c>
      <c r="D125" s="179">
        <f t="shared" si="8"/>
        <v>2016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70</v>
      </c>
      <c r="B126" s="181">
        <f>'Données projet'!D124</f>
        <v>21</v>
      </c>
      <c r="C126" s="191">
        <f>225*'Données projet'!E124+13.8*('Données projet'!F124+'Données projet'!G124)+10*'Données projet'!H124</f>
        <v>117.5</v>
      </c>
      <c r="D126" s="179">
        <f t="shared" si="8"/>
        <v>2467.5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75</v>
      </c>
      <c r="B127" s="181">
        <f>'Données projet'!D125</f>
        <v>21</v>
      </c>
      <c r="C127" s="191">
        <f>225*'Données projet'!E125+13.8*('Données projet'!F125+'Données projet'!G125)+10*'Données projet'!H125</f>
        <v>117.5</v>
      </c>
      <c r="D127" s="179">
        <f t="shared" si="8"/>
        <v>2467.5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80</v>
      </c>
      <c r="B128" s="181">
        <f>'Données projet'!D126</f>
        <v>21</v>
      </c>
      <c r="C128" s="191">
        <f>225*'Données projet'!E126+13.8*('Données projet'!F126+'Données projet'!G126)+10*'Données projet'!H126</f>
        <v>139</v>
      </c>
      <c r="D128" s="179">
        <f t="shared" si="8"/>
        <v>2919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85</v>
      </c>
      <c r="B129" s="181">
        <f>'Données projet'!D127</f>
        <v>21</v>
      </c>
      <c r="C129" s="191">
        <f>225*'Données projet'!E127+13.8*('Données projet'!F127+'Données projet'!G127)+10*'Données projet'!H127</f>
        <v>139</v>
      </c>
      <c r="D129" s="179">
        <f t="shared" si="8"/>
        <v>2919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90</v>
      </c>
      <c r="B130" s="181">
        <f>'Données projet'!D128</f>
        <v>21</v>
      </c>
      <c r="C130" s="191">
        <f>225*'Données projet'!E128+13.8*('Données projet'!F128+'Données projet'!G128)+10*'Données projet'!H128</f>
        <v>160.5</v>
      </c>
      <c r="D130" s="179">
        <f t="shared" si="8"/>
        <v>3370.5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95</v>
      </c>
      <c r="B131" s="181">
        <f>'Données projet'!D129</f>
        <v>21</v>
      </c>
      <c r="C131" s="191">
        <f>225*'Données projet'!E129+13.8*('Données projet'!F129+'Données projet'!G129)+10*'Données projet'!H129</f>
        <v>160.5</v>
      </c>
      <c r="D131" s="179">
        <f t="shared" si="8"/>
        <v>3370.5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100</v>
      </c>
      <c r="B132" s="181">
        <f>'Données projet'!D130</f>
        <v>21</v>
      </c>
      <c r="C132" s="191">
        <f>225*'Données projet'!E130+13.8*('Données projet'!F130+'Données projet'!G130)+10*'Données projet'!H130</f>
        <v>160.5</v>
      </c>
      <c r="D132" s="179">
        <f t="shared" si="8"/>
        <v>3370.5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110</v>
      </c>
      <c r="B133" s="181">
        <f>'Données projet'!D131</f>
        <v>39</v>
      </c>
      <c r="C133" s="191">
        <f>225*'Données projet'!E131+13.8*('Données projet'!F131+'Données projet'!G131)+10*'Données projet'!H131</f>
        <v>182</v>
      </c>
      <c r="D133" s="179">
        <f t="shared" si="8"/>
        <v>7098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115</v>
      </c>
      <c r="B134" s="181">
        <f>'Données projet'!D132</f>
        <v>18</v>
      </c>
      <c r="C134" s="191">
        <f>225*'Données projet'!E132+13.8*('Données projet'!F132+'Données projet'!G132)+10*'Données projet'!H132</f>
        <v>182</v>
      </c>
      <c r="D134" s="179">
        <f t="shared" si="8"/>
        <v>3276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120</v>
      </c>
      <c r="B135" s="181">
        <f>'Données projet'!D133</f>
        <v>285</v>
      </c>
      <c r="C135" s="191">
        <f>225*'Données projet'!E133+13.8*('Données projet'!F133+'Données projet'!G133)+10*'Données projet'!H133</f>
        <v>182</v>
      </c>
      <c r="D135" s="179">
        <f t="shared" si="8"/>
        <v>51870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Charme</v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8" t="s">
        <v>132</v>
      </c>
      <c r="C141" s="197" t="s">
        <v>132</v>
      </c>
      <c r="D141" s="196" t="s">
        <v>132</v>
      </c>
      <c r="E141" s="193">
        <v>1845.56</v>
      </c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25</v>
      </c>
      <c r="B147" s="175">
        <f>'Données projet'!D140</f>
        <v>0</v>
      </c>
      <c r="C147" s="191">
        <f>50*'Données projet'!E140+13.8*('Données projet'!F140+'Données projet'!G140)+10*'Données projet'!H140</f>
        <v>10</v>
      </c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30</v>
      </c>
      <c r="B148" s="175">
        <f>'Données projet'!D141</f>
        <v>0</v>
      </c>
      <c r="C148" s="191">
        <f>50*'Données projet'!E141+13.8*('Données projet'!F141+'Données projet'!G141)+10*'Données projet'!H141</f>
        <v>10</v>
      </c>
      <c r="D148" s="182">
        <f t="shared" ref="D148:D166" si="10">B148*C148</f>
        <v>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35</v>
      </c>
      <c r="B149" s="175">
        <f>'Données projet'!D142</f>
        <v>13</v>
      </c>
      <c r="C149" s="191">
        <f>50*'Données projet'!E142+13.8*('Données projet'!F142+'Données projet'!G142)+10*'Données projet'!H142</f>
        <v>10</v>
      </c>
      <c r="D149" s="182">
        <f t="shared" si="10"/>
        <v>130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40</v>
      </c>
      <c r="B150" s="175">
        <f>'Données projet'!D143</f>
        <v>14</v>
      </c>
      <c r="C150" s="191">
        <f>50*'Données projet'!E143+13.8*('Données projet'!F143+'Données projet'!G143)+10*'Données projet'!H143</f>
        <v>18</v>
      </c>
      <c r="D150" s="182">
        <f t="shared" si="10"/>
        <v>252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45</v>
      </c>
      <c r="B151" s="175">
        <f>'Données projet'!D144</f>
        <v>14</v>
      </c>
      <c r="C151" s="191">
        <f>50*'Données projet'!E144+13.8*('Données projet'!F144+'Données projet'!G144)+10*'Données projet'!H144</f>
        <v>18</v>
      </c>
      <c r="D151" s="182">
        <f t="shared" si="10"/>
        <v>252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50</v>
      </c>
      <c r="B152" s="175">
        <f>'Données projet'!D145</f>
        <v>14</v>
      </c>
      <c r="C152" s="191">
        <f>50*'Données projet'!E145+13.8*('Données projet'!F145+'Données projet'!G145)+10*'Données projet'!H145</f>
        <v>18</v>
      </c>
      <c r="D152" s="182">
        <f t="shared" si="10"/>
        <v>252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55</v>
      </c>
      <c r="B153" s="175">
        <f>'Données projet'!D146</f>
        <v>14</v>
      </c>
      <c r="C153" s="191">
        <f>50*'Données projet'!E146+13.8*('Données projet'!F146+'Données projet'!G146)+10*'Données projet'!H146</f>
        <v>22</v>
      </c>
      <c r="D153" s="182">
        <f t="shared" si="10"/>
        <v>308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60</v>
      </c>
      <c r="B154" s="175">
        <f>'Données projet'!D147</f>
        <v>14</v>
      </c>
      <c r="C154" s="191">
        <f>50*'Données projet'!E147+13.8*('Données projet'!F147+'Données projet'!G147)+10*'Données projet'!H147</f>
        <v>22</v>
      </c>
      <c r="D154" s="182">
        <f t="shared" si="10"/>
        <v>308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65</v>
      </c>
      <c r="B155" s="175">
        <f>'Données projet'!D148</f>
        <v>14</v>
      </c>
      <c r="C155" s="191">
        <f>50*'Données projet'!E148+13.8*('Données projet'!F148+'Données projet'!G148)+10*'Données projet'!H148</f>
        <v>26</v>
      </c>
      <c r="D155" s="182">
        <f t="shared" si="10"/>
        <v>364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70</v>
      </c>
      <c r="B156" s="175">
        <f>'Données projet'!D149</f>
        <v>14</v>
      </c>
      <c r="C156" s="191">
        <f>50*'Données projet'!E149+13.8*('Données projet'!F149+'Données projet'!G149)+10*'Données projet'!H149</f>
        <v>26</v>
      </c>
      <c r="D156" s="182">
        <f t="shared" si="10"/>
        <v>364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75</v>
      </c>
      <c r="B157" s="175">
        <f>'Données projet'!D150</f>
        <v>14</v>
      </c>
      <c r="C157" s="191">
        <f>50*'Données projet'!E150+13.8*('Données projet'!F150+'Données projet'!G150)+10*'Données projet'!H150</f>
        <v>30</v>
      </c>
      <c r="D157" s="182">
        <f t="shared" si="10"/>
        <v>420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80</v>
      </c>
      <c r="B158" s="175">
        <f>'Données projet'!D151</f>
        <v>14</v>
      </c>
      <c r="C158" s="191">
        <f>50*'Données projet'!E151+13.8*('Données projet'!F151+'Données projet'!G151)+10*'Données projet'!H151</f>
        <v>30</v>
      </c>
      <c r="D158" s="182">
        <f t="shared" si="10"/>
        <v>420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85</v>
      </c>
      <c r="B159" s="175">
        <f>'Données projet'!D152</f>
        <v>14</v>
      </c>
      <c r="C159" s="191">
        <f>50*'Données projet'!E152+13.8*('Données projet'!F152+'Données projet'!G152)+10*'Données projet'!H152</f>
        <v>34</v>
      </c>
      <c r="D159" s="182">
        <f t="shared" si="10"/>
        <v>476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90</v>
      </c>
      <c r="B160" s="175">
        <f>'Données projet'!D153</f>
        <v>14</v>
      </c>
      <c r="C160" s="191">
        <f>50*'Données projet'!E153+13.8*('Données projet'!F153+'Données projet'!G153)+10*'Données projet'!H153</f>
        <v>34</v>
      </c>
      <c r="D160" s="182">
        <f t="shared" si="10"/>
        <v>476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95</v>
      </c>
      <c r="B161" s="175">
        <f>'Données projet'!D154</f>
        <v>14</v>
      </c>
      <c r="C161" s="191">
        <f>50*'Données projet'!E154+13.8*('Données projet'!F154+'Données projet'!G154)+10*'Données projet'!H154</f>
        <v>38</v>
      </c>
      <c r="D161" s="182">
        <f t="shared" si="10"/>
        <v>532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100</v>
      </c>
      <c r="B162" s="175">
        <f>'Données projet'!D155</f>
        <v>14</v>
      </c>
      <c r="C162" s="191">
        <f>50*'Données projet'!E155+13.8*('Données projet'!F155+'Données projet'!G155)+10*'Données projet'!H155</f>
        <v>38</v>
      </c>
      <c r="D162" s="182">
        <f t="shared" si="10"/>
        <v>532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105</v>
      </c>
      <c r="B163" s="175">
        <f>'Données projet'!D156</f>
        <v>14</v>
      </c>
      <c r="C163" s="191">
        <f>50*'Données projet'!E156+13.8*('Données projet'!F156+'Données projet'!G156)+10*'Données projet'!H156</f>
        <v>38</v>
      </c>
      <c r="D163" s="182">
        <f t="shared" si="10"/>
        <v>532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110</v>
      </c>
      <c r="B164" s="175">
        <f>'Données projet'!D157</f>
        <v>13</v>
      </c>
      <c r="C164" s="191">
        <f>50*'Données projet'!E157+13.8*('Données projet'!F157+'Données projet'!G157)+10*'Données projet'!H157</f>
        <v>38</v>
      </c>
      <c r="D164" s="182">
        <f t="shared" si="10"/>
        <v>494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115</v>
      </c>
      <c r="B165" s="175">
        <f>'Données projet'!D158</f>
        <v>13</v>
      </c>
      <c r="C165" s="191">
        <f>50*'Données projet'!E158+13.8*('Données projet'!F158+'Données projet'!G158)+10*'Données projet'!H158</f>
        <v>38</v>
      </c>
      <c r="D165" s="182">
        <f t="shared" si="10"/>
        <v>494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120</v>
      </c>
      <c r="B166" s="175">
        <f>'Données projet'!D159</f>
        <v>221</v>
      </c>
      <c r="C166" s="191">
        <f>50*'Données projet'!E159+13.8*('Données projet'!F159+'Données projet'!G159)+10*'Données projet'!H159</f>
        <v>42</v>
      </c>
      <c r="D166" s="182">
        <f t="shared" si="10"/>
        <v>9282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Erable sycomore</v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8" t="s">
        <v>132</v>
      </c>
      <c r="C172" s="197" t="s">
        <v>132</v>
      </c>
      <c r="D172" s="196" t="s">
        <v>132</v>
      </c>
      <c r="E172" s="193">
        <v>1845.56</v>
      </c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15</v>
      </c>
      <c r="B178" s="181">
        <f>'Données projet'!D166</f>
        <v>15</v>
      </c>
      <c r="C178" s="193">
        <f>60*'Données projet'!E166+13.8*('Données projet'!F166+'Données projet'!G168)+10*'Données projet'!H166</f>
        <v>10</v>
      </c>
      <c r="D178" s="179">
        <f>B178*C178</f>
        <v>150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20</v>
      </c>
      <c r="B179" s="181">
        <f>'Données projet'!D167</f>
        <v>28</v>
      </c>
      <c r="C179" s="193">
        <f>60*'Données projet'!E167+13.8*('Données projet'!F167+'Données projet'!G169)+10*'Données projet'!H167</f>
        <v>10</v>
      </c>
      <c r="D179" s="179">
        <f t="shared" ref="D179:D197" si="11">B179*C179</f>
        <v>280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25</v>
      </c>
      <c r="B180" s="181">
        <f>'Données projet'!D168</f>
        <v>28</v>
      </c>
      <c r="C180" s="193">
        <f>60*'Données projet'!E168+13.8*('Données projet'!F168+'Données projet'!G170)+10*'Données projet'!H168</f>
        <v>10</v>
      </c>
      <c r="D180" s="179">
        <f t="shared" si="11"/>
        <v>280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30</v>
      </c>
      <c r="B181" s="181">
        <f>'Données projet'!D169</f>
        <v>28</v>
      </c>
      <c r="C181" s="193">
        <f>60*'Données projet'!E169+13.8*('Données projet'!F169+'Données projet'!G171)+10*'Données projet'!H169</f>
        <v>20</v>
      </c>
      <c r="D181" s="179">
        <f t="shared" si="11"/>
        <v>560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35</v>
      </c>
      <c r="B182" s="181">
        <f>'Données projet'!D170</f>
        <v>28</v>
      </c>
      <c r="C182" s="193">
        <f>60*'Données projet'!E170+13.8*('Données projet'!F170+'Données projet'!G172)+10*'Données projet'!H170</f>
        <v>20</v>
      </c>
      <c r="D182" s="179">
        <f t="shared" si="11"/>
        <v>560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40</v>
      </c>
      <c r="B183" s="181">
        <f>'Données projet'!D171</f>
        <v>28</v>
      </c>
      <c r="C183" s="193">
        <f>60*'Données projet'!E171+13.8*('Données projet'!F171+'Données projet'!G173)+10*'Données projet'!H171</f>
        <v>20</v>
      </c>
      <c r="D183" s="179">
        <f t="shared" si="11"/>
        <v>560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45</v>
      </c>
      <c r="B184" s="181">
        <f>'Données projet'!D172</f>
        <v>22</v>
      </c>
      <c r="C184" s="193">
        <f>60*'Données projet'!E172+13.8*('Données projet'!F172+'Données projet'!G174)+10*'Données projet'!H172</f>
        <v>25</v>
      </c>
      <c r="D184" s="179">
        <f t="shared" si="11"/>
        <v>550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50</v>
      </c>
      <c r="B185" s="181">
        <f>'Données projet'!D173</f>
        <v>17</v>
      </c>
      <c r="C185" s="193">
        <f>60*'Données projet'!E173+13.8*('Données projet'!F173+'Données projet'!G175)+10*'Données projet'!H173</f>
        <v>25</v>
      </c>
      <c r="D185" s="179">
        <f t="shared" si="11"/>
        <v>425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55</v>
      </c>
      <c r="B186" s="181">
        <f>'Données projet'!D174</f>
        <v>13</v>
      </c>
      <c r="C186" s="193">
        <f>60*'Données projet'!E174+13.8*('Données projet'!F174+'Données projet'!G176)+10*'Données projet'!H174</f>
        <v>30</v>
      </c>
      <c r="D186" s="179">
        <f t="shared" si="11"/>
        <v>390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60</v>
      </c>
      <c r="B187" s="181">
        <f>'Données projet'!D175</f>
        <v>12</v>
      </c>
      <c r="C187" s="193">
        <f>60*'Données projet'!E175+13.8*('Données projet'!F175+'Données projet'!G177)+10*'Données projet'!H175</f>
        <v>30</v>
      </c>
      <c r="D187" s="179">
        <f t="shared" si="11"/>
        <v>360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65</v>
      </c>
      <c r="B188" s="181">
        <f>'Données projet'!D176</f>
        <v>11</v>
      </c>
      <c r="C188" s="193">
        <f>60*'Données projet'!E176+13.8*('Données projet'!F176+'Données projet'!G178)+10*'Données projet'!H176</f>
        <v>35</v>
      </c>
      <c r="D188" s="179">
        <f t="shared" si="11"/>
        <v>385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70</v>
      </c>
      <c r="B189" s="181">
        <f>'Données projet'!D177</f>
        <v>10</v>
      </c>
      <c r="C189" s="193">
        <f>60*'Données projet'!E177+13.8*('Données projet'!F177+'Données projet'!G179)+10*'Données projet'!H177</f>
        <v>35</v>
      </c>
      <c r="D189" s="179">
        <f t="shared" si="11"/>
        <v>350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75</v>
      </c>
      <c r="B190" s="181">
        <f>'Données projet'!D178</f>
        <v>9</v>
      </c>
      <c r="C190" s="193">
        <f>60*'Données projet'!E178+13.8*('Données projet'!F178+'Données projet'!G180)+10*'Données projet'!H178</f>
        <v>40</v>
      </c>
      <c r="D190" s="179">
        <f t="shared" si="11"/>
        <v>360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80</v>
      </c>
      <c r="B191" s="181">
        <f>'Données projet'!D179</f>
        <v>275</v>
      </c>
      <c r="C191" s="193">
        <f>60*'Données projet'!E179+13.8*('Données projet'!F179+'Données projet'!G181)+10*'Données projet'!H179</f>
        <v>40</v>
      </c>
      <c r="D191" s="179">
        <f t="shared" si="11"/>
        <v>11000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>
        <f>60*'Données projet'!E180+13.8*('Données projet'!F180+'Données projet'!G182)+10*'Données projet'!H180</f>
        <v>0</v>
      </c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>
        <f>60*'Données projet'!E181+13.8*('Données projet'!F181+'Données projet'!G183)+10*'Données projet'!H181</f>
        <v>0</v>
      </c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>
        <f>60*'Données projet'!E182+13.8*('Données projet'!F182+'Données projet'!G184)+10*'Données projet'!H182</f>
        <v>0</v>
      </c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>
        <f>60*'Données projet'!E183+13.8*('Données projet'!F183+'Données projet'!G185)+10*'Données projet'!H183</f>
        <v>0</v>
      </c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>
        <f>60*'Données projet'!E184+13.8*('Données projet'!F184+'Données projet'!G186)+10*'Données projet'!H184</f>
        <v>0</v>
      </c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>
        <f>60*'Données projet'!E185+13.8*('Données projet'!F185+'Données projet'!G187)+10*'Données projet'!H185</f>
        <v>0</v>
      </c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>Châtaignier</v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8" t="s">
        <v>132</v>
      </c>
      <c r="C203" s="197" t="s">
        <v>132</v>
      </c>
      <c r="D203" s="196" t="s">
        <v>132</v>
      </c>
      <c r="E203" s="193">
        <v>1845.56</v>
      </c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10</v>
      </c>
      <c r="B209" s="181">
        <f>'Données projet'!D192</f>
        <v>0</v>
      </c>
      <c r="C209" s="193">
        <f>100*'Données projet'!E192+13.8*('Données projet'!F192+'Données projet'!G192)+10*'Données projet'!H192</f>
        <v>10</v>
      </c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15</v>
      </c>
      <c r="B210" s="181">
        <f>'Données projet'!D193</f>
        <v>32</v>
      </c>
      <c r="C210" s="193">
        <f>100*'Données projet'!E193+13.8*('Données projet'!F193+'Données projet'!G193)+10*'Données projet'!H193</f>
        <v>10</v>
      </c>
      <c r="D210" s="179">
        <f t="shared" ref="D210:D228" si="12">B210*C210</f>
        <v>320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20</v>
      </c>
      <c r="B211" s="181">
        <f>'Données projet'!D194</f>
        <v>35</v>
      </c>
      <c r="C211" s="193">
        <f>100*'Données projet'!E194+13.8*('Données projet'!F194+'Données projet'!G194)+10*'Données projet'!H194</f>
        <v>10</v>
      </c>
      <c r="D211" s="179">
        <f t="shared" si="12"/>
        <v>350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25</v>
      </c>
      <c r="B212" s="181">
        <f>'Données projet'!D195</f>
        <v>35</v>
      </c>
      <c r="C212" s="193">
        <f>100*'Données projet'!E195+13.8*('Données projet'!F195+'Données projet'!G195)+10*'Données projet'!H195</f>
        <v>28</v>
      </c>
      <c r="D212" s="179">
        <f t="shared" si="12"/>
        <v>980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30</v>
      </c>
      <c r="B213" s="181">
        <f>'Données projet'!D196</f>
        <v>35</v>
      </c>
      <c r="C213" s="193">
        <f>100*'Données projet'!E196+13.8*('Données projet'!F196+'Données projet'!G196)+10*'Données projet'!H196</f>
        <v>28</v>
      </c>
      <c r="D213" s="179">
        <f t="shared" si="12"/>
        <v>980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35</v>
      </c>
      <c r="B214" s="181">
        <f>'Données projet'!D197</f>
        <v>35</v>
      </c>
      <c r="C214" s="193">
        <f>100*'Données projet'!E197+13.8*('Données projet'!F197+'Données projet'!G197)+10*'Données projet'!H197</f>
        <v>28</v>
      </c>
      <c r="D214" s="179">
        <f t="shared" si="12"/>
        <v>980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40</v>
      </c>
      <c r="B215" s="181">
        <f>'Données projet'!D198</f>
        <v>35</v>
      </c>
      <c r="C215" s="193">
        <f>100*'Données projet'!E198+13.8*('Données projet'!F198+'Données projet'!G198)+10*'Données projet'!H198</f>
        <v>37</v>
      </c>
      <c r="D215" s="179">
        <f t="shared" si="12"/>
        <v>1295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45</v>
      </c>
      <c r="B216" s="181">
        <f>'Données projet'!D199</f>
        <v>24</v>
      </c>
      <c r="C216" s="193">
        <f>100*'Données projet'!E199+13.8*('Données projet'!F199+'Données projet'!G199)+10*'Données projet'!H199</f>
        <v>37</v>
      </c>
      <c r="D216" s="179">
        <f t="shared" si="12"/>
        <v>888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50</v>
      </c>
      <c r="B217" s="181">
        <f>'Données projet'!D200</f>
        <v>19</v>
      </c>
      <c r="C217" s="193">
        <f>100*'Données projet'!E200+13.8*('Données projet'!F200+'Données projet'!G200)+10*'Données projet'!H200</f>
        <v>46</v>
      </c>
      <c r="D217" s="179">
        <f t="shared" si="12"/>
        <v>874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55</v>
      </c>
      <c r="B218" s="181">
        <f>'Données projet'!D201</f>
        <v>16</v>
      </c>
      <c r="C218" s="193">
        <f>100*'Données projet'!E201+13.8*('Données projet'!F201+'Données projet'!G201)+10*'Données projet'!H201</f>
        <v>46</v>
      </c>
      <c r="D218" s="179">
        <f t="shared" si="12"/>
        <v>736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60</v>
      </c>
      <c r="B219" s="181">
        <f>'Données projet'!D202</f>
        <v>14</v>
      </c>
      <c r="C219" s="193">
        <f>100*'Données projet'!E202+13.8*('Données projet'!F202+'Données projet'!G202)+10*'Données projet'!H202</f>
        <v>55</v>
      </c>
      <c r="D219" s="179">
        <f t="shared" si="12"/>
        <v>770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65</v>
      </c>
      <c r="B220" s="181">
        <f>'Données projet'!D203</f>
        <v>13</v>
      </c>
      <c r="C220" s="193">
        <f>100*'Données projet'!E203+13.8*('Données projet'!F203+'Données projet'!G203)+10*'Données projet'!H203</f>
        <v>55</v>
      </c>
      <c r="D220" s="179">
        <f t="shared" si="12"/>
        <v>715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70</v>
      </c>
      <c r="B221" s="181">
        <f>'Données projet'!D204</f>
        <v>13</v>
      </c>
      <c r="C221" s="193">
        <f>100*'Données projet'!E204+13.8*('Données projet'!F204+'Données projet'!G204)+10*'Données projet'!H204</f>
        <v>64</v>
      </c>
      <c r="D221" s="179">
        <f t="shared" si="12"/>
        <v>832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75</v>
      </c>
      <c r="B222" s="181">
        <f>'Données projet'!D205</f>
        <v>12</v>
      </c>
      <c r="C222" s="193">
        <f>100*'Données projet'!E205+13.8*('Données projet'!F205+'Données projet'!G205)+10*'Données projet'!H205</f>
        <v>64</v>
      </c>
      <c r="D222" s="179">
        <f t="shared" si="12"/>
        <v>768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80</v>
      </c>
      <c r="B223" s="181">
        <f>'Données projet'!D206</f>
        <v>330</v>
      </c>
      <c r="C223" s="193">
        <f>100*'Données projet'!E206+13.8*('Données projet'!F206+'Données projet'!G206)+10*'Données projet'!H206</f>
        <v>64</v>
      </c>
      <c r="D223" s="179">
        <f t="shared" si="12"/>
        <v>21120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>
        <f>100*'Données projet'!E207+13.8*('Données projet'!F207+'Données projet'!G207)+10*'Données projet'!H207</f>
        <v>0</v>
      </c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>
        <f>100*'Données projet'!E208+13.8*('Données projet'!F208+'Données projet'!G208)+10*'Données projet'!H208</f>
        <v>0</v>
      </c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>
        <f>100*'Données projet'!E209+13.8*('Données projet'!F209+'Données projet'!G209)+10*'Données projet'!H209</f>
        <v>0</v>
      </c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>
        <f>100*'Données projet'!E210+13.8*('Données projet'!F210+'Données projet'!G210)+10*'Données projet'!H210</f>
        <v>0</v>
      </c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>
        <f>100*'Données projet'!E211+13.8*('Données projet'!F211+'Données projet'!G211)+10*'Données projet'!H211</f>
        <v>0</v>
      </c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>Aulne à feuilles en cœur</v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8" t="s">
        <v>132</v>
      </c>
      <c r="C234" s="197" t="s">
        <v>132</v>
      </c>
      <c r="D234" s="196" t="s">
        <v>132</v>
      </c>
      <c r="E234" s="193">
        <v>1770.74</v>
      </c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10</v>
      </c>
      <c r="B240" s="181">
        <f>'Données projet'!D218</f>
        <v>0</v>
      </c>
      <c r="C240" s="193">
        <f>40*'Données projet'!E218+13.8*('Données projet'!F218+'Données projet'!G218)+10*'Données projet'!H218</f>
        <v>10</v>
      </c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15</v>
      </c>
      <c r="B241" s="181">
        <f>'Données projet'!D219</f>
        <v>32</v>
      </c>
      <c r="C241" s="193">
        <f>40*'Données projet'!E219+13.8*('Données projet'!F219+'Données projet'!G219)+10*'Données projet'!H219</f>
        <v>10</v>
      </c>
      <c r="D241" s="179">
        <f t="shared" ref="D241:D259" si="13">B241*C241</f>
        <v>320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20</v>
      </c>
      <c r="B242" s="181">
        <f>'Données projet'!D220</f>
        <v>35</v>
      </c>
      <c r="C242" s="193">
        <f>40*'Données projet'!E220+13.8*('Données projet'!F220+'Données projet'!G220)+10*'Données projet'!H220</f>
        <v>10</v>
      </c>
      <c r="D242" s="179">
        <f t="shared" si="13"/>
        <v>350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25</v>
      </c>
      <c r="B243" s="181">
        <f>'Données projet'!D221</f>
        <v>35</v>
      </c>
      <c r="C243" s="193">
        <f>40*'Données projet'!E221+13.8*('Données projet'!F221+'Données projet'!G221)+10*'Données projet'!H221</f>
        <v>16</v>
      </c>
      <c r="D243" s="179">
        <f t="shared" si="13"/>
        <v>560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30</v>
      </c>
      <c r="B244" s="181">
        <f>'Données projet'!D222</f>
        <v>35</v>
      </c>
      <c r="C244" s="193">
        <f>40*'Données projet'!E222+13.8*('Données projet'!F222+'Données projet'!G222)+10*'Données projet'!H222</f>
        <v>16</v>
      </c>
      <c r="D244" s="179">
        <f t="shared" si="13"/>
        <v>560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35</v>
      </c>
      <c r="B245" s="181">
        <f>'Données projet'!D223</f>
        <v>35</v>
      </c>
      <c r="C245" s="193">
        <f>40*'Données projet'!E223+13.8*('Données projet'!F223+'Données projet'!G223)+10*'Données projet'!H223</f>
        <v>16</v>
      </c>
      <c r="D245" s="179">
        <f t="shared" si="13"/>
        <v>560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40</v>
      </c>
      <c r="B246" s="181">
        <f>'Données projet'!D224</f>
        <v>35</v>
      </c>
      <c r="C246" s="193">
        <f>40*'Données projet'!E224+13.8*('Données projet'!F224+'Données projet'!G224)+10*'Données projet'!H224</f>
        <v>19</v>
      </c>
      <c r="D246" s="179">
        <f t="shared" si="13"/>
        <v>665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45</v>
      </c>
      <c r="B247" s="181">
        <f>'Données projet'!D225</f>
        <v>24</v>
      </c>
      <c r="C247" s="193">
        <f>40*'Données projet'!E225+13.8*('Données projet'!F225+'Données projet'!G225)+10*'Données projet'!H225</f>
        <v>19</v>
      </c>
      <c r="D247" s="179">
        <f t="shared" si="13"/>
        <v>456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50</v>
      </c>
      <c r="B248" s="181">
        <f>'Données projet'!D226</f>
        <v>19</v>
      </c>
      <c r="C248" s="193">
        <f>40*'Données projet'!E226+13.8*('Données projet'!F226+'Données projet'!G226)+10*'Données projet'!H226</f>
        <v>22</v>
      </c>
      <c r="D248" s="179">
        <f t="shared" si="13"/>
        <v>418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55</v>
      </c>
      <c r="B249" s="181">
        <f>'Données projet'!D227</f>
        <v>16</v>
      </c>
      <c r="C249" s="193">
        <f>40*'Données projet'!E227+13.8*('Données projet'!F227+'Données projet'!G227)+10*'Données projet'!H227</f>
        <v>22</v>
      </c>
      <c r="D249" s="179">
        <f t="shared" si="13"/>
        <v>352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60</v>
      </c>
      <c r="B250" s="181">
        <f>'Données projet'!D228</f>
        <v>14</v>
      </c>
      <c r="C250" s="193">
        <f>40*'Données projet'!E228+13.8*('Données projet'!F228+'Données projet'!G228)+10*'Données projet'!H228</f>
        <v>25</v>
      </c>
      <c r="D250" s="179">
        <f t="shared" si="13"/>
        <v>350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65</v>
      </c>
      <c r="B251" s="181">
        <f>'Données projet'!D229</f>
        <v>13</v>
      </c>
      <c r="C251" s="193">
        <f>40*'Données projet'!E229+13.8*('Données projet'!F229+'Données projet'!G229)+10*'Données projet'!H229</f>
        <v>25</v>
      </c>
      <c r="D251" s="179">
        <f t="shared" si="13"/>
        <v>325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70</v>
      </c>
      <c r="B252" s="181">
        <f>'Données projet'!D230</f>
        <v>13</v>
      </c>
      <c r="C252" s="193">
        <f>40*'Données projet'!E230+13.8*('Données projet'!F230+'Données projet'!G230)+10*'Données projet'!H230</f>
        <v>28</v>
      </c>
      <c r="D252" s="179">
        <f t="shared" si="13"/>
        <v>364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75</v>
      </c>
      <c r="B253" s="181">
        <f>'Données projet'!D231</f>
        <v>12</v>
      </c>
      <c r="C253" s="193">
        <f>40*'Données projet'!E231+13.8*('Données projet'!F231+'Données projet'!G231)+10*'Données projet'!H231</f>
        <v>28</v>
      </c>
      <c r="D253" s="179">
        <f t="shared" si="13"/>
        <v>336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80</v>
      </c>
      <c r="B254" s="181">
        <f>'Données projet'!D232</f>
        <v>330</v>
      </c>
      <c r="C254" s="193">
        <f>40*'Données projet'!E232+13.8*('Données projet'!F232+'Données projet'!G232)+10*'Données projet'!H232</f>
        <v>28</v>
      </c>
      <c r="D254" s="179">
        <f t="shared" si="13"/>
        <v>9240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>
        <f>40*'Données projet'!E233+13.8*('Données projet'!F233+'Données projet'!G233)+10*'Données projet'!H233</f>
        <v>0</v>
      </c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>
        <f>40*'Données projet'!E234+13.8*('Données projet'!F234+'Données projet'!G234)+10*'Données projet'!H234</f>
        <v>0</v>
      </c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>
        <f>40*'Données projet'!E235+13.8*('Données projet'!F235+'Données projet'!G235)+10*'Données projet'!H235</f>
        <v>0</v>
      </c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>
        <f>40*'Données projet'!E236+13.8*('Données projet'!F236+'Données projet'!G236)+10*'Données projet'!H236</f>
        <v>0</v>
      </c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>
        <f>40*'Données projet'!E237+13.8*('Données projet'!F237+'Données projet'!G237)+10*'Données projet'!H237</f>
        <v>0</v>
      </c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>Bouleau verruqueux</v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8" t="s">
        <v>132</v>
      </c>
      <c r="C265" s="197" t="s">
        <v>132</v>
      </c>
      <c r="D265" s="196" t="s">
        <v>132</v>
      </c>
      <c r="E265" s="193">
        <v>1770.74</v>
      </c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10</v>
      </c>
      <c r="B271" s="181">
        <f>'Données projet'!D244</f>
        <v>0</v>
      </c>
      <c r="C271" s="193">
        <f>40*'Données projet'!E244+13.8*('Données projet'!F244+'Données projet'!G244)+10*'Données projet'!H244</f>
        <v>10</v>
      </c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15</v>
      </c>
      <c r="B272" s="181">
        <f>'Données projet'!D245</f>
        <v>32</v>
      </c>
      <c r="C272" s="193">
        <f>40*'Données projet'!E245+13.8*('Données projet'!F245+'Données projet'!G245)+10*'Données projet'!H245</f>
        <v>10</v>
      </c>
      <c r="D272" s="179">
        <f t="shared" ref="D272:D290" si="14">B272*C272</f>
        <v>320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20</v>
      </c>
      <c r="B273" s="181">
        <f>'Données projet'!D246</f>
        <v>35</v>
      </c>
      <c r="C273" s="193">
        <f>40*'Données projet'!E246+13.8*('Données projet'!F246+'Données projet'!G246)+10*'Données projet'!H246</f>
        <v>10</v>
      </c>
      <c r="D273" s="179">
        <f t="shared" si="14"/>
        <v>350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25</v>
      </c>
      <c r="B274" s="181">
        <f>'Données projet'!D247</f>
        <v>35</v>
      </c>
      <c r="C274" s="193">
        <f>40*'Données projet'!E247+13.8*('Données projet'!F247+'Données projet'!G247)+10*'Données projet'!H247</f>
        <v>16</v>
      </c>
      <c r="D274" s="179">
        <f t="shared" si="14"/>
        <v>560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30</v>
      </c>
      <c r="B275" s="181">
        <f>'Données projet'!D248</f>
        <v>35</v>
      </c>
      <c r="C275" s="193">
        <f>40*'Données projet'!E248+13.8*('Données projet'!F248+'Données projet'!G248)+10*'Données projet'!H248</f>
        <v>16</v>
      </c>
      <c r="D275" s="179">
        <f t="shared" si="14"/>
        <v>560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35</v>
      </c>
      <c r="B276" s="181">
        <f>'Données projet'!D249</f>
        <v>35</v>
      </c>
      <c r="C276" s="193">
        <f>40*'Données projet'!E249+13.8*('Données projet'!F249+'Données projet'!G249)+10*'Données projet'!H249</f>
        <v>16</v>
      </c>
      <c r="D276" s="179">
        <f t="shared" si="14"/>
        <v>560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40</v>
      </c>
      <c r="B277" s="181">
        <f>'Données projet'!D250</f>
        <v>35</v>
      </c>
      <c r="C277" s="193">
        <f>40*'Données projet'!E250+13.8*('Données projet'!F250+'Données projet'!G250)+10*'Données projet'!H250</f>
        <v>19</v>
      </c>
      <c r="D277" s="179">
        <f t="shared" si="14"/>
        <v>665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45</v>
      </c>
      <c r="B278" s="181">
        <f>'Données projet'!D251</f>
        <v>24</v>
      </c>
      <c r="C278" s="193">
        <f>40*'Données projet'!E251+13.8*('Données projet'!F251+'Données projet'!G251)+10*'Données projet'!H251</f>
        <v>19</v>
      </c>
      <c r="D278" s="179">
        <f t="shared" si="14"/>
        <v>456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50</v>
      </c>
      <c r="B279" s="181">
        <f>'Données projet'!D252</f>
        <v>19</v>
      </c>
      <c r="C279" s="193">
        <f>40*'Données projet'!E252+13.8*('Données projet'!F252+'Données projet'!G252)+10*'Données projet'!H252</f>
        <v>22</v>
      </c>
      <c r="D279" s="179">
        <f t="shared" si="14"/>
        <v>418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55</v>
      </c>
      <c r="B280" s="181">
        <f>'Données projet'!D253</f>
        <v>16</v>
      </c>
      <c r="C280" s="193">
        <f>40*'Données projet'!E253+13.8*('Données projet'!F253+'Données projet'!G253)+10*'Données projet'!H253</f>
        <v>22</v>
      </c>
      <c r="D280" s="179">
        <f t="shared" si="14"/>
        <v>352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60</v>
      </c>
      <c r="B281" s="181">
        <f>'Données projet'!D254</f>
        <v>14</v>
      </c>
      <c r="C281" s="193">
        <f>40*'Données projet'!E254+13.8*('Données projet'!F254+'Données projet'!G254)+10*'Données projet'!H254</f>
        <v>25</v>
      </c>
      <c r="D281" s="179">
        <f t="shared" si="14"/>
        <v>350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65</v>
      </c>
      <c r="B282" s="181">
        <f>'Données projet'!D255</f>
        <v>13</v>
      </c>
      <c r="C282" s="193">
        <f>40*'Données projet'!E255+13.8*('Données projet'!F255+'Données projet'!G255)+10*'Données projet'!H255</f>
        <v>25</v>
      </c>
      <c r="D282" s="179">
        <f t="shared" si="14"/>
        <v>325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70</v>
      </c>
      <c r="B283" s="181">
        <f>'Données projet'!D256</f>
        <v>13</v>
      </c>
      <c r="C283" s="193">
        <f>40*'Données projet'!E256+13.8*('Données projet'!F256+'Données projet'!G256)+10*'Données projet'!H256</f>
        <v>28</v>
      </c>
      <c r="D283" s="179">
        <f t="shared" si="14"/>
        <v>364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75</v>
      </c>
      <c r="B284" s="181">
        <f>'Données projet'!D257</f>
        <v>12</v>
      </c>
      <c r="C284" s="193">
        <f>40*'Données projet'!E257+13.8*('Données projet'!F257+'Données projet'!G257)+10*'Données projet'!H257</f>
        <v>28</v>
      </c>
      <c r="D284" s="179">
        <f t="shared" si="14"/>
        <v>336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80</v>
      </c>
      <c r="B285" s="181">
        <f>'Données projet'!D258</f>
        <v>330</v>
      </c>
      <c r="C285" s="193">
        <f>40*'Données projet'!E258+13.8*('Données projet'!F258+'Données projet'!G258)+10*'Données projet'!H258</f>
        <v>28</v>
      </c>
      <c r="D285" s="179">
        <f t="shared" si="14"/>
        <v>9240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>
        <f>40*'Données projet'!E259+13.8*('Données projet'!F259+'Données projet'!G259)+10*'Données projet'!H259</f>
        <v>0</v>
      </c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>
        <f>40*'Données projet'!E260+13.8*('Données projet'!F260+'Données projet'!G260)+10*'Données projet'!H260</f>
        <v>0</v>
      </c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>
        <f>40*'Données projet'!E261+13.8*('Données projet'!F261+'Données projet'!G261)+10*'Données projet'!H261</f>
        <v>0</v>
      </c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>
        <f>40*'Données projet'!E262+13.8*('Données projet'!F262+'Données projet'!G262)+10*'Données projet'!H262</f>
        <v>0</v>
      </c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>
        <f>40*'Données projet'!E263+13.8*('Données projet'!F263+'Données projet'!G263)+10*'Données projet'!H263</f>
        <v>0</v>
      </c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>Aulne glutineux</v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8" t="s">
        <v>132</v>
      </c>
      <c r="C296" s="197" t="s">
        <v>132</v>
      </c>
      <c r="D296" s="196" t="s">
        <v>132</v>
      </c>
      <c r="E296" s="193">
        <v>1770.74</v>
      </c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15</v>
      </c>
      <c r="B302" s="181">
        <f>'Données projet'!D270</f>
        <v>15</v>
      </c>
      <c r="C302" s="191">
        <f>40*'Données projet'!E270+13.8*('Données projet'!F270+'Données projet'!G270)+10*'Données projet'!H270</f>
        <v>10</v>
      </c>
      <c r="D302" s="182">
        <f>B302*C302</f>
        <v>150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20</v>
      </c>
      <c r="B303" s="181">
        <f>'Données projet'!D271</f>
        <v>28</v>
      </c>
      <c r="C303" s="191">
        <f>40*'Données projet'!E271+13.8*('Données projet'!F271+'Données projet'!G271)+10*'Données projet'!H271</f>
        <v>10</v>
      </c>
      <c r="D303" s="182">
        <f t="shared" ref="D303:D321" si="15">B303*C303</f>
        <v>280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25</v>
      </c>
      <c r="B304" s="181">
        <f>'Données projet'!D272</f>
        <v>28</v>
      </c>
      <c r="C304" s="191">
        <f>40*'Données projet'!E272+13.8*('Données projet'!F272+'Données projet'!G272)+10*'Données projet'!H272</f>
        <v>10</v>
      </c>
      <c r="D304" s="182">
        <f t="shared" si="15"/>
        <v>280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30</v>
      </c>
      <c r="B305" s="181">
        <f>'Données projet'!D273</f>
        <v>28</v>
      </c>
      <c r="C305" s="191">
        <f>40*'Données projet'!E273+13.8*('Données projet'!F273+'Données projet'!G273)+10*'Données projet'!H273</f>
        <v>16</v>
      </c>
      <c r="D305" s="182">
        <f t="shared" si="15"/>
        <v>448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35</v>
      </c>
      <c r="B306" s="181">
        <f>'Données projet'!D274</f>
        <v>28</v>
      </c>
      <c r="C306" s="191">
        <f>40*'Données projet'!E274+13.8*('Données projet'!F274+'Données projet'!G274)+10*'Données projet'!H274</f>
        <v>16</v>
      </c>
      <c r="D306" s="182">
        <f t="shared" si="15"/>
        <v>448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40</v>
      </c>
      <c r="B307" s="181">
        <f>'Données projet'!D275</f>
        <v>28</v>
      </c>
      <c r="C307" s="191">
        <f>40*'Données projet'!E275+13.8*('Données projet'!F275+'Données projet'!G275)+10*'Données projet'!H275</f>
        <v>16</v>
      </c>
      <c r="D307" s="182">
        <f t="shared" si="15"/>
        <v>448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45</v>
      </c>
      <c r="B308" s="181">
        <f>'Données projet'!D276</f>
        <v>22</v>
      </c>
      <c r="C308" s="191">
        <f>40*'Données projet'!E276+13.8*('Données projet'!F276+'Données projet'!G276)+10*'Données projet'!H276</f>
        <v>19</v>
      </c>
      <c r="D308" s="182">
        <f t="shared" si="15"/>
        <v>418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50</v>
      </c>
      <c r="B309" s="181">
        <f>'Données projet'!D277</f>
        <v>17</v>
      </c>
      <c r="C309" s="191">
        <f>40*'Données projet'!E277+13.8*('Données projet'!F277+'Données projet'!G277)+10*'Données projet'!H277</f>
        <v>19</v>
      </c>
      <c r="D309" s="182">
        <f t="shared" si="15"/>
        <v>323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55</v>
      </c>
      <c r="B310" s="181">
        <f>'Données projet'!D278</f>
        <v>13</v>
      </c>
      <c r="C310" s="191">
        <f>40*'Données projet'!E278+13.8*('Données projet'!F278+'Données projet'!G278)+10*'Données projet'!H278</f>
        <v>22</v>
      </c>
      <c r="D310" s="182">
        <f t="shared" si="15"/>
        <v>286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60</v>
      </c>
      <c r="B311" s="181">
        <f>'Données projet'!D279</f>
        <v>12</v>
      </c>
      <c r="C311" s="191">
        <f>40*'Données projet'!E279+13.8*('Données projet'!F279+'Données projet'!G279)+10*'Données projet'!H279</f>
        <v>22</v>
      </c>
      <c r="D311" s="182">
        <f t="shared" si="15"/>
        <v>264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65</v>
      </c>
      <c r="B312" s="181">
        <f>'Données projet'!D280</f>
        <v>11</v>
      </c>
      <c r="C312" s="191">
        <f>40*'Données projet'!E280+13.8*('Données projet'!F280+'Données projet'!G280)+10*'Données projet'!H280</f>
        <v>25</v>
      </c>
      <c r="D312" s="182">
        <f t="shared" si="15"/>
        <v>275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70</v>
      </c>
      <c r="B313" s="181">
        <f>'Données projet'!D281</f>
        <v>10</v>
      </c>
      <c r="C313" s="191">
        <f>40*'Données projet'!E281+13.8*('Données projet'!F281+'Données projet'!G281)+10*'Données projet'!H281</f>
        <v>25</v>
      </c>
      <c r="D313" s="182">
        <f t="shared" si="15"/>
        <v>250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75</v>
      </c>
      <c r="B314" s="181">
        <f>'Données projet'!D282</f>
        <v>9</v>
      </c>
      <c r="C314" s="191">
        <f>40*'Données projet'!E282+13.8*('Données projet'!F282+'Données projet'!G282)+10*'Données projet'!H282</f>
        <v>28</v>
      </c>
      <c r="D314" s="182">
        <f t="shared" si="15"/>
        <v>252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80</v>
      </c>
      <c r="B315" s="181">
        <f>'Données projet'!D283</f>
        <v>275</v>
      </c>
      <c r="C315" s="191">
        <f>40*'Données projet'!E283+13.8*('Données projet'!F283+'Données projet'!G283)+10*'Données projet'!H283</f>
        <v>28</v>
      </c>
      <c r="D315" s="182">
        <f t="shared" si="15"/>
        <v>7700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>
        <f>40*'Données projet'!E284+13.8*('Données projet'!F284+'Données projet'!G284)+10*'Données projet'!H284</f>
        <v>0</v>
      </c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>
        <f>40*'Données projet'!E285+13.8*('Données projet'!F285+'Données projet'!G285)+10*'Données projet'!H285</f>
        <v>0</v>
      </c>
      <c r="D317" s="182">
        <f t="shared" si="15"/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>
        <f>40*'Données projet'!E286+13.8*('Données projet'!F286+'Données projet'!G286)+10*'Données projet'!H286</f>
        <v>0</v>
      </c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>
        <f>40*'Données projet'!E287+13.8*('Données projet'!F287+'Données projet'!G287)+10*'Données projet'!H287</f>
        <v>0</v>
      </c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>
        <f>40*'Données projet'!E288+13.8*('Données projet'!F288+'Données projet'!G288)+10*'Données projet'!H288</f>
        <v>0</v>
      </c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1">
        <f>40*'Données projet'!E289+13.8*('Données projet'!F289+'Données projet'!G289)+10*'Données projet'!H289</f>
        <v>0</v>
      </c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Lou StockCo2</cp:lastModifiedBy>
  <dcterms:created xsi:type="dcterms:W3CDTF">2021-02-01T08:22:39Z</dcterms:created>
  <dcterms:modified xsi:type="dcterms:W3CDTF">2024-02-22T10:25:53Z</dcterms:modified>
</cp:coreProperties>
</file>