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Jean de Russon\Projet Val-Couesnon\Préparation dossier\Nouvelles pièces\"/>
    </mc:Choice>
  </mc:AlternateContent>
  <xr:revisionPtr revIDLastSave="0" documentId="13_ncr:1_{F4228411-AC09-4F21-A5D4-F8663359E99B}" xr6:coauthVersionLast="47" xr6:coauthVersionMax="47" xr10:uidLastSave="{00000000-0000-0000-0000-000000000000}"/>
  <bookViews>
    <workbookView xWindow="552" yWindow="336" windowWidth="13944" windowHeight="1219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6" l="1"/>
  <c r="C86" i="6"/>
  <c r="C41" i="6"/>
  <c r="C42" i="6"/>
  <c r="C40" i="6"/>
  <c r="C26" i="6"/>
  <c r="C25" i="6"/>
  <c r="C28" i="6"/>
  <c r="C27" i="6"/>
  <c r="C24" i="6"/>
  <c r="C30" i="6"/>
  <c r="C31" i="6"/>
  <c r="C29" i="6"/>
  <c r="C33" i="6"/>
  <c r="C34" i="6"/>
  <c r="C32" i="6"/>
  <c r="C35" i="6"/>
  <c r="C37" i="6"/>
  <c r="C38" i="6"/>
  <c r="C39" i="6"/>
  <c r="C36" i="6"/>
  <c r="C87" i="6"/>
  <c r="C88" i="6"/>
  <c r="C90" i="6"/>
  <c r="C159" i="6"/>
  <c r="C158" i="6"/>
  <c r="C156" i="6"/>
  <c r="C157" i="6"/>
  <c r="C155" i="6"/>
  <c r="C152" i="6"/>
  <c r="C153" i="6"/>
  <c r="C154" i="6"/>
  <c r="C151" i="6"/>
  <c r="C150" i="6"/>
  <c r="C149" i="6"/>
  <c r="C148" i="6"/>
  <c r="C147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65" i="6"/>
  <c r="C64" i="6"/>
  <c r="C63" i="6"/>
  <c r="C62" i="6"/>
  <c r="C61" i="6"/>
  <c r="C60" i="6"/>
  <c r="C58" i="6"/>
  <c r="C59" i="6"/>
  <c r="E85" i="6"/>
  <c r="C85" i="6"/>
  <c r="C57" i="6"/>
  <c r="C56" i="6"/>
  <c r="C55" i="6"/>
  <c r="C54" i="6"/>
  <c r="I23" i="6"/>
  <c r="I22" i="6"/>
  <c r="I21" i="6"/>
  <c r="I20" i="6"/>
  <c r="C23" i="6" l="1"/>
  <c r="B152" i="1" l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E148" i="6" s="1"/>
  <c r="D149" i="6"/>
  <c r="E149" i="6" s="1"/>
  <c r="D150" i="6"/>
  <c r="E150" i="6" s="1"/>
  <c r="D151" i="6"/>
  <c r="E151" i="6" s="1"/>
  <c r="D152" i="6"/>
  <c r="E152" i="6" s="1"/>
  <c r="D154" i="6"/>
  <c r="E154" i="6" s="1"/>
  <c r="D155" i="6"/>
  <c r="E155" i="6" s="1"/>
  <c r="D156" i="6"/>
  <c r="E156" i="6" s="1"/>
  <c r="D157" i="6"/>
  <c r="E157" i="6" s="1"/>
  <c r="D158" i="6"/>
  <c r="E158" i="6" s="1"/>
  <c r="D159" i="6"/>
  <c r="E159" i="6" s="1"/>
  <c r="D160" i="6"/>
  <c r="D161" i="6"/>
  <c r="D162" i="6"/>
  <c r="D163" i="6"/>
  <c r="D164" i="6"/>
  <c r="D165" i="6"/>
  <c r="D166" i="6"/>
  <c r="D147" i="6"/>
  <c r="E147" i="6" s="1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E125" i="6" s="1"/>
  <c r="D126" i="6"/>
  <c r="E126" i="6" s="1"/>
  <c r="D127" i="6"/>
  <c r="E127" i="6" s="1"/>
  <c r="D128" i="6"/>
  <c r="D129" i="6"/>
  <c r="D130" i="6"/>
  <c r="D131" i="6"/>
  <c r="D132" i="6"/>
  <c r="D133" i="6"/>
  <c r="D134" i="6"/>
  <c r="D135" i="6"/>
  <c r="D116" i="6"/>
  <c r="E116" i="6" s="1"/>
  <c r="D86" i="6"/>
  <c r="E86" i="6" s="1"/>
  <c r="D87" i="6"/>
  <c r="E87" i="6" s="1"/>
  <c r="D88" i="6"/>
  <c r="E88" i="6" s="1"/>
  <c r="D89" i="6"/>
  <c r="E89" i="6" s="1"/>
  <c r="D90" i="6"/>
  <c r="E90" i="6" s="1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E63" i="6" s="1"/>
  <c r="D64" i="6"/>
  <c r="E64" i="6" s="1"/>
  <c r="D65" i="6"/>
  <c r="E65" i="6" s="1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D34" i="6"/>
  <c r="E34" i="6" s="1"/>
  <c r="D35" i="6"/>
  <c r="E35" i="6" s="1"/>
  <c r="D36" i="6"/>
  <c r="E36" i="6" s="1"/>
  <c r="D37" i="6"/>
  <c r="E37" i="6" s="1"/>
  <c r="D38" i="6"/>
  <c r="E38" i="6" s="1"/>
  <c r="D39" i="6"/>
  <c r="E39" i="6" s="1"/>
  <c r="D40" i="6"/>
  <c r="E40" i="6" s="1"/>
  <c r="D41" i="6"/>
  <c r="E41" i="6" s="1"/>
  <c r="D42" i="6"/>
  <c r="E42" i="6" s="1"/>
  <c r="D23" i="6"/>
  <c r="E23" i="6" s="1"/>
  <c r="D304" i="6"/>
  <c r="D250" i="6"/>
  <c r="D153" i="6"/>
  <c r="E153" i="6" s="1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EW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FS113" i="2"/>
  <c r="HI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FS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X145" i="2"/>
  <c r="FR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A164" i="2"/>
  <c r="HG164" i="2"/>
  <c r="EX164" i="2"/>
  <c r="DI163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I179" i="2"/>
  <c r="EV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EB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G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FR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<sst xmlns="http://schemas.openxmlformats.org/spreadsheetml/2006/main" count="1174" uniqueCount="324">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</sst>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525.04382649327385</c:v>
                </c:pt>
                <c:pt idx="122">
                  <c:v>525.04382649327385</c:v>
                </c:pt>
                <c:pt idx="123">
                  <c:v>525.04382649327385</c:v>
                </c:pt>
                <c:pt idx="124">
                  <c:v>525.04382649327385</c:v>
                </c:pt>
                <c:pt idx="125">
                  <c:v>525.04382649327385</c:v>
                </c:pt>
                <c:pt idx="126">
                  <c:v>525.04382649327385</c:v>
                </c:pt>
                <c:pt idx="127">
                  <c:v>525.04382649327385</c:v>
                </c:pt>
                <c:pt idx="128">
                  <c:v>525.04382649327385</c:v>
                </c:pt>
                <c:pt idx="129">
                  <c:v>525.04382649327385</c:v>
                </c:pt>
                <c:pt idx="130">
                  <c:v>525.04382649327385</c:v>
                </c:pt>
                <c:pt idx="131">
                  <c:v>525.04382649327385</c:v>
                </c:pt>
                <c:pt idx="132">
                  <c:v>525.04382649327385</c:v>
                </c:pt>
                <c:pt idx="133">
                  <c:v>525.04382649327385</c:v>
                </c:pt>
                <c:pt idx="134">
                  <c:v>525.04382649327385</c:v>
                </c:pt>
                <c:pt idx="135">
                  <c:v>525.04382649327385</c:v>
                </c:pt>
                <c:pt idx="136">
                  <c:v>525.04382649327385</c:v>
                </c:pt>
                <c:pt idx="137">
                  <c:v>525.04382649327385</c:v>
                </c:pt>
                <c:pt idx="138">
                  <c:v>525.04382649327385</c:v>
                </c:pt>
                <c:pt idx="139">
                  <c:v>525.04382649327385</c:v>
                </c:pt>
                <c:pt idx="140">
                  <c:v>525.04382649327385</c:v>
                </c:pt>
                <c:pt idx="141">
                  <c:v>525.04382649327385</c:v>
                </c:pt>
                <c:pt idx="142">
                  <c:v>525.04382649327385</c:v>
                </c:pt>
                <c:pt idx="143">
                  <c:v>525.04382649327385</c:v>
                </c:pt>
                <c:pt idx="144">
                  <c:v>525.04382649327385</c:v>
                </c:pt>
                <c:pt idx="145">
                  <c:v>525.04382649327385</c:v>
                </c:pt>
                <c:pt idx="146">
                  <c:v>525.04382649327385</c:v>
                </c:pt>
                <c:pt idx="147">
                  <c:v>525.04382649327385</c:v>
                </c:pt>
                <c:pt idx="148">
                  <c:v>525.04382649327385</c:v>
                </c:pt>
                <c:pt idx="149">
                  <c:v>525.04382649327385</c:v>
                </c:pt>
                <c:pt idx="150">
                  <c:v>525.04382649327385</c:v>
                </c:pt>
                <c:pt idx="151">
                  <c:v>525.04382649327385</c:v>
                </c:pt>
                <c:pt idx="152">
                  <c:v>525.04382649327385</c:v>
                </c:pt>
                <c:pt idx="153">
                  <c:v>525.04382649327385</c:v>
                </c:pt>
                <c:pt idx="154">
                  <c:v>525.04382649327385</c:v>
                </c:pt>
                <c:pt idx="155">
                  <c:v>525.04382649327385</c:v>
                </c:pt>
                <c:pt idx="156">
                  <c:v>525.04382649327385</c:v>
                </c:pt>
                <c:pt idx="157">
                  <c:v>525.04382649327385</c:v>
                </c:pt>
                <c:pt idx="158">
                  <c:v>525.04382649327385</c:v>
                </c:pt>
                <c:pt idx="159">
                  <c:v>525.04382649327385</c:v>
                </c:pt>
                <c:pt idx="160">
                  <c:v>525.04382649327385</c:v>
                </c:pt>
                <c:pt idx="161">
                  <c:v>525.04382649327385</c:v>
                </c:pt>
                <c:pt idx="162">
                  <c:v>525.04382649327385</c:v>
                </c:pt>
                <c:pt idx="163">
                  <c:v>525.04382649327385</c:v>
                </c:pt>
                <c:pt idx="164">
                  <c:v>525.04382649327385</c:v>
                </c:pt>
                <c:pt idx="165">
                  <c:v>525.04382649327385</c:v>
                </c:pt>
                <c:pt idx="166">
                  <c:v>525.04382649327385</c:v>
                </c:pt>
                <c:pt idx="167">
                  <c:v>525.04382649327385</c:v>
                </c:pt>
                <c:pt idx="168">
                  <c:v>525.04382649327385</c:v>
                </c:pt>
                <c:pt idx="169">
                  <c:v>525.04382649327385</c:v>
                </c:pt>
                <c:pt idx="170">
                  <c:v>525.04382649327385</c:v>
                </c:pt>
                <c:pt idx="171">
                  <c:v>525.04382649327385</c:v>
                </c:pt>
                <c:pt idx="172">
                  <c:v>525.04382649327385</c:v>
                </c:pt>
                <c:pt idx="173">
                  <c:v>525.04382649327385</c:v>
                </c:pt>
                <c:pt idx="174">
                  <c:v>525.04382649327385</c:v>
                </c:pt>
                <c:pt idx="175">
                  <c:v>525.04382649327385</c:v>
                </c:pt>
                <c:pt idx="176">
                  <c:v>525.04382649327385</c:v>
                </c:pt>
                <c:pt idx="177">
                  <c:v>525.04382649327385</c:v>
                </c:pt>
                <c:pt idx="178">
                  <c:v>525.04382649327385</c:v>
                </c:pt>
                <c:pt idx="179">
                  <c:v>525.04382649327385</c:v>
                </c:pt>
                <c:pt idx="180">
                  <c:v>525.04382649327385</c:v>
                </c:pt>
                <c:pt idx="181">
                  <c:v>525.04382649327385</c:v>
                </c:pt>
                <c:pt idx="182">
                  <c:v>525.04382649327385</c:v>
                </c:pt>
                <c:pt idx="183">
                  <c:v>525.04382649327385</c:v>
                </c:pt>
                <c:pt idx="184">
                  <c:v>525.04382649327385</c:v>
                </c:pt>
                <c:pt idx="185">
                  <c:v>525.04382649327385</c:v>
                </c:pt>
                <c:pt idx="186">
                  <c:v>525.04382649327385</c:v>
                </c:pt>
                <c:pt idx="187">
                  <c:v>525.04382649327385</c:v>
                </c:pt>
                <c:pt idx="188">
                  <c:v>525.04382649327385</c:v>
                </c:pt>
                <c:pt idx="189">
                  <c:v>525.04382649327385</c:v>
                </c:pt>
                <c:pt idx="190">
                  <c:v>525.04382649327385</c:v>
                </c:pt>
                <c:pt idx="191">
                  <c:v>525.04382649327385</c:v>
                </c:pt>
                <c:pt idx="192">
                  <c:v>525.04382649327385</c:v>
                </c:pt>
                <c:pt idx="193">
                  <c:v>525.04382649327385</c:v>
                </c:pt>
                <c:pt idx="194">
                  <c:v>525.04382649327385</c:v>
                </c:pt>
                <c:pt idx="195">
                  <c:v>525.04382649327385</c:v>
                </c:pt>
                <c:pt idx="196">
                  <c:v>525.04382649327385</c:v>
                </c:pt>
                <c:pt idx="197">
                  <c:v>525.04382649327385</c:v>
                </c:pt>
                <c:pt idx="198">
                  <c:v>525.04382649327385</c:v>
                </c:pt>
                <c:pt idx="199">
                  <c:v>525.04382649327385</c:v>
                </c:pt>
                <c:pt idx="200">
                  <c:v>525.04382649327385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2.2237370335339155</c:v>
                </c:pt>
                <c:pt idx="2">
                  <c:v>2.8551057905220838</c:v>
                </c:pt>
                <c:pt idx="3">
                  <c:v>3.6664526016105534</c:v>
                </c:pt>
                <c:pt idx="4">
                  <c:v>4.7092751349455169</c:v>
                </c:pt>
                <c:pt idx="5">
                  <c:v>6.0498579465884035</c:v>
                </c:pt>
                <c:pt idx="6">
                  <c:v>7.7735321354963425</c:v>
                </c:pt>
                <c:pt idx="7">
                  <c:v>9.9901657422727119</c:v>
                </c:pt>
                <c:pt idx="8">
                  <c:v>12.841241462302449</c:v>
                </c:pt>
                <c:pt idx="9">
                  <c:v>16.508981805982817</c:v>
                </c:pt>
                <c:pt idx="10">
                  <c:v>21.228115546950253</c:v>
                </c:pt>
                <c:pt idx="11">
                  <c:v>27.301051946538653</c:v>
                </c:pt>
                <c:pt idx="12">
                  <c:v>35.117452191659261</c:v>
                </c:pt>
                <c:pt idx="13">
                  <c:v>45.179475417802273</c:v>
                </c:pt>
                <c:pt idx="14">
                  <c:v>58.134348586780305</c:v>
                </c:pt>
                <c:pt idx="15">
                  <c:v>74.816389879517146</c:v>
                </c:pt>
                <c:pt idx="16">
                  <c:v>73.033687855601201</c:v>
                </c:pt>
                <c:pt idx="17">
                  <c:v>87.562335767011447</c:v>
                </c:pt>
                <c:pt idx="18">
                  <c:v>102.03029339782113</c:v>
                </c:pt>
                <c:pt idx="19">
                  <c:v>116.44740463134538</c:v>
                </c:pt>
                <c:pt idx="20">
                  <c:v>130.82086378441329</c:v>
                </c:pt>
                <c:pt idx="21">
                  <c:v>123.19919977804646</c:v>
                </c:pt>
                <c:pt idx="22">
                  <c:v>139.01683142261138</c:v>
                </c:pt>
                <c:pt idx="23">
                  <c:v>154.79121219766498</c:v>
                </c:pt>
                <c:pt idx="24">
                  <c:v>170.52737422542671</c:v>
                </c:pt>
                <c:pt idx="25">
                  <c:v>186.22934307037494</c:v>
                </c:pt>
                <c:pt idx="26">
                  <c:v>172.85566278319246</c:v>
                </c:pt>
                <c:pt idx="27">
                  <c:v>188.5528608672598</c:v>
                </c:pt>
                <c:pt idx="28">
                  <c:v>204.21959279021056</c:v>
                </c:pt>
                <c:pt idx="29">
                  <c:v>219.85852553656545</c:v>
                </c:pt>
                <c:pt idx="30">
                  <c:v>235.47191534143417</c:v>
                </c:pt>
                <c:pt idx="31">
                  <c:v>219.85852553656545</c:v>
                </c:pt>
                <c:pt idx="32">
                  <c:v>234.60514077955398</c:v>
                </c:pt>
                <c:pt idx="33">
                  <c:v>249.33060885818921</c:v>
                </c:pt>
                <c:pt idx="34">
                  <c:v>264.03635482953871</c:v>
                </c:pt>
                <c:pt idx="35">
                  <c:v>278.72363197672894</c:v>
                </c:pt>
                <c:pt idx="36">
                  <c:v>261.15436806065446</c:v>
                </c:pt>
                <c:pt idx="37">
                  <c:v>275.26940274078589</c:v>
                </c:pt>
                <c:pt idx="38">
                  <c:v>289.36818395878009</c:v>
                </c:pt>
                <c:pt idx="39">
                  <c:v>303.45161527870766</c:v>
                </c:pt>
                <c:pt idx="40">
                  <c:v>317.5205095246979</c:v>
                </c:pt>
                <c:pt idx="41">
                  <c:v>298.85458006272205</c:v>
                </c:pt>
                <c:pt idx="42">
                  <c:v>311.77981081702825</c:v>
                </c:pt>
                <c:pt idx="43">
                  <c:v>324.69315596665723</c:v>
                </c:pt>
                <c:pt idx="44">
                  <c:v>337.59515490696037</c:v>
                </c:pt>
                <c:pt idx="45">
                  <c:v>350.48630242966351</c:v>
                </c:pt>
                <c:pt idx="46">
                  <c:v>331.28889643907803</c:v>
                </c:pt>
                <c:pt idx="47">
                  <c:v>343.61234557851321</c:v>
                </c:pt>
                <c:pt idx="48">
                  <c:v>355.92608494962661</c:v>
                </c:pt>
                <c:pt idx="49">
                  <c:v>368.23049787832588</c:v>
                </c:pt>
                <c:pt idx="50">
                  <c:v>380.52593997693936</c:v>
                </c:pt>
                <c:pt idx="51">
                  <c:v>360.5055410983191</c:v>
                </c:pt>
                <c:pt idx="52">
                  <c:v>371.94865504264641</c:v>
                </c:pt>
                <c:pt idx="53">
                  <c:v>383.38409516212909</c:v>
                </c:pt>
                <c:pt idx="54">
                  <c:v>394.81212266433721</c:v>
                </c:pt>
                <c:pt idx="55">
                  <c:v>406.23298239796071</c:v>
                </c:pt>
                <c:pt idx="56">
                  <c:v>387.09900499275886</c:v>
                </c:pt>
                <c:pt idx="57">
                  <c:v>397.95356362471421</c:v>
                </c:pt>
                <c:pt idx="58">
                  <c:v>408.80171181165474</c:v>
                </c:pt>
                <c:pt idx="59">
                  <c:v>419.64364368493239</c:v>
                </c:pt>
                <c:pt idx="60">
                  <c:v>430.47954252402116</c:v>
                </c:pt>
                <c:pt idx="61">
                  <c:v>411.94079675783945</c:v>
                </c:pt>
                <c:pt idx="62">
                  <c:v>421.92538095054601</c:v>
                </c:pt>
                <c:pt idx="63">
                  <c:v>431.90487882746339</c:v>
                </c:pt>
                <c:pt idx="64">
                  <c:v>441.8794245148224</c:v>
                </c:pt>
                <c:pt idx="65">
                  <c:v>451.84914558797846</c:v>
                </c:pt>
                <c:pt idx="66">
                  <c:v>433.045075092932</c:v>
                </c:pt>
                <c:pt idx="67">
                  <c:v>442.73415931864434</c:v>
                </c:pt>
                <c:pt idx="68">
                  <c:v>452.41870075654128</c:v>
                </c:pt>
                <c:pt idx="69">
                  <c:v>462.09881038696267</c:v>
                </c:pt>
                <c:pt idx="70">
                  <c:v>471.77459416013585</c:v>
                </c:pt>
                <c:pt idx="71">
                  <c:v>444.72840313442015</c:v>
                </c:pt>
                <c:pt idx="72">
                  <c:v>444.72840313442015</c:v>
                </c:pt>
                <c:pt idx="73">
                  <c:v>444.72840313442015</c:v>
                </c:pt>
                <c:pt idx="74">
                  <c:v>444.72840313442015</c:v>
                </c:pt>
                <c:pt idx="75">
                  <c:v>444.72840313442015</c:v>
                </c:pt>
                <c:pt idx="76">
                  <c:v>444.72840313442015</c:v>
                </c:pt>
                <c:pt idx="77">
                  <c:v>444.72840313442015</c:v>
                </c:pt>
                <c:pt idx="78">
                  <c:v>444.72840313442015</c:v>
                </c:pt>
                <c:pt idx="79">
                  <c:v>444.72840313442015</c:v>
                </c:pt>
                <c:pt idx="80">
                  <c:v>444.72840313442015</c:v>
                </c:pt>
                <c:pt idx="81">
                  <c:v>444.72840313442015</c:v>
                </c:pt>
                <c:pt idx="82">
                  <c:v>444.72840313442015</c:v>
                </c:pt>
                <c:pt idx="83">
                  <c:v>444.72840313442015</c:v>
                </c:pt>
                <c:pt idx="84">
                  <c:v>444.72840313442015</c:v>
                </c:pt>
                <c:pt idx="85">
                  <c:v>444.72840313442015</c:v>
                </c:pt>
                <c:pt idx="86">
                  <c:v>444.72840313442015</c:v>
                </c:pt>
                <c:pt idx="87">
                  <c:v>444.72840313442015</c:v>
                </c:pt>
                <c:pt idx="88">
                  <c:v>444.72840313442015</c:v>
                </c:pt>
                <c:pt idx="89">
                  <c:v>444.72840313442015</c:v>
                </c:pt>
                <c:pt idx="90">
                  <c:v>444.72840313442015</c:v>
                </c:pt>
                <c:pt idx="91">
                  <c:v>444.72840313442015</c:v>
                </c:pt>
                <c:pt idx="92">
                  <c:v>444.72840313442015</c:v>
                </c:pt>
                <c:pt idx="93">
                  <c:v>444.72840313442015</c:v>
                </c:pt>
                <c:pt idx="94">
                  <c:v>444.72840313442015</c:v>
                </c:pt>
                <c:pt idx="95">
                  <c:v>444.72840313442015</c:v>
                </c:pt>
                <c:pt idx="96">
                  <c:v>444.72840313442015</c:v>
                </c:pt>
                <c:pt idx="97">
                  <c:v>444.72840313442015</c:v>
                </c:pt>
                <c:pt idx="98">
                  <c:v>444.72840313442015</c:v>
                </c:pt>
                <c:pt idx="99">
                  <c:v>444.72840313442015</c:v>
                </c:pt>
                <c:pt idx="100">
                  <c:v>444.72840313442015</c:v>
                </c:pt>
                <c:pt idx="101">
                  <c:v>444.72840313442015</c:v>
                </c:pt>
                <c:pt idx="102">
                  <c:v>444.72840313442015</c:v>
                </c:pt>
                <c:pt idx="103">
                  <c:v>444.72840313442015</c:v>
                </c:pt>
                <c:pt idx="104">
                  <c:v>444.72840313442015</c:v>
                </c:pt>
                <c:pt idx="105">
                  <c:v>444.72840313442015</c:v>
                </c:pt>
                <c:pt idx="106">
                  <c:v>444.72840313442015</c:v>
                </c:pt>
                <c:pt idx="107">
                  <c:v>444.72840313442015</c:v>
                </c:pt>
                <c:pt idx="108">
                  <c:v>444.72840313442015</c:v>
                </c:pt>
                <c:pt idx="109">
                  <c:v>444.72840313442015</c:v>
                </c:pt>
                <c:pt idx="110">
                  <c:v>444.72840313442015</c:v>
                </c:pt>
                <c:pt idx="111">
                  <c:v>444.72840313442015</c:v>
                </c:pt>
                <c:pt idx="112">
                  <c:v>444.72840313442015</c:v>
                </c:pt>
                <c:pt idx="113">
                  <c:v>444.72840313442015</c:v>
                </c:pt>
                <c:pt idx="114">
                  <c:v>444.72840313442015</c:v>
                </c:pt>
                <c:pt idx="115">
                  <c:v>444.72840313442015</c:v>
                </c:pt>
                <c:pt idx="116">
                  <c:v>444.72840313442015</c:v>
                </c:pt>
                <c:pt idx="117">
                  <c:v>444.72840313442015</c:v>
                </c:pt>
                <c:pt idx="118">
                  <c:v>444.72840313442015</c:v>
                </c:pt>
                <c:pt idx="119">
                  <c:v>444.72840313442015</c:v>
                </c:pt>
                <c:pt idx="120">
                  <c:v>444.72840313442015</c:v>
                </c:pt>
                <c:pt idx="121">
                  <c:v>444.72840313442015</c:v>
                </c:pt>
                <c:pt idx="122">
                  <c:v>444.72840313442015</c:v>
                </c:pt>
                <c:pt idx="123">
                  <c:v>444.72840313442015</c:v>
                </c:pt>
                <c:pt idx="124">
                  <c:v>444.72840313442015</c:v>
                </c:pt>
                <c:pt idx="125">
                  <c:v>444.72840313442015</c:v>
                </c:pt>
                <c:pt idx="126">
                  <c:v>444.72840313442015</c:v>
                </c:pt>
                <c:pt idx="127">
                  <c:v>444.72840313442015</c:v>
                </c:pt>
                <c:pt idx="128">
                  <c:v>444.72840313442015</c:v>
                </c:pt>
                <c:pt idx="129">
                  <c:v>444.72840313442015</c:v>
                </c:pt>
                <c:pt idx="130">
                  <c:v>444.72840313442015</c:v>
                </c:pt>
                <c:pt idx="131">
                  <c:v>444.72840313442015</c:v>
                </c:pt>
                <c:pt idx="132">
                  <c:v>444.72840313442015</c:v>
                </c:pt>
                <c:pt idx="133">
                  <c:v>444.72840313442015</c:v>
                </c:pt>
                <c:pt idx="134">
                  <c:v>444.72840313442015</c:v>
                </c:pt>
                <c:pt idx="135">
                  <c:v>444.72840313442015</c:v>
                </c:pt>
                <c:pt idx="136">
                  <c:v>444.72840313442015</c:v>
                </c:pt>
                <c:pt idx="137">
                  <c:v>444.72840313442015</c:v>
                </c:pt>
                <c:pt idx="138">
                  <c:v>444.72840313442015</c:v>
                </c:pt>
                <c:pt idx="139">
                  <c:v>444.72840313442015</c:v>
                </c:pt>
                <c:pt idx="140">
                  <c:v>444.72840313442015</c:v>
                </c:pt>
                <c:pt idx="141">
                  <c:v>444.72840313442015</c:v>
                </c:pt>
                <c:pt idx="142">
                  <c:v>444.72840313442015</c:v>
                </c:pt>
                <c:pt idx="143">
                  <c:v>444.72840313442015</c:v>
                </c:pt>
                <c:pt idx="144">
                  <c:v>444.72840313442015</c:v>
                </c:pt>
                <c:pt idx="145">
                  <c:v>444.72840313442015</c:v>
                </c:pt>
                <c:pt idx="146">
                  <c:v>444.72840313442015</c:v>
                </c:pt>
                <c:pt idx="147">
                  <c:v>444.72840313442015</c:v>
                </c:pt>
                <c:pt idx="148">
                  <c:v>444.72840313442015</c:v>
                </c:pt>
                <c:pt idx="149">
                  <c:v>444.72840313442015</c:v>
                </c:pt>
                <c:pt idx="150">
                  <c:v>444.72840313442015</c:v>
                </c:pt>
                <c:pt idx="151">
                  <c:v>444.72840313442015</c:v>
                </c:pt>
                <c:pt idx="152">
                  <c:v>444.72840313442015</c:v>
                </c:pt>
                <c:pt idx="153">
                  <c:v>444.72840313442015</c:v>
                </c:pt>
                <c:pt idx="154">
                  <c:v>444.72840313442015</c:v>
                </c:pt>
                <c:pt idx="155">
                  <c:v>444.72840313442015</c:v>
                </c:pt>
                <c:pt idx="156">
                  <c:v>444.72840313442015</c:v>
                </c:pt>
                <c:pt idx="157">
                  <c:v>444.72840313442015</c:v>
                </c:pt>
                <c:pt idx="158">
                  <c:v>444.72840313442015</c:v>
                </c:pt>
                <c:pt idx="159">
                  <c:v>444.72840313442015</c:v>
                </c:pt>
                <c:pt idx="160">
                  <c:v>444.72840313442015</c:v>
                </c:pt>
                <c:pt idx="161">
                  <c:v>444.72840313442015</c:v>
                </c:pt>
                <c:pt idx="162">
                  <c:v>444.72840313442015</c:v>
                </c:pt>
                <c:pt idx="163">
                  <c:v>444.72840313442015</c:v>
                </c:pt>
                <c:pt idx="164">
                  <c:v>444.72840313442015</c:v>
                </c:pt>
                <c:pt idx="165">
                  <c:v>444.72840313442015</c:v>
                </c:pt>
                <c:pt idx="166">
                  <c:v>444.72840313442015</c:v>
                </c:pt>
                <c:pt idx="167">
                  <c:v>444.72840313442015</c:v>
                </c:pt>
                <c:pt idx="168">
                  <c:v>444.72840313442015</c:v>
                </c:pt>
                <c:pt idx="169">
                  <c:v>444.72840313442015</c:v>
                </c:pt>
                <c:pt idx="170">
                  <c:v>444.72840313442015</c:v>
                </c:pt>
                <c:pt idx="171">
                  <c:v>444.72840313442015</c:v>
                </c:pt>
                <c:pt idx="172">
                  <c:v>444.72840313442015</c:v>
                </c:pt>
                <c:pt idx="173">
                  <c:v>444.72840313442015</c:v>
                </c:pt>
                <c:pt idx="174">
                  <c:v>444.72840313442015</c:v>
                </c:pt>
                <c:pt idx="175">
                  <c:v>444.72840313442015</c:v>
                </c:pt>
                <c:pt idx="176">
                  <c:v>444.72840313442015</c:v>
                </c:pt>
                <c:pt idx="177">
                  <c:v>444.72840313442015</c:v>
                </c:pt>
                <c:pt idx="178">
                  <c:v>444.72840313442015</c:v>
                </c:pt>
                <c:pt idx="179">
                  <c:v>444.72840313442015</c:v>
                </c:pt>
                <c:pt idx="180">
                  <c:v>444.72840313442015</c:v>
                </c:pt>
                <c:pt idx="181">
                  <c:v>444.72840313442015</c:v>
                </c:pt>
                <c:pt idx="182">
                  <c:v>444.72840313442015</c:v>
                </c:pt>
                <c:pt idx="183">
                  <c:v>444.72840313442015</c:v>
                </c:pt>
                <c:pt idx="184">
                  <c:v>444.72840313442015</c:v>
                </c:pt>
                <c:pt idx="185">
                  <c:v>444.72840313442015</c:v>
                </c:pt>
                <c:pt idx="186">
                  <c:v>444.72840313442015</c:v>
                </c:pt>
                <c:pt idx="187">
                  <c:v>444.72840313442015</c:v>
                </c:pt>
                <c:pt idx="188">
                  <c:v>444.72840313442015</c:v>
                </c:pt>
                <c:pt idx="189">
                  <c:v>444.72840313442015</c:v>
                </c:pt>
                <c:pt idx="190">
                  <c:v>444.72840313442015</c:v>
                </c:pt>
                <c:pt idx="191">
                  <c:v>444.72840313442015</c:v>
                </c:pt>
                <c:pt idx="192">
                  <c:v>444.72840313442015</c:v>
                </c:pt>
                <c:pt idx="193">
                  <c:v>444.72840313442015</c:v>
                </c:pt>
                <c:pt idx="194">
                  <c:v>444.72840313442015</c:v>
                </c:pt>
                <c:pt idx="195">
                  <c:v>444.72840313442015</c:v>
                </c:pt>
                <c:pt idx="196">
                  <c:v>444.72840313442015</c:v>
                </c:pt>
                <c:pt idx="197">
                  <c:v>444.72840313442015</c:v>
                </c:pt>
                <c:pt idx="198">
                  <c:v>444.72840313442015</c:v>
                </c:pt>
                <c:pt idx="199">
                  <c:v>444.72840313442015</c:v>
                </c:pt>
                <c:pt idx="200">
                  <c:v>444.72840313442015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1.7654408865741755</c:v>
                </c:pt>
                <c:pt idx="2">
                  <c:v>2.1443083780134335</c:v>
                </c:pt>
                <c:pt idx="3">
                  <c:v>2.604794970509364</c:v>
                </c:pt>
                <c:pt idx="4">
                  <c:v>3.1645476572041171</c:v>
                </c:pt>
                <c:pt idx="5">
                  <c:v>3.845041881440538</c:v>
                </c:pt>
                <c:pt idx="6">
                  <c:v>4.6724147281319128</c:v>
                </c:pt>
                <c:pt idx="7">
                  <c:v>5.6784799727183524</c:v>
                </c:pt>
                <c:pt idx="8">
                  <c:v>6.9019647873923118</c:v>
                </c:pt>
                <c:pt idx="9">
                  <c:v>8.3900166357723727</c:v>
                </c:pt>
                <c:pt idx="10">
                  <c:v>10.200039538527898</c:v>
                </c:pt>
                <c:pt idx="11">
                  <c:v>12.401931886575817</c:v>
                </c:pt>
                <c:pt idx="12">
                  <c:v>15.080813831708754</c:v>
                </c:pt>
                <c:pt idx="13">
                  <c:v>18.340351627188916</c:v>
                </c:pt>
                <c:pt idx="14">
                  <c:v>22.306809892474675</c:v>
                </c:pt>
                <c:pt idx="15">
                  <c:v>27.133991576348848</c:v>
                </c:pt>
                <c:pt idx="16">
                  <c:v>33.009260538402906</c:v>
                </c:pt>
                <c:pt idx="17">
                  <c:v>40.160884560758582</c:v>
                </c:pt>
                <c:pt idx="18">
                  <c:v>48.866988950404448</c:v>
                </c:pt>
                <c:pt idx="19">
                  <c:v>59.466474786146328</c:v>
                </c:pt>
                <c:pt idx="20">
                  <c:v>72.372333853470067</c:v>
                </c:pt>
                <c:pt idx="21">
                  <c:v>88.08788751047274</c:v>
                </c:pt>
                <c:pt idx="22">
                  <c:v>107.22659294268225</c:v>
                </c:pt>
                <c:pt idx="23">
                  <c:v>130.53620214043252</c:v>
                </c:pt>
                <c:pt idx="24">
                  <c:v>158.92823214467515</c:v>
                </c:pt>
                <c:pt idx="25">
                  <c:v>193.51391658775063</c:v>
                </c:pt>
                <c:pt idx="26">
                  <c:v>235.64806677239497</c:v>
                </c:pt>
                <c:pt idx="27">
                  <c:v>286.98258582898427</c:v>
                </c:pt>
                <c:pt idx="28">
                  <c:v>349.53176450400844</c:v>
                </c:pt>
                <c:pt idx="29">
                  <c:v>297.96509151161808</c:v>
                </c:pt>
                <c:pt idx="30">
                  <c:v>321.72206087508545</c:v>
                </c:pt>
                <c:pt idx="31">
                  <c:v>345.44023751763137</c:v>
                </c:pt>
                <c:pt idx="32">
                  <c:v>369.12265759637449</c:v>
                </c:pt>
                <c:pt idx="33">
                  <c:v>392.77193601632257</c:v>
                </c:pt>
                <c:pt idx="34">
                  <c:v>416.39034724619609</c:v>
                </c:pt>
                <c:pt idx="35">
                  <c:v>439.97988683239709</c:v>
                </c:pt>
                <c:pt idx="36">
                  <c:v>377.80345313139196</c:v>
                </c:pt>
                <c:pt idx="37">
                  <c:v>401.27121245623721</c:v>
                </c:pt>
                <c:pt idx="38">
                  <c:v>424.70928392163961</c:v>
                </c:pt>
                <c:pt idx="39">
                  <c:v>448.11953487317919</c:v>
                </c:pt>
                <c:pt idx="40">
                  <c:v>471.5036217750806</c:v>
                </c:pt>
                <c:pt idx="41">
                  <c:v>494.86302351488195</c:v>
                </c:pt>
                <c:pt idx="42">
                  <c:v>518.19906809317104</c:v>
                </c:pt>
                <c:pt idx="43">
                  <c:v>446.7631483536922</c:v>
                </c:pt>
                <c:pt idx="44">
                  <c:v>468.96309407139438</c:v>
                </c:pt>
                <c:pt idx="45">
                  <c:v>491.14065865974493</c:v>
                </c:pt>
                <c:pt idx="46">
                  <c:v>513.29699402119002</c:v>
                </c:pt>
                <c:pt idx="47">
                  <c:v>535.43314458849261</c:v>
                </c:pt>
                <c:pt idx="48">
                  <c:v>557.55006146957351</c:v>
                </c:pt>
                <c:pt idx="49">
                  <c:v>579.64861423230275</c:v>
                </c:pt>
                <c:pt idx="50">
                  <c:v>499.59972129755039</c:v>
                </c:pt>
                <c:pt idx="51">
                  <c:v>520.05821905274354</c:v>
                </c:pt>
                <c:pt idx="52">
                  <c:v>540.49975268726166</c:v>
                </c:pt>
                <c:pt idx="53">
                  <c:v>560.92505353055105</c:v>
                </c:pt>
                <c:pt idx="54">
                  <c:v>581.33479535320475</c:v>
                </c:pt>
                <c:pt idx="55">
                  <c:v>601.72960079971574</c:v>
                </c:pt>
                <c:pt idx="56">
                  <c:v>622.11004690432071</c:v>
                </c:pt>
                <c:pt idx="57">
                  <c:v>541.34409009587864</c:v>
                </c:pt>
                <c:pt idx="58">
                  <c:v>559.74385479896762</c:v>
                </c:pt>
                <c:pt idx="59">
                  <c:v>578.13096374046995</c:v>
                </c:pt>
                <c:pt idx="60">
                  <c:v>596.5058757947512</c:v>
                </c:pt>
                <c:pt idx="61">
                  <c:v>614.86901928246368</c:v>
                </c:pt>
                <c:pt idx="62">
                  <c:v>633.22079487523945</c:v>
                </c:pt>
                <c:pt idx="63">
                  <c:v>651.56157814637822</c:v>
                </c:pt>
                <c:pt idx="64">
                  <c:v>548.94188791952263</c:v>
                </c:pt>
                <c:pt idx="65">
                  <c:v>548.94188791952263</c:v>
                </c:pt>
                <c:pt idx="66">
                  <c:v>548.94188791952263</c:v>
                </c:pt>
                <c:pt idx="67">
                  <c:v>548.94188791952263</c:v>
                </c:pt>
                <c:pt idx="68">
                  <c:v>548.94188791952263</c:v>
                </c:pt>
                <c:pt idx="69">
                  <c:v>548.94188791952263</c:v>
                </c:pt>
                <c:pt idx="70">
                  <c:v>548.94188791952263</c:v>
                </c:pt>
                <c:pt idx="71">
                  <c:v>548.94188791952263</c:v>
                </c:pt>
                <c:pt idx="72">
                  <c:v>548.94188791952263</c:v>
                </c:pt>
                <c:pt idx="73">
                  <c:v>548.94188791952263</c:v>
                </c:pt>
                <c:pt idx="74">
                  <c:v>548.94188791952263</c:v>
                </c:pt>
                <c:pt idx="75">
                  <c:v>548.94188791952263</c:v>
                </c:pt>
                <c:pt idx="76">
                  <c:v>548.94188791952263</c:v>
                </c:pt>
                <c:pt idx="77">
                  <c:v>548.94188791952263</c:v>
                </c:pt>
                <c:pt idx="78">
                  <c:v>548.94188791952263</c:v>
                </c:pt>
                <c:pt idx="79">
                  <c:v>548.94188791952263</c:v>
                </c:pt>
                <c:pt idx="80">
                  <c:v>548.94188791952263</c:v>
                </c:pt>
                <c:pt idx="81">
                  <c:v>548.94188791952263</c:v>
                </c:pt>
                <c:pt idx="82">
                  <c:v>548.94188791952263</c:v>
                </c:pt>
                <c:pt idx="83">
                  <c:v>548.94188791952263</c:v>
                </c:pt>
                <c:pt idx="84">
                  <c:v>548.94188791952263</c:v>
                </c:pt>
                <c:pt idx="85">
                  <c:v>548.94188791952263</c:v>
                </c:pt>
                <c:pt idx="86">
                  <c:v>548.94188791952263</c:v>
                </c:pt>
                <c:pt idx="87">
                  <c:v>548.94188791952263</c:v>
                </c:pt>
                <c:pt idx="88">
                  <c:v>548.94188791952263</c:v>
                </c:pt>
                <c:pt idx="89">
                  <c:v>548.94188791952263</c:v>
                </c:pt>
                <c:pt idx="90">
                  <c:v>548.94188791952263</c:v>
                </c:pt>
                <c:pt idx="91">
                  <c:v>548.94188791952263</c:v>
                </c:pt>
                <c:pt idx="92">
                  <c:v>548.94188791952263</c:v>
                </c:pt>
                <c:pt idx="93">
                  <c:v>548.94188791952263</c:v>
                </c:pt>
                <c:pt idx="94">
                  <c:v>548.94188791952263</c:v>
                </c:pt>
                <c:pt idx="95">
                  <c:v>548.94188791952263</c:v>
                </c:pt>
                <c:pt idx="96">
                  <c:v>548.94188791952263</c:v>
                </c:pt>
                <c:pt idx="97">
                  <c:v>548.94188791952263</c:v>
                </c:pt>
                <c:pt idx="98">
                  <c:v>548.94188791952263</c:v>
                </c:pt>
                <c:pt idx="99">
                  <c:v>548.94188791952263</c:v>
                </c:pt>
                <c:pt idx="100">
                  <c:v>548.94188791952263</c:v>
                </c:pt>
                <c:pt idx="101">
                  <c:v>548.94188791952263</c:v>
                </c:pt>
                <c:pt idx="102">
                  <c:v>548.94188791952263</c:v>
                </c:pt>
                <c:pt idx="103">
                  <c:v>548.94188791952263</c:v>
                </c:pt>
                <c:pt idx="104">
                  <c:v>548.94188791952263</c:v>
                </c:pt>
                <c:pt idx="105">
                  <c:v>548.94188791952263</c:v>
                </c:pt>
                <c:pt idx="106">
                  <c:v>548.94188791952263</c:v>
                </c:pt>
                <c:pt idx="107">
                  <c:v>548.94188791952263</c:v>
                </c:pt>
                <c:pt idx="108">
                  <c:v>548.94188791952263</c:v>
                </c:pt>
                <c:pt idx="109">
                  <c:v>548.94188791952263</c:v>
                </c:pt>
                <c:pt idx="110">
                  <c:v>548.94188791952263</c:v>
                </c:pt>
                <c:pt idx="111">
                  <c:v>548.94188791952263</c:v>
                </c:pt>
                <c:pt idx="112">
                  <c:v>548.94188791952263</c:v>
                </c:pt>
                <c:pt idx="113">
                  <c:v>548.94188791952263</c:v>
                </c:pt>
                <c:pt idx="114">
                  <c:v>548.94188791952263</c:v>
                </c:pt>
                <c:pt idx="115">
                  <c:v>548.94188791952263</c:v>
                </c:pt>
                <c:pt idx="116">
                  <c:v>548.94188791952263</c:v>
                </c:pt>
                <c:pt idx="117">
                  <c:v>548.94188791952263</c:v>
                </c:pt>
                <c:pt idx="118">
                  <c:v>548.94188791952263</c:v>
                </c:pt>
                <c:pt idx="119">
                  <c:v>548.94188791952263</c:v>
                </c:pt>
                <c:pt idx="120">
                  <c:v>548.94188791952263</c:v>
                </c:pt>
                <c:pt idx="121">
                  <c:v>548.94188791952263</c:v>
                </c:pt>
                <c:pt idx="122">
                  <c:v>548.94188791952263</c:v>
                </c:pt>
                <c:pt idx="123">
                  <c:v>548.94188791952263</c:v>
                </c:pt>
                <c:pt idx="124">
                  <c:v>548.94188791952263</c:v>
                </c:pt>
                <c:pt idx="125">
                  <c:v>548.94188791952263</c:v>
                </c:pt>
                <c:pt idx="126">
                  <c:v>548.94188791952263</c:v>
                </c:pt>
                <c:pt idx="127">
                  <c:v>548.94188791952263</c:v>
                </c:pt>
                <c:pt idx="128">
                  <c:v>548.94188791952263</c:v>
                </c:pt>
                <c:pt idx="129">
                  <c:v>548.94188791952263</c:v>
                </c:pt>
                <c:pt idx="130">
                  <c:v>548.94188791952263</c:v>
                </c:pt>
                <c:pt idx="131">
                  <c:v>548.94188791952263</c:v>
                </c:pt>
                <c:pt idx="132">
                  <c:v>548.94188791952263</c:v>
                </c:pt>
                <c:pt idx="133">
                  <c:v>548.94188791952263</c:v>
                </c:pt>
                <c:pt idx="134">
                  <c:v>548.94188791952263</c:v>
                </c:pt>
                <c:pt idx="135">
                  <c:v>548.94188791952263</c:v>
                </c:pt>
                <c:pt idx="136">
                  <c:v>548.94188791952263</c:v>
                </c:pt>
                <c:pt idx="137">
                  <c:v>548.94188791952263</c:v>
                </c:pt>
                <c:pt idx="138">
                  <c:v>548.94188791952263</c:v>
                </c:pt>
                <c:pt idx="139">
                  <c:v>548.94188791952263</c:v>
                </c:pt>
                <c:pt idx="140">
                  <c:v>548.94188791952263</c:v>
                </c:pt>
                <c:pt idx="141">
                  <c:v>548.94188791952263</c:v>
                </c:pt>
                <c:pt idx="142">
                  <c:v>548.94188791952263</c:v>
                </c:pt>
                <c:pt idx="143">
                  <c:v>548.94188791952263</c:v>
                </c:pt>
                <c:pt idx="144">
                  <c:v>548.94188791952263</c:v>
                </c:pt>
                <c:pt idx="145">
                  <c:v>548.94188791952263</c:v>
                </c:pt>
                <c:pt idx="146">
                  <c:v>548.94188791952263</c:v>
                </c:pt>
                <c:pt idx="147">
                  <c:v>548.94188791952263</c:v>
                </c:pt>
                <c:pt idx="148">
                  <c:v>548.94188791952263</c:v>
                </c:pt>
                <c:pt idx="149">
                  <c:v>548.94188791952263</c:v>
                </c:pt>
                <c:pt idx="150">
                  <c:v>548.94188791952263</c:v>
                </c:pt>
                <c:pt idx="151">
                  <c:v>548.94188791952263</c:v>
                </c:pt>
                <c:pt idx="152">
                  <c:v>548.94188791952263</c:v>
                </c:pt>
                <c:pt idx="153">
                  <c:v>548.94188791952263</c:v>
                </c:pt>
                <c:pt idx="154">
                  <c:v>548.94188791952263</c:v>
                </c:pt>
                <c:pt idx="155">
                  <c:v>548.94188791952263</c:v>
                </c:pt>
                <c:pt idx="156">
                  <c:v>548.94188791952263</c:v>
                </c:pt>
                <c:pt idx="157">
                  <c:v>548.94188791952263</c:v>
                </c:pt>
                <c:pt idx="158">
                  <c:v>548.94188791952263</c:v>
                </c:pt>
                <c:pt idx="159">
                  <c:v>548.94188791952263</c:v>
                </c:pt>
                <c:pt idx="160">
                  <c:v>548.94188791952263</c:v>
                </c:pt>
                <c:pt idx="161">
                  <c:v>548.94188791952263</c:v>
                </c:pt>
                <c:pt idx="162">
                  <c:v>548.94188791952263</c:v>
                </c:pt>
                <c:pt idx="163">
                  <c:v>548.94188791952263</c:v>
                </c:pt>
                <c:pt idx="164">
                  <c:v>548.94188791952263</c:v>
                </c:pt>
                <c:pt idx="165">
                  <c:v>548.94188791952263</c:v>
                </c:pt>
                <c:pt idx="166">
                  <c:v>548.94188791952263</c:v>
                </c:pt>
                <c:pt idx="167">
                  <c:v>548.94188791952263</c:v>
                </c:pt>
                <c:pt idx="168">
                  <c:v>548.94188791952263</c:v>
                </c:pt>
                <c:pt idx="169">
                  <c:v>548.94188791952263</c:v>
                </c:pt>
                <c:pt idx="170">
                  <c:v>548.94188791952263</c:v>
                </c:pt>
                <c:pt idx="171">
                  <c:v>548.94188791952263</c:v>
                </c:pt>
                <c:pt idx="172">
                  <c:v>548.94188791952263</c:v>
                </c:pt>
                <c:pt idx="173">
                  <c:v>548.94188791952263</c:v>
                </c:pt>
                <c:pt idx="174">
                  <c:v>548.94188791952263</c:v>
                </c:pt>
                <c:pt idx="175">
                  <c:v>548.94188791952263</c:v>
                </c:pt>
                <c:pt idx="176">
                  <c:v>548.94188791952263</c:v>
                </c:pt>
                <c:pt idx="177">
                  <c:v>548.94188791952263</c:v>
                </c:pt>
                <c:pt idx="178">
                  <c:v>548.94188791952263</c:v>
                </c:pt>
                <c:pt idx="179">
                  <c:v>548.94188791952263</c:v>
                </c:pt>
                <c:pt idx="180">
                  <c:v>548.94188791952263</c:v>
                </c:pt>
                <c:pt idx="181">
                  <c:v>548.94188791952263</c:v>
                </c:pt>
                <c:pt idx="182">
                  <c:v>548.94188791952263</c:v>
                </c:pt>
                <c:pt idx="183">
                  <c:v>548.94188791952263</c:v>
                </c:pt>
                <c:pt idx="184">
                  <c:v>548.94188791952263</c:v>
                </c:pt>
                <c:pt idx="185">
                  <c:v>548.94188791952263</c:v>
                </c:pt>
                <c:pt idx="186">
                  <c:v>548.94188791952263</c:v>
                </c:pt>
                <c:pt idx="187">
                  <c:v>548.94188791952263</c:v>
                </c:pt>
                <c:pt idx="188">
                  <c:v>548.94188791952263</c:v>
                </c:pt>
                <c:pt idx="189">
                  <c:v>548.94188791952263</c:v>
                </c:pt>
                <c:pt idx="190">
                  <c:v>548.94188791952263</c:v>
                </c:pt>
                <c:pt idx="191">
                  <c:v>548.94188791952263</c:v>
                </c:pt>
                <c:pt idx="192">
                  <c:v>548.94188791952263</c:v>
                </c:pt>
                <c:pt idx="193">
                  <c:v>548.94188791952263</c:v>
                </c:pt>
                <c:pt idx="194">
                  <c:v>548.94188791952263</c:v>
                </c:pt>
                <c:pt idx="195">
                  <c:v>548.94188791952263</c:v>
                </c:pt>
                <c:pt idx="196">
                  <c:v>548.94188791952263</c:v>
                </c:pt>
                <c:pt idx="197">
                  <c:v>548.94188791952263</c:v>
                </c:pt>
                <c:pt idx="198">
                  <c:v>548.94188791952263</c:v>
                </c:pt>
                <c:pt idx="199">
                  <c:v>548.94188791952263</c:v>
                </c:pt>
                <c:pt idx="200">
                  <c:v>548.94188791952263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3.1448827526014789</c:v>
                </c:pt>
                <c:pt idx="2">
                  <c:v>4.0783538994547595</c:v>
                </c:pt>
                <c:pt idx="3">
                  <c:v>5.2900001998470128</c:v>
                </c:pt>
                <c:pt idx="4">
                  <c:v>6.8630264169854067</c:v>
                </c:pt>
                <c:pt idx="5">
                  <c:v>8.9056107073051347</c:v>
                </c:pt>
                <c:pt idx="6">
                  <c:v>11.558424170388015</c:v>
                </c:pt>
                <c:pt idx="7">
                  <c:v>15.004421189528943</c:v>
                </c:pt>
                <c:pt idx="8">
                  <c:v>19.481588140849077</c:v>
                </c:pt>
                <c:pt idx="9">
                  <c:v>25.299546747201394</c:v>
                </c:pt>
                <c:pt idx="10">
                  <c:v>32.861180535774103</c:v>
                </c:pt>
                <c:pt idx="11">
                  <c:v>42.690807874706756</c:v>
                </c:pt>
                <c:pt idx="12">
                  <c:v>55.470888171561171</c:v>
                </c:pt>
                <c:pt idx="13">
                  <c:v>72.089851987131979</c:v>
                </c:pt>
                <c:pt idx="14">
                  <c:v>93.704434098445333</c:v>
                </c:pt>
                <c:pt idx="15">
                  <c:v>121.82091713898713</c:v>
                </c:pt>
                <c:pt idx="16">
                  <c:v>119.32266184146289</c:v>
                </c:pt>
                <c:pt idx="17">
                  <c:v>139.69022533269052</c:v>
                </c:pt>
                <c:pt idx="18">
                  <c:v>159.98639323229054</c:v>
                </c:pt>
                <c:pt idx="19">
                  <c:v>180.22150974210368</c:v>
                </c:pt>
                <c:pt idx="20">
                  <c:v>200.40339902760681</c:v>
                </c:pt>
                <c:pt idx="21">
                  <c:v>190.52462490535592</c:v>
                </c:pt>
                <c:pt idx="22">
                  <c:v>211.50356294225205</c:v>
                </c:pt>
                <c:pt idx="23">
                  <c:v>232.43452337580371</c:v>
                </c:pt>
                <c:pt idx="24">
                  <c:v>253.32243416283723</c:v>
                </c:pt>
                <c:pt idx="25">
                  <c:v>274.17134356368149</c:v>
                </c:pt>
                <c:pt idx="26">
                  <c:v>256.18627627912707</c:v>
                </c:pt>
                <c:pt idx="27">
                  <c:v>277.03010943782311</c:v>
                </c:pt>
                <c:pt idx="28">
                  <c:v>297.83874433354407</c:v>
                </c:pt>
                <c:pt idx="29">
                  <c:v>318.61498499805043</c:v>
                </c:pt>
                <c:pt idx="30">
                  <c:v>339.36123992303629</c:v>
                </c:pt>
                <c:pt idx="31">
                  <c:v>316.98658873887399</c:v>
                </c:pt>
                <c:pt idx="32">
                  <c:v>337.32855839291466</c:v>
                </c:pt>
                <c:pt idx="33">
                  <c:v>357.64353127694943</c:v>
                </c:pt>
                <c:pt idx="34">
                  <c:v>377.93325577983637</c:v>
                </c:pt>
                <c:pt idx="35">
                  <c:v>398.19927730859052</c:v>
                </c:pt>
                <c:pt idx="36">
                  <c:v>372.25458524998066</c:v>
                </c:pt>
                <c:pt idx="37">
                  <c:v>390.90615020805762</c:v>
                </c:pt>
                <c:pt idx="38">
                  <c:v>409.53841471156375</c:v>
                </c:pt>
                <c:pt idx="39">
                  <c:v>428.15237998828275</c:v>
                </c:pt>
                <c:pt idx="40">
                  <c:v>446.74895314532552</c:v>
                </c:pt>
                <c:pt idx="41">
                  <c:v>418.44297119801377</c:v>
                </c:pt>
                <c:pt idx="42">
                  <c:v>436.6442259968922</c:v>
                </c:pt>
                <c:pt idx="43">
                  <c:v>454.82920658695576</c:v>
                </c:pt>
                <c:pt idx="44">
                  <c:v>472.99865488119258</c:v>
                </c:pt>
                <c:pt idx="45">
                  <c:v>491.15325117467358</c:v>
                </c:pt>
                <c:pt idx="46">
                  <c:v>460.07972261531557</c:v>
                </c:pt>
                <c:pt idx="47">
                  <c:v>477.43779176321937</c:v>
                </c:pt>
                <c:pt idx="48">
                  <c:v>494.78244415923376</c:v>
                </c:pt>
                <c:pt idx="49">
                  <c:v>512.11421609335616</c:v>
                </c:pt>
                <c:pt idx="50">
                  <c:v>529.43360461515215</c:v>
                </c:pt>
                <c:pt idx="51">
                  <c:v>497.60475956110253</c:v>
                </c:pt>
                <c:pt idx="52">
                  <c:v>514.12872559596747</c:v>
                </c:pt>
                <c:pt idx="53">
                  <c:v>530.64148401823616</c:v>
                </c:pt>
                <c:pt idx="54">
                  <c:v>547.14343251865023</c:v>
                </c:pt>
                <c:pt idx="55">
                  <c:v>563.63494285621744</c:v>
                </c:pt>
                <c:pt idx="56">
                  <c:v>532.65448784339935</c:v>
                </c:pt>
                <c:pt idx="57">
                  <c:v>547.94813569401742</c:v>
                </c:pt>
                <c:pt idx="58">
                  <c:v>563.23283231364178</c:v>
                </c:pt>
                <c:pt idx="59">
                  <c:v>578.50885471155289</c:v>
                </c:pt>
                <c:pt idx="60">
                  <c:v>593.77646408241515</c:v>
                </c:pt>
                <c:pt idx="61">
                  <c:v>562.02646462929238</c:v>
                </c:pt>
                <c:pt idx="62">
                  <c:v>576.49933790299667</c:v>
                </c:pt>
                <c:pt idx="63">
                  <c:v>590.96463046211261</c:v>
                </c:pt>
                <c:pt idx="64">
                  <c:v>605.42255391496565</c:v>
                </c:pt>
                <c:pt idx="65">
                  <c:v>619.87330894420143</c:v>
                </c:pt>
                <c:pt idx="66">
                  <c:v>587.34900624869272</c:v>
                </c:pt>
                <c:pt idx="67">
                  <c:v>601.00562468188161</c:v>
                </c:pt>
                <c:pt idx="68">
                  <c:v>614.65579543478577</c:v>
                </c:pt>
                <c:pt idx="69">
                  <c:v>628.29968180581488</c:v>
                </c:pt>
                <c:pt idx="70">
                  <c:v>641.93743942630658</c:v>
                </c:pt>
                <c:pt idx="71">
                  <c:v>597.79288898117682</c:v>
                </c:pt>
                <c:pt idx="72">
                  <c:v>597.79288898117682</c:v>
                </c:pt>
                <c:pt idx="73">
                  <c:v>597.79288898117682</c:v>
                </c:pt>
                <c:pt idx="74">
                  <c:v>597.79288898117682</c:v>
                </c:pt>
                <c:pt idx="75">
                  <c:v>597.79288898117682</c:v>
                </c:pt>
                <c:pt idx="76">
                  <c:v>597.79288898117682</c:v>
                </c:pt>
                <c:pt idx="77">
                  <c:v>597.79288898117682</c:v>
                </c:pt>
                <c:pt idx="78">
                  <c:v>597.79288898117682</c:v>
                </c:pt>
                <c:pt idx="79">
                  <c:v>597.79288898117682</c:v>
                </c:pt>
                <c:pt idx="80">
                  <c:v>597.79288898117682</c:v>
                </c:pt>
                <c:pt idx="81">
                  <c:v>597.79288898117682</c:v>
                </c:pt>
                <c:pt idx="82">
                  <c:v>597.79288898117682</c:v>
                </c:pt>
                <c:pt idx="83">
                  <c:v>597.79288898117682</c:v>
                </c:pt>
                <c:pt idx="84">
                  <c:v>597.79288898117682</c:v>
                </c:pt>
                <c:pt idx="85">
                  <c:v>597.79288898117682</c:v>
                </c:pt>
                <c:pt idx="86">
                  <c:v>597.79288898117682</c:v>
                </c:pt>
                <c:pt idx="87">
                  <c:v>597.79288898117682</c:v>
                </c:pt>
                <c:pt idx="88">
                  <c:v>597.79288898117682</c:v>
                </c:pt>
                <c:pt idx="89">
                  <c:v>597.79288898117682</c:v>
                </c:pt>
                <c:pt idx="90">
                  <c:v>597.79288898117682</c:v>
                </c:pt>
                <c:pt idx="91">
                  <c:v>597.79288898117682</c:v>
                </c:pt>
                <c:pt idx="92">
                  <c:v>597.79288898117682</c:v>
                </c:pt>
                <c:pt idx="93">
                  <c:v>597.79288898117682</c:v>
                </c:pt>
                <c:pt idx="94">
                  <c:v>597.79288898117682</c:v>
                </c:pt>
                <c:pt idx="95">
                  <c:v>597.79288898117682</c:v>
                </c:pt>
                <c:pt idx="96">
                  <c:v>597.79288898117682</c:v>
                </c:pt>
                <c:pt idx="97">
                  <c:v>597.79288898117682</c:v>
                </c:pt>
                <c:pt idx="98">
                  <c:v>597.79288898117682</c:v>
                </c:pt>
                <c:pt idx="99">
                  <c:v>597.79288898117682</c:v>
                </c:pt>
                <c:pt idx="100">
                  <c:v>597.79288898117682</c:v>
                </c:pt>
                <c:pt idx="101">
                  <c:v>597.79288898117682</c:v>
                </c:pt>
                <c:pt idx="102">
                  <c:v>597.79288898117682</c:v>
                </c:pt>
                <c:pt idx="103">
                  <c:v>597.79288898117682</c:v>
                </c:pt>
                <c:pt idx="104">
                  <c:v>597.79288898117682</c:v>
                </c:pt>
                <c:pt idx="105">
                  <c:v>597.79288898117682</c:v>
                </c:pt>
                <c:pt idx="106">
                  <c:v>597.79288898117682</c:v>
                </c:pt>
                <c:pt idx="107">
                  <c:v>597.79288898117682</c:v>
                </c:pt>
                <c:pt idx="108">
                  <c:v>597.79288898117682</c:v>
                </c:pt>
                <c:pt idx="109">
                  <c:v>597.79288898117682</c:v>
                </c:pt>
                <c:pt idx="110">
                  <c:v>597.79288898117682</c:v>
                </c:pt>
                <c:pt idx="111">
                  <c:v>597.79288898117682</c:v>
                </c:pt>
                <c:pt idx="112">
                  <c:v>597.79288898117682</c:v>
                </c:pt>
                <c:pt idx="113">
                  <c:v>597.79288898117682</c:v>
                </c:pt>
                <c:pt idx="114">
                  <c:v>597.79288898117682</c:v>
                </c:pt>
                <c:pt idx="115">
                  <c:v>597.79288898117682</c:v>
                </c:pt>
                <c:pt idx="116">
                  <c:v>597.79288898117682</c:v>
                </c:pt>
                <c:pt idx="117">
                  <c:v>597.79288898117682</c:v>
                </c:pt>
                <c:pt idx="118">
                  <c:v>597.79288898117682</c:v>
                </c:pt>
                <c:pt idx="119">
                  <c:v>597.79288898117682</c:v>
                </c:pt>
                <c:pt idx="120">
                  <c:v>597.79288898117682</c:v>
                </c:pt>
                <c:pt idx="121">
                  <c:v>597.79288898117682</c:v>
                </c:pt>
                <c:pt idx="122">
                  <c:v>597.79288898117682</c:v>
                </c:pt>
                <c:pt idx="123">
                  <c:v>597.79288898117682</c:v>
                </c:pt>
                <c:pt idx="124">
                  <c:v>597.79288898117682</c:v>
                </c:pt>
                <c:pt idx="125">
                  <c:v>597.79288898117682</c:v>
                </c:pt>
                <c:pt idx="126">
                  <c:v>597.79288898117682</c:v>
                </c:pt>
                <c:pt idx="127">
                  <c:v>597.79288898117682</c:v>
                </c:pt>
                <c:pt idx="128">
                  <c:v>597.79288898117682</c:v>
                </c:pt>
                <c:pt idx="129">
                  <c:v>597.79288898117682</c:v>
                </c:pt>
                <c:pt idx="130">
                  <c:v>597.79288898117682</c:v>
                </c:pt>
                <c:pt idx="131">
                  <c:v>597.79288898117682</c:v>
                </c:pt>
                <c:pt idx="132">
                  <c:v>597.79288898117682</c:v>
                </c:pt>
                <c:pt idx="133">
                  <c:v>597.79288898117682</c:v>
                </c:pt>
                <c:pt idx="134">
                  <c:v>597.79288898117682</c:v>
                </c:pt>
                <c:pt idx="135">
                  <c:v>597.79288898117682</c:v>
                </c:pt>
                <c:pt idx="136">
                  <c:v>597.79288898117682</c:v>
                </c:pt>
                <c:pt idx="137">
                  <c:v>597.79288898117682</c:v>
                </c:pt>
                <c:pt idx="138">
                  <c:v>597.79288898117682</c:v>
                </c:pt>
                <c:pt idx="139">
                  <c:v>597.79288898117682</c:v>
                </c:pt>
                <c:pt idx="140">
                  <c:v>597.79288898117682</c:v>
                </c:pt>
                <c:pt idx="141">
                  <c:v>597.79288898117682</c:v>
                </c:pt>
                <c:pt idx="142">
                  <c:v>597.79288898117682</c:v>
                </c:pt>
                <c:pt idx="143">
                  <c:v>597.79288898117682</c:v>
                </c:pt>
                <c:pt idx="144">
                  <c:v>597.79288898117682</c:v>
                </c:pt>
                <c:pt idx="145">
                  <c:v>597.79288898117682</c:v>
                </c:pt>
                <c:pt idx="146">
                  <c:v>597.79288898117682</c:v>
                </c:pt>
                <c:pt idx="147">
                  <c:v>597.79288898117682</c:v>
                </c:pt>
                <c:pt idx="148">
                  <c:v>597.79288898117682</c:v>
                </c:pt>
                <c:pt idx="149">
                  <c:v>597.79288898117682</c:v>
                </c:pt>
                <c:pt idx="150">
                  <c:v>597.79288898117682</c:v>
                </c:pt>
                <c:pt idx="151">
                  <c:v>597.79288898117682</c:v>
                </c:pt>
                <c:pt idx="152">
                  <c:v>597.79288898117682</c:v>
                </c:pt>
                <c:pt idx="153">
                  <c:v>597.79288898117682</c:v>
                </c:pt>
                <c:pt idx="154">
                  <c:v>597.79288898117682</c:v>
                </c:pt>
                <c:pt idx="155">
                  <c:v>597.79288898117682</c:v>
                </c:pt>
                <c:pt idx="156">
                  <c:v>597.79288898117682</c:v>
                </c:pt>
                <c:pt idx="157">
                  <c:v>597.79288898117682</c:v>
                </c:pt>
                <c:pt idx="158">
                  <c:v>597.79288898117682</c:v>
                </c:pt>
                <c:pt idx="159">
                  <c:v>597.79288898117682</c:v>
                </c:pt>
                <c:pt idx="160">
                  <c:v>597.79288898117682</c:v>
                </c:pt>
                <c:pt idx="161">
                  <c:v>597.79288898117682</c:v>
                </c:pt>
                <c:pt idx="162">
                  <c:v>597.79288898117682</c:v>
                </c:pt>
                <c:pt idx="163">
                  <c:v>597.79288898117682</c:v>
                </c:pt>
                <c:pt idx="164">
                  <c:v>597.79288898117682</c:v>
                </c:pt>
                <c:pt idx="165">
                  <c:v>597.79288898117682</c:v>
                </c:pt>
                <c:pt idx="166">
                  <c:v>597.79288898117682</c:v>
                </c:pt>
                <c:pt idx="167">
                  <c:v>597.79288898117682</c:v>
                </c:pt>
                <c:pt idx="168">
                  <c:v>597.79288898117682</c:v>
                </c:pt>
                <c:pt idx="169">
                  <c:v>597.79288898117682</c:v>
                </c:pt>
                <c:pt idx="170">
                  <c:v>597.79288898117682</c:v>
                </c:pt>
                <c:pt idx="171">
                  <c:v>597.79288898117682</c:v>
                </c:pt>
                <c:pt idx="172">
                  <c:v>597.79288898117682</c:v>
                </c:pt>
                <c:pt idx="173">
                  <c:v>597.79288898117682</c:v>
                </c:pt>
                <c:pt idx="174">
                  <c:v>597.79288898117682</c:v>
                </c:pt>
                <c:pt idx="175">
                  <c:v>597.79288898117682</c:v>
                </c:pt>
                <c:pt idx="176">
                  <c:v>597.79288898117682</c:v>
                </c:pt>
                <c:pt idx="177">
                  <c:v>597.79288898117682</c:v>
                </c:pt>
                <c:pt idx="178">
                  <c:v>597.79288898117682</c:v>
                </c:pt>
                <c:pt idx="179">
                  <c:v>597.79288898117682</c:v>
                </c:pt>
                <c:pt idx="180">
                  <c:v>597.79288898117682</c:v>
                </c:pt>
                <c:pt idx="181">
                  <c:v>597.79288898117682</c:v>
                </c:pt>
                <c:pt idx="182">
                  <c:v>597.79288898117682</c:v>
                </c:pt>
                <c:pt idx="183">
                  <c:v>597.79288898117682</c:v>
                </c:pt>
                <c:pt idx="184">
                  <c:v>597.79288898117682</c:v>
                </c:pt>
                <c:pt idx="185">
                  <c:v>597.79288898117682</c:v>
                </c:pt>
                <c:pt idx="186">
                  <c:v>597.79288898117682</c:v>
                </c:pt>
                <c:pt idx="187">
                  <c:v>597.79288898117682</c:v>
                </c:pt>
                <c:pt idx="188">
                  <c:v>597.79288898117682</c:v>
                </c:pt>
                <c:pt idx="189">
                  <c:v>597.79288898117682</c:v>
                </c:pt>
                <c:pt idx="190">
                  <c:v>597.79288898117682</c:v>
                </c:pt>
                <c:pt idx="191">
                  <c:v>597.79288898117682</c:v>
                </c:pt>
                <c:pt idx="192">
                  <c:v>597.79288898117682</c:v>
                </c:pt>
                <c:pt idx="193">
                  <c:v>597.79288898117682</c:v>
                </c:pt>
                <c:pt idx="194">
                  <c:v>597.79288898117682</c:v>
                </c:pt>
                <c:pt idx="195">
                  <c:v>597.79288898117682</c:v>
                </c:pt>
                <c:pt idx="196">
                  <c:v>597.79288898117682</c:v>
                </c:pt>
                <c:pt idx="197">
                  <c:v>597.79288898117682</c:v>
                </c:pt>
                <c:pt idx="198">
                  <c:v>597.79288898117682</c:v>
                </c:pt>
                <c:pt idx="199">
                  <c:v>597.79288898117682</c:v>
                </c:pt>
                <c:pt idx="200">
                  <c:v>597.79288898117682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1.4948938023825125</c:v>
                </c:pt>
                <c:pt idx="2">
                  <c:v>1.9269579373094583</c:v>
                </c:pt>
                <c:pt idx="3">
                  <c:v>2.4844125028954722</c:v>
                </c:pt>
                <c:pt idx="4">
                  <c:v>3.2037879785422221</c:v>
                </c:pt>
                <c:pt idx="5">
                  <c:v>4.1322958351069063</c:v>
                </c:pt>
                <c:pt idx="6">
                  <c:v>5.330961965417722</c:v>
                </c:pt>
                <c:pt idx="7">
                  <c:v>6.8786821916536089</c:v>
                </c:pt>
                <c:pt idx="8">
                  <c:v>8.8774719569643725</c:v>
                </c:pt>
                <c:pt idx="9">
                  <c:v>11.459262815092636</c:v>
                </c:pt>
                <c:pt idx="10">
                  <c:v>14.794702712539115</c:v>
                </c:pt>
                <c:pt idx="11">
                  <c:v>19.1045524079038</c:v>
                </c:pt>
                <c:pt idx="12">
                  <c:v>24.674445899780395</c:v>
                </c:pt>
                <c:pt idx="13">
                  <c:v>31.874010387766962</c:v>
                </c:pt>
                <c:pt idx="14">
                  <c:v>41.181636581202334</c:v>
                </c:pt>
                <c:pt idx="15">
                  <c:v>53.216573230861478</c:v>
                </c:pt>
                <c:pt idx="16">
                  <c:v>68.780516727302498</c:v>
                </c:pt>
                <c:pt idx="17">
                  <c:v>88.911511419564192</c:v>
                </c:pt>
                <c:pt idx="18">
                  <c:v>114.95381301866831</c:v>
                </c:pt>
                <c:pt idx="19">
                  <c:v>148.64845327234278</c:v>
                </c:pt>
                <c:pt idx="20">
                  <c:v>192.25065332331272</c:v>
                </c:pt>
                <c:pt idx="21">
                  <c:v>153.90233005028921</c:v>
                </c:pt>
                <c:pt idx="22">
                  <c:v>186.51081276883826</c:v>
                </c:pt>
                <c:pt idx="23">
                  <c:v>218.98589856656307</c:v>
                </c:pt>
                <c:pt idx="24">
                  <c:v>251.35018250509077</c:v>
                </c:pt>
                <c:pt idx="25">
                  <c:v>283.61994287439455</c:v>
                </c:pt>
                <c:pt idx="26">
                  <c:v>239.36814609151156</c:v>
                </c:pt>
                <c:pt idx="27">
                  <c:v>274.89669858819849</c:v>
                </c:pt>
                <c:pt idx="28">
                  <c:v>310.32201375635157</c:v>
                </c:pt>
                <c:pt idx="29">
                  <c:v>345.65752741904265</c:v>
                </c:pt>
                <c:pt idx="30">
                  <c:v>380.91370150872643</c:v>
                </c:pt>
                <c:pt idx="31">
                  <c:v>336.59539404232521</c:v>
                </c:pt>
                <c:pt idx="32">
                  <c:v>371.4941833703777</c:v>
                </c:pt>
                <c:pt idx="33">
                  <c:v>406.32148880719052</c:v>
                </c:pt>
                <c:pt idx="34">
                  <c:v>441.08429055375774</c:v>
                </c:pt>
                <c:pt idx="35">
                  <c:v>475.78837940265356</c:v>
                </c:pt>
                <c:pt idx="36">
                  <c:v>428.87729921461749</c:v>
                </c:pt>
                <c:pt idx="37">
                  <c:v>460.78807982104064</c:v>
                </c:pt>
                <c:pt idx="38">
                  <c:v>492.65171161322957</c:v>
                </c:pt>
                <c:pt idx="39">
                  <c:v>524.47166827471267</c:v>
                </c:pt>
                <c:pt idx="40">
                  <c:v>556.25096808745991</c:v>
                </c:pt>
                <c:pt idx="41">
                  <c:v>506.32074034451671</c:v>
                </c:pt>
                <c:pt idx="42">
                  <c:v>534.9444976178803</c:v>
                </c:pt>
                <c:pt idx="43">
                  <c:v>563.53606377120934</c:v>
                </c:pt>
                <c:pt idx="44">
                  <c:v>592.09729944083642</c:v>
                </c:pt>
                <c:pt idx="45">
                  <c:v>620.62987134965499</c:v>
                </c:pt>
                <c:pt idx="46">
                  <c:v>581.83357169395538</c:v>
                </c:pt>
                <c:pt idx="47">
                  <c:v>607.39273139699276</c:v>
                </c:pt>
                <c:pt idx="48">
                  <c:v>632.92957124167344</c:v>
                </c:pt>
                <c:pt idx="49">
                  <c:v>658.44511728602208</c:v>
                </c:pt>
                <c:pt idx="50">
                  <c:v>683.9403096843057</c:v>
                </c:pt>
                <c:pt idx="51">
                  <c:v>651.55610138697932</c:v>
                </c:pt>
                <c:pt idx="52">
                  <c:v>674.07956329907574</c:v>
                </c:pt>
                <c:pt idx="53">
                  <c:v>696.58756909064925</c:v>
                </c:pt>
                <c:pt idx="54">
                  <c:v>719.08068786949445</c:v>
                </c:pt>
                <c:pt idx="55">
                  <c:v>741.55945028038957</c:v>
                </c:pt>
                <c:pt idx="56">
                  <c:v>713.69110254766326</c:v>
                </c:pt>
                <c:pt idx="57">
                  <c:v>733.20122457015805</c:v>
                </c:pt>
                <c:pt idx="58">
                  <c:v>752.70077387013305</c:v>
                </c:pt>
                <c:pt idx="59">
                  <c:v>772.19006261413824</c:v>
                </c:pt>
                <c:pt idx="60">
                  <c:v>791.66938594429928</c:v>
                </c:pt>
                <c:pt idx="61">
                  <c:v>766.2515388815159</c:v>
                </c:pt>
                <c:pt idx="62">
                  <c:v>782.5802570716578</c:v>
                </c:pt>
                <c:pt idx="63">
                  <c:v>798.90208178312059</c:v>
                </c:pt>
                <c:pt idx="64">
                  <c:v>815.21717355559383</c:v>
                </c:pt>
                <c:pt idx="65">
                  <c:v>831.52568598545849</c:v>
                </c:pt>
                <c:pt idx="66">
                  <c:v>807.98744227959924</c:v>
                </c:pt>
                <c:pt idx="67">
                  <c:v>821.51896146213005</c:v>
                </c:pt>
                <c:pt idx="68">
                  <c:v>835.04599283417645</c:v>
                </c:pt>
                <c:pt idx="69">
                  <c:v>848.5686192774391</c:v>
                </c:pt>
                <c:pt idx="70">
                  <c:v>862.08692081896686</c:v>
                </c:pt>
                <c:pt idx="71">
                  <c:v>840.78901144374925</c:v>
                </c:pt>
                <c:pt idx="72">
                  <c:v>851.90229781195706</c:v>
                </c:pt>
                <c:pt idx="73">
                  <c:v>863.01267559176995</c:v>
                </c:pt>
                <c:pt idx="74">
                  <c:v>874.12018747859702</c:v>
                </c:pt>
                <c:pt idx="75">
                  <c:v>885.22487499512147</c:v>
                </c:pt>
                <c:pt idx="76">
                  <c:v>865.78982059929149</c:v>
                </c:pt>
                <c:pt idx="77">
                  <c:v>874.12018747859702</c:v>
                </c:pt>
                <c:pt idx="78">
                  <c:v>882.44896567269132</c:v>
                </c:pt>
                <c:pt idx="79">
                  <c:v>890.7761722812661</c:v>
                </c:pt>
                <c:pt idx="80">
                  <c:v>899.10182405842761</c:v>
                </c:pt>
                <c:pt idx="81">
                  <c:v>875.04568541574281</c:v>
                </c:pt>
                <c:pt idx="82">
                  <c:v>875.04568541574281</c:v>
                </c:pt>
                <c:pt idx="83">
                  <c:v>875.04568541574281</c:v>
                </c:pt>
                <c:pt idx="84">
                  <c:v>875.04568541574281</c:v>
                </c:pt>
                <c:pt idx="85">
                  <c:v>875.04568541574281</c:v>
                </c:pt>
                <c:pt idx="86">
                  <c:v>875.04568541574281</c:v>
                </c:pt>
                <c:pt idx="87">
                  <c:v>875.04568541574281</c:v>
                </c:pt>
                <c:pt idx="88">
                  <c:v>875.04568541574281</c:v>
                </c:pt>
                <c:pt idx="89">
                  <c:v>875.04568541574281</c:v>
                </c:pt>
                <c:pt idx="90">
                  <c:v>875.04568541574281</c:v>
                </c:pt>
                <c:pt idx="91">
                  <c:v>875.04568541574281</c:v>
                </c:pt>
                <c:pt idx="92">
                  <c:v>875.04568541574281</c:v>
                </c:pt>
                <c:pt idx="93">
                  <c:v>875.04568541574281</c:v>
                </c:pt>
                <c:pt idx="94">
                  <c:v>875.04568541574281</c:v>
                </c:pt>
                <c:pt idx="95">
                  <c:v>875.04568541574281</c:v>
                </c:pt>
                <c:pt idx="96">
                  <c:v>875.04568541574281</c:v>
                </c:pt>
                <c:pt idx="97">
                  <c:v>875.04568541574281</c:v>
                </c:pt>
                <c:pt idx="98">
                  <c:v>875.04568541574281</c:v>
                </c:pt>
                <c:pt idx="99">
                  <c:v>875.04568541574281</c:v>
                </c:pt>
                <c:pt idx="100">
                  <c:v>875.04568541574281</c:v>
                </c:pt>
                <c:pt idx="101">
                  <c:v>875.04568541574281</c:v>
                </c:pt>
                <c:pt idx="102">
                  <c:v>875.04568541574281</c:v>
                </c:pt>
                <c:pt idx="103">
                  <c:v>875.04568541574281</c:v>
                </c:pt>
                <c:pt idx="104">
                  <c:v>875.04568541574281</c:v>
                </c:pt>
                <c:pt idx="105">
                  <c:v>875.04568541574281</c:v>
                </c:pt>
                <c:pt idx="106">
                  <c:v>875.04568541574281</c:v>
                </c:pt>
                <c:pt idx="107">
                  <c:v>875.04568541574281</c:v>
                </c:pt>
                <c:pt idx="108">
                  <c:v>875.04568541574281</c:v>
                </c:pt>
                <c:pt idx="109">
                  <c:v>875.04568541574281</c:v>
                </c:pt>
                <c:pt idx="110">
                  <c:v>875.04568541574281</c:v>
                </c:pt>
                <c:pt idx="111">
                  <c:v>875.04568541574281</c:v>
                </c:pt>
                <c:pt idx="112">
                  <c:v>875.04568541574281</c:v>
                </c:pt>
                <c:pt idx="113">
                  <c:v>875.04568541574281</c:v>
                </c:pt>
                <c:pt idx="114">
                  <c:v>875.04568541574281</c:v>
                </c:pt>
                <c:pt idx="115">
                  <c:v>875.04568541574281</c:v>
                </c:pt>
                <c:pt idx="116">
                  <c:v>875.04568541574281</c:v>
                </c:pt>
                <c:pt idx="117">
                  <c:v>875.04568541574281</c:v>
                </c:pt>
                <c:pt idx="118">
                  <c:v>875.04568541574281</c:v>
                </c:pt>
                <c:pt idx="119">
                  <c:v>875.04568541574281</c:v>
                </c:pt>
                <c:pt idx="120">
                  <c:v>875.04568541574281</c:v>
                </c:pt>
                <c:pt idx="121">
                  <c:v>875.04568541574281</c:v>
                </c:pt>
                <c:pt idx="122">
                  <c:v>875.04568541574281</c:v>
                </c:pt>
                <c:pt idx="123">
                  <c:v>875.04568541574281</c:v>
                </c:pt>
                <c:pt idx="124">
                  <c:v>875.04568541574281</c:v>
                </c:pt>
                <c:pt idx="125">
                  <c:v>875.04568541574281</c:v>
                </c:pt>
                <c:pt idx="126">
                  <c:v>875.04568541574281</c:v>
                </c:pt>
                <c:pt idx="127">
                  <c:v>875.04568541574281</c:v>
                </c:pt>
                <c:pt idx="128">
                  <c:v>875.04568541574281</c:v>
                </c:pt>
                <c:pt idx="129">
                  <c:v>875.04568541574281</c:v>
                </c:pt>
                <c:pt idx="130">
                  <c:v>875.04568541574281</c:v>
                </c:pt>
                <c:pt idx="131">
                  <c:v>875.04568541574281</c:v>
                </c:pt>
                <c:pt idx="132">
                  <c:v>875.04568541574281</c:v>
                </c:pt>
                <c:pt idx="133">
                  <c:v>875.04568541574281</c:v>
                </c:pt>
                <c:pt idx="134">
                  <c:v>875.04568541574281</c:v>
                </c:pt>
                <c:pt idx="135">
                  <c:v>875.04568541574281</c:v>
                </c:pt>
                <c:pt idx="136">
                  <c:v>875.04568541574281</c:v>
                </c:pt>
                <c:pt idx="137">
                  <c:v>875.04568541574281</c:v>
                </c:pt>
                <c:pt idx="138">
                  <c:v>875.04568541574281</c:v>
                </c:pt>
                <c:pt idx="139">
                  <c:v>875.04568541574281</c:v>
                </c:pt>
                <c:pt idx="140">
                  <c:v>875.04568541574281</c:v>
                </c:pt>
                <c:pt idx="141">
                  <c:v>875.04568541574281</c:v>
                </c:pt>
                <c:pt idx="142">
                  <c:v>875.04568541574281</c:v>
                </c:pt>
                <c:pt idx="143">
                  <c:v>875.04568541574281</c:v>
                </c:pt>
                <c:pt idx="144">
                  <c:v>875.04568541574281</c:v>
                </c:pt>
                <c:pt idx="145">
                  <c:v>875.04568541574281</c:v>
                </c:pt>
                <c:pt idx="146">
                  <c:v>875.04568541574281</c:v>
                </c:pt>
                <c:pt idx="147">
                  <c:v>875.04568541574281</c:v>
                </c:pt>
                <c:pt idx="148">
                  <c:v>875.04568541574281</c:v>
                </c:pt>
                <c:pt idx="149">
                  <c:v>875.04568541574281</c:v>
                </c:pt>
                <c:pt idx="150">
                  <c:v>875.04568541574281</c:v>
                </c:pt>
                <c:pt idx="151">
                  <c:v>875.04568541574281</c:v>
                </c:pt>
                <c:pt idx="152">
                  <c:v>875.04568541574281</c:v>
                </c:pt>
                <c:pt idx="153">
                  <c:v>875.04568541574281</c:v>
                </c:pt>
                <c:pt idx="154">
                  <c:v>875.04568541574281</c:v>
                </c:pt>
                <c:pt idx="155">
                  <c:v>875.04568541574281</c:v>
                </c:pt>
                <c:pt idx="156">
                  <c:v>875.04568541574281</c:v>
                </c:pt>
                <c:pt idx="157">
                  <c:v>875.04568541574281</c:v>
                </c:pt>
                <c:pt idx="158">
                  <c:v>875.04568541574281</c:v>
                </c:pt>
                <c:pt idx="159">
                  <c:v>875.04568541574281</c:v>
                </c:pt>
                <c:pt idx="160">
                  <c:v>875.04568541574281</c:v>
                </c:pt>
                <c:pt idx="161">
                  <c:v>875.04568541574281</c:v>
                </c:pt>
                <c:pt idx="162">
                  <c:v>875.04568541574281</c:v>
                </c:pt>
                <c:pt idx="163">
                  <c:v>875.04568541574281</c:v>
                </c:pt>
                <c:pt idx="164">
                  <c:v>875.04568541574281</c:v>
                </c:pt>
                <c:pt idx="165">
                  <c:v>875.04568541574281</c:v>
                </c:pt>
                <c:pt idx="166">
                  <c:v>875.04568541574281</c:v>
                </c:pt>
                <c:pt idx="167">
                  <c:v>875.04568541574281</c:v>
                </c:pt>
                <c:pt idx="168">
                  <c:v>875.04568541574281</c:v>
                </c:pt>
                <c:pt idx="169">
                  <c:v>875.04568541574281</c:v>
                </c:pt>
                <c:pt idx="170">
                  <c:v>875.04568541574281</c:v>
                </c:pt>
                <c:pt idx="171">
                  <c:v>875.04568541574281</c:v>
                </c:pt>
                <c:pt idx="172">
                  <c:v>875.04568541574281</c:v>
                </c:pt>
                <c:pt idx="173">
                  <c:v>875.04568541574281</c:v>
                </c:pt>
                <c:pt idx="174">
                  <c:v>875.04568541574281</c:v>
                </c:pt>
                <c:pt idx="175">
                  <c:v>875.04568541574281</c:v>
                </c:pt>
                <c:pt idx="176">
                  <c:v>875.04568541574281</c:v>
                </c:pt>
                <c:pt idx="177">
                  <c:v>875.04568541574281</c:v>
                </c:pt>
                <c:pt idx="178">
                  <c:v>875.04568541574281</c:v>
                </c:pt>
                <c:pt idx="179">
                  <c:v>875.04568541574281</c:v>
                </c:pt>
                <c:pt idx="180">
                  <c:v>875.04568541574281</c:v>
                </c:pt>
                <c:pt idx="181">
                  <c:v>875.04568541574281</c:v>
                </c:pt>
                <c:pt idx="182">
                  <c:v>875.04568541574281</c:v>
                </c:pt>
                <c:pt idx="183">
                  <c:v>875.04568541574281</c:v>
                </c:pt>
                <c:pt idx="184">
                  <c:v>875.04568541574281</c:v>
                </c:pt>
                <c:pt idx="185">
                  <c:v>875.04568541574281</c:v>
                </c:pt>
                <c:pt idx="186">
                  <c:v>875.04568541574281</c:v>
                </c:pt>
                <c:pt idx="187">
                  <c:v>875.04568541574281</c:v>
                </c:pt>
                <c:pt idx="188">
                  <c:v>875.04568541574281</c:v>
                </c:pt>
                <c:pt idx="189">
                  <c:v>875.04568541574281</c:v>
                </c:pt>
                <c:pt idx="190">
                  <c:v>875.04568541574281</c:v>
                </c:pt>
                <c:pt idx="191">
                  <c:v>875.04568541574281</c:v>
                </c:pt>
                <c:pt idx="192">
                  <c:v>875.04568541574281</c:v>
                </c:pt>
                <c:pt idx="193">
                  <c:v>875.04568541574281</c:v>
                </c:pt>
                <c:pt idx="194">
                  <c:v>875.04568541574281</c:v>
                </c:pt>
                <c:pt idx="195">
                  <c:v>875.04568541574281</c:v>
                </c:pt>
                <c:pt idx="196">
                  <c:v>875.04568541574281</c:v>
                </c:pt>
                <c:pt idx="197">
                  <c:v>875.04568541574281</c:v>
                </c:pt>
                <c:pt idx="198">
                  <c:v>875.04568541574281</c:v>
                </c:pt>
                <c:pt idx="199">
                  <c:v>875.04568541574281</c:v>
                </c:pt>
                <c:pt idx="200">
                  <c:v>875.04568541574281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7" zoomScale="80" zoomScaleNormal="80" workbookViewId="0">
      <selection activeCell="C81" sqref="C8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80" zoomScaleNormal="80" workbookViewId="0">
      <selection activeCell="F5" sqref="F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3.68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0.85</v>
      </c>
      <c r="D9" s="33">
        <f t="shared" ref="D9:D18" si="0">C9*$C$5</f>
        <v>3.1280000000000001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50</v>
      </c>
      <c r="C10" s="32">
        <v>0.05</v>
      </c>
      <c r="D10" s="33">
        <f t="shared" si="0"/>
        <v>0.18400000000000002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18</v>
      </c>
      <c r="C11" s="32">
        <v>0.05</v>
      </c>
      <c r="D11" s="33">
        <f t="shared" si="0"/>
        <v>0.18400000000000002</v>
      </c>
      <c r="E11" s="34">
        <v>63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6</v>
      </c>
      <c r="C12" s="32">
        <v>0.03</v>
      </c>
      <c r="D12" s="33">
        <f t="shared" si="0"/>
        <v>0.1104</v>
      </c>
      <c r="E12" s="34">
        <v>70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156</v>
      </c>
      <c r="C13" s="32">
        <v>0.01</v>
      </c>
      <c r="D13" s="33">
        <f t="shared" si="0"/>
        <v>3.6799999999999999E-2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0.9900000000000001</v>
      </c>
      <c r="D19" s="38">
        <f>SUM(D9:D18)</f>
        <v>3.6432000000000002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f>62+8</f>
        <v>70</v>
      </c>
      <c r="C36" s="60">
        <v>1</v>
      </c>
      <c r="D36" s="60">
        <v>8</v>
      </c>
      <c r="E36" s="51"/>
      <c r="F36" s="51"/>
      <c r="G36" s="51"/>
      <c r="H36" s="51">
        <v>1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f>76+D37</f>
        <v>97</v>
      </c>
      <c r="C37" s="60">
        <v>2</v>
      </c>
      <c r="D37" s="60">
        <v>21</v>
      </c>
      <c r="E37" s="51"/>
      <c r="F37" s="51"/>
      <c r="G37" s="51"/>
      <c r="H37" s="51">
        <v>1</v>
      </c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f>95+D38</f>
        <v>116</v>
      </c>
      <c r="C38" s="60">
        <v>3</v>
      </c>
      <c r="D38" s="60">
        <v>21</v>
      </c>
      <c r="E38" s="51">
        <v>0.4</v>
      </c>
      <c r="F38" s="51">
        <v>0.08</v>
      </c>
      <c r="G38" s="51">
        <v>0.12</v>
      </c>
      <c r="H38" s="51">
        <v>0.4</v>
      </c>
      <c r="I38" s="53">
        <f t="shared" si="1"/>
        <v>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f>116+D39</f>
        <v>137</v>
      </c>
      <c r="C39" s="60">
        <v>4</v>
      </c>
      <c r="D39" s="60">
        <v>21</v>
      </c>
      <c r="E39" s="51">
        <v>0.4</v>
      </c>
      <c r="F39" s="51">
        <v>0.08</v>
      </c>
      <c r="G39" s="51">
        <v>0.12</v>
      </c>
      <c r="H39" s="51">
        <v>0.4</v>
      </c>
      <c r="I39" s="49">
        <f t="shared" si="1"/>
        <v>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45</v>
      </c>
      <c r="B40" s="60">
        <f>137+D40</f>
        <v>158</v>
      </c>
      <c r="C40" s="60">
        <v>5</v>
      </c>
      <c r="D40" s="60">
        <v>21</v>
      </c>
      <c r="E40" s="51">
        <v>0.6</v>
      </c>
      <c r="F40" s="51">
        <v>0.04</v>
      </c>
      <c r="G40" s="51">
        <v>0.06</v>
      </c>
      <c r="H40" s="51">
        <v>0.3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50</v>
      </c>
      <c r="B41" s="60">
        <f>157+D41</f>
        <v>178</v>
      </c>
      <c r="C41" s="60">
        <v>6</v>
      </c>
      <c r="D41" s="60">
        <v>21</v>
      </c>
      <c r="E41" s="51">
        <v>0.6</v>
      </c>
      <c r="F41" s="51">
        <v>0.04</v>
      </c>
      <c r="G41" s="51">
        <v>0.06</v>
      </c>
      <c r="H41" s="51">
        <v>0.3</v>
      </c>
      <c r="I41" s="53">
        <f t="shared" si="1"/>
        <v>8.1999999999999993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55</v>
      </c>
      <c r="B42" s="60">
        <f>176+D42</f>
        <v>197</v>
      </c>
      <c r="C42" s="60">
        <v>7</v>
      </c>
      <c r="D42" s="60">
        <v>21</v>
      </c>
      <c r="E42" s="51">
        <v>0.8</v>
      </c>
      <c r="F42" s="51">
        <v>0.04</v>
      </c>
      <c r="G42" s="51">
        <v>0.06</v>
      </c>
      <c r="H42" s="51">
        <v>0.1</v>
      </c>
      <c r="I42" s="53">
        <f t="shared" si="1"/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60</v>
      </c>
      <c r="B43" s="60">
        <f>193+D43</f>
        <v>214</v>
      </c>
      <c r="C43" s="60">
        <v>8</v>
      </c>
      <c r="D43" s="60">
        <v>21</v>
      </c>
      <c r="E43" s="51">
        <v>0.8</v>
      </c>
      <c r="F43" s="51">
        <v>0.04</v>
      </c>
      <c r="G43" s="51">
        <v>0.06</v>
      </c>
      <c r="H43" s="51">
        <v>0.1</v>
      </c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65</v>
      </c>
      <c r="B44" s="60">
        <f>208+D44</f>
        <v>229</v>
      </c>
      <c r="C44" s="60">
        <v>9</v>
      </c>
      <c r="D44" s="60">
        <v>21</v>
      </c>
      <c r="E44" s="51">
        <v>0.8</v>
      </c>
      <c r="F44" s="51">
        <v>0.04</v>
      </c>
      <c r="G44" s="51">
        <v>0.06</v>
      </c>
      <c r="H44" s="51">
        <v>0.1</v>
      </c>
      <c r="I44" s="49">
        <f t="shared" si="1"/>
        <v>7.2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70</v>
      </c>
      <c r="B45" s="60">
        <f>221+D45</f>
        <v>242</v>
      </c>
      <c r="C45" s="60">
        <v>10</v>
      </c>
      <c r="D45" s="60">
        <v>21</v>
      </c>
      <c r="E45" s="51">
        <v>0.8</v>
      </c>
      <c r="F45" s="51">
        <v>0.04</v>
      </c>
      <c r="G45" s="51">
        <v>0.06</v>
      </c>
      <c r="H45" s="51">
        <v>0.1</v>
      </c>
      <c r="I45" s="49">
        <f t="shared" si="1"/>
        <v>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75</v>
      </c>
      <c r="B46" s="60">
        <f>231+D46</f>
        <v>252</v>
      </c>
      <c r="C46" s="60">
        <v>11</v>
      </c>
      <c r="D46" s="60">
        <v>21</v>
      </c>
      <c r="E46" s="51">
        <v>0.8</v>
      </c>
      <c r="F46" s="51">
        <v>0.04</v>
      </c>
      <c r="G46" s="51">
        <v>0.06</v>
      </c>
      <c r="H46" s="51">
        <v>0.1</v>
      </c>
      <c r="I46" s="49">
        <f t="shared" si="1"/>
        <v>6.2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80</v>
      </c>
      <c r="B47" s="60">
        <f>240+D47</f>
        <v>261</v>
      </c>
      <c r="C47" s="60">
        <v>12</v>
      </c>
      <c r="D47" s="60">
        <v>21</v>
      </c>
      <c r="E47" s="51">
        <v>0.8</v>
      </c>
      <c r="F47" s="51">
        <v>0.04</v>
      </c>
      <c r="G47" s="51">
        <v>0.06</v>
      </c>
      <c r="H47" s="51">
        <v>0.1</v>
      </c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85</v>
      </c>
      <c r="B48" s="60">
        <f>248+D48</f>
        <v>269</v>
      </c>
      <c r="C48" s="60">
        <v>13</v>
      </c>
      <c r="D48" s="60">
        <v>21</v>
      </c>
      <c r="E48" s="51">
        <v>0.8</v>
      </c>
      <c r="F48" s="51">
        <v>0.04</v>
      </c>
      <c r="G48" s="51">
        <v>0.06</v>
      </c>
      <c r="H48" s="51">
        <v>0.1</v>
      </c>
      <c r="I48" s="49">
        <f t="shared" si="1"/>
        <v>5.8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90</v>
      </c>
      <c r="B49" s="60">
        <f>254+D49</f>
        <v>275</v>
      </c>
      <c r="C49" s="60">
        <v>14</v>
      </c>
      <c r="D49" s="60">
        <v>21</v>
      </c>
      <c r="E49" s="51">
        <v>0.8</v>
      </c>
      <c r="F49" s="51">
        <v>0.04</v>
      </c>
      <c r="G49" s="51">
        <v>0.06</v>
      </c>
      <c r="H49" s="51">
        <v>0.1</v>
      </c>
      <c r="I49" s="49">
        <f t="shared" si="1"/>
        <v>5.4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95</v>
      </c>
      <c r="B50" s="50">
        <f>258+D50</f>
        <v>279</v>
      </c>
      <c r="C50" s="50">
        <v>15</v>
      </c>
      <c r="D50" s="50">
        <v>21</v>
      </c>
      <c r="E50" s="51">
        <v>0.8</v>
      </c>
      <c r="F50" s="51">
        <v>0.04</v>
      </c>
      <c r="G50" s="51">
        <v>0.06</v>
      </c>
      <c r="H50" s="51">
        <v>0.1</v>
      </c>
      <c r="I50" s="49">
        <f t="shared" si="1"/>
        <v>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100</v>
      </c>
      <c r="B51" s="50">
        <f>261+D51</f>
        <v>282</v>
      </c>
      <c r="C51" s="50">
        <v>16</v>
      </c>
      <c r="D51" s="50">
        <v>21</v>
      </c>
      <c r="E51" s="51">
        <v>0.8</v>
      </c>
      <c r="F51" s="51">
        <v>0.04</v>
      </c>
      <c r="G51" s="51">
        <v>0.06</v>
      </c>
      <c r="H51" s="51">
        <v>0.1</v>
      </c>
      <c r="I51" s="49">
        <f t="shared" si="1"/>
        <v>4.8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105</v>
      </c>
      <c r="B52" s="50">
        <f>264+D52</f>
        <v>284</v>
      </c>
      <c r="C52" s="50">
        <v>17</v>
      </c>
      <c r="D52" s="50">
        <v>20</v>
      </c>
      <c r="E52" s="51">
        <v>0.8</v>
      </c>
      <c r="F52" s="51">
        <v>0.04</v>
      </c>
      <c r="G52" s="51">
        <v>0.06</v>
      </c>
      <c r="H52" s="51">
        <v>0.1</v>
      </c>
      <c r="I52" s="49">
        <f t="shared" si="1"/>
        <v>4.5999999999999996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110</v>
      </c>
      <c r="B53" s="50">
        <f>266+D53</f>
        <v>285</v>
      </c>
      <c r="C53" s="50">
        <v>18</v>
      </c>
      <c r="D53" s="50">
        <v>19</v>
      </c>
      <c r="E53" s="51">
        <v>0.8</v>
      </c>
      <c r="F53" s="51">
        <v>0.04</v>
      </c>
      <c r="G53" s="51">
        <v>0.06</v>
      </c>
      <c r="H53" s="51">
        <v>0.1</v>
      </c>
      <c r="I53" s="49">
        <f t="shared" si="1"/>
        <v>4.2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115</v>
      </c>
      <c r="B54" s="50">
        <f>267+D54</f>
        <v>285</v>
      </c>
      <c r="C54" s="50">
        <v>19</v>
      </c>
      <c r="D54" s="50">
        <v>18</v>
      </c>
      <c r="E54" s="51">
        <v>0.8</v>
      </c>
      <c r="F54" s="51">
        <v>0.04</v>
      </c>
      <c r="G54" s="51">
        <v>0.06</v>
      </c>
      <c r="H54" s="51">
        <v>0.1</v>
      </c>
      <c r="I54" s="49">
        <f t="shared" si="1"/>
        <v>3.8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120</v>
      </c>
      <c r="B55" s="50">
        <f>268+D55</f>
        <v>285</v>
      </c>
      <c r="C55" s="50">
        <v>20</v>
      </c>
      <c r="D55" s="50">
        <v>17</v>
      </c>
      <c r="E55" s="51">
        <v>0.8</v>
      </c>
      <c r="F55" s="51">
        <v>0.04</v>
      </c>
      <c r="G55" s="51">
        <v>0.06</v>
      </c>
      <c r="H55" s="51">
        <v>0.1</v>
      </c>
      <c r="I55" s="49">
        <f t="shared" si="1"/>
        <v>3.6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Tilleul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49</v>
      </c>
      <c r="C62" s="60">
        <v>1</v>
      </c>
      <c r="D62" s="60">
        <v>11</v>
      </c>
      <c r="E62" s="51"/>
      <c r="F62" s="51"/>
      <c r="G62" s="51"/>
      <c r="H62" s="51">
        <v>1</v>
      </c>
      <c r="I62" s="53">
        <f>IFERROR(B62/A62,"")</f>
        <v>3.2666666666666666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87</v>
      </c>
      <c r="C63" s="60">
        <v>2</v>
      </c>
      <c r="D63" s="60">
        <v>16</v>
      </c>
      <c r="E63" s="51"/>
      <c r="F63" s="51"/>
      <c r="G63" s="51"/>
      <c r="H63" s="51">
        <v>1</v>
      </c>
      <c r="I63" s="49">
        <f>IF(A63&lt;&gt;0,(B63-(B62-D62))/(A63-A62),"")</f>
        <v>9.8000000000000007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25</v>
      </c>
      <c r="B64" s="60">
        <v>125</v>
      </c>
      <c r="C64" s="60">
        <v>3</v>
      </c>
      <c r="D64" s="60">
        <v>20</v>
      </c>
      <c r="E64" s="51">
        <v>0.4</v>
      </c>
      <c r="F64" s="51">
        <v>0.08</v>
      </c>
      <c r="G64" s="51">
        <v>0.12</v>
      </c>
      <c r="H64" s="51">
        <v>0.4</v>
      </c>
      <c r="I64" s="49">
        <f>IF(A64&lt;&gt;0,(B64-(B63-D63))/(A64-A63),"")</f>
        <v>10.8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159</v>
      </c>
      <c r="C65" s="60">
        <v>4</v>
      </c>
      <c r="D65" s="60">
        <v>21</v>
      </c>
      <c r="E65" s="51">
        <v>0.4</v>
      </c>
      <c r="F65" s="51">
        <v>0.08</v>
      </c>
      <c r="G65" s="51">
        <v>0.12</v>
      </c>
      <c r="H65" s="51">
        <v>0.4</v>
      </c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35</v>
      </c>
      <c r="B66" s="60">
        <v>189</v>
      </c>
      <c r="C66" s="60">
        <v>5</v>
      </c>
      <c r="D66" s="60">
        <v>22</v>
      </c>
      <c r="E66" s="51">
        <v>0.4</v>
      </c>
      <c r="F66" s="51">
        <v>0.08</v>
      </c>
      <c r="G66" s="51">
        <v>0.12</v>
      </c>
      <c r="H66" s="51">
        <v>0.4</v>
      </c>
      <c r="I66" s="49">
        <f t="shared" ref="I66:I81" si="2">IF(A66&lt;&gt;0,(B66-(B65-D65))/(A66-A65),"")</f>
        <v>10.199999999999999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216</v>
      </c>
      <c r="C67" s="60">
        <v>6</v>
      </c>
      <c r="D67" s="60">
        <v>22</v>
      </c>
      <c r="E67" s="51">
        <v>0.6</v>
      </c>
      <c r="F67" s="51">
        <v>0.04</v>
      </c>
      <c r="G67" s="51">
        <v>0.06</v>
      </c>
      <c r="H67" s="51">
        <v>0.3</v>
      </c>
      <c r="I67" s="49">
        <f t="shared" si="2"/>
        <v>9.8000000000000007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45</v>
      </c>
      <c r="B68" s="60">
        <v>239</v>
      </c>
      <c r="C68" s="60">
        <v>7</v>
      </c>
      <c r="D68" s="60">
        <v>22</v>
      </c>
      <c r="E68" s="51">
        <v>0.6</v>
      </c>
      <c r="F68" s="51">
        <v>0.04</v>
      </c>
      <c r="G68" s="51">
        <v>0.06</v>
      </c>
      <c r="H68" s="51">
        <v>0.3</v>
      </c>
      <c r="I68" s="49">
        <f t="shared" si="2"/>
        <v>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50</v>
      </c>
      <c r="B69" s="50">
        <v>260</v>
      </c>
      <c r="C69" s="50">
        <v>8</v>
      </c>
      <c r="D69" s="50">
        <v>22</v>
      </c>
      <c r="E69" s="51">
        <v>0.6</v>
      </c>
      <c r="F69" s="51">
        <v>0.04</v>
      </c>
      <c r="G69" s="51">
        <v>0.06</v>
      </c>
      <c r="H69" s="51">
        <v>0.3</v>
      </c>
      <c r="I69" s="49">
        <f t="shared" si="2"/>
        <v>8.6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55</v>
      </c>
      <c r="B70" s="50">
        <v>278</v>
      </c>
      <c r="C70" s="50">
        <v>9</v>
      </c>
      <c r="D70" s="50">
        <v>21</v>
      </c>
      <c r="E70" s="51">
        <v>0.8</v>
      </c>
      <c r="F70" s="51">
        <v>0.04</v>
      </c>
      <c r="G70" s="51">
        <v>0.06</v>
      </c>
      <c r="H70" s="51">
        <v>0.1</v>
      </c>
      <c r="I70" s="49">
        <f t="shared" si="2"/>
        <v>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60</v>
      </c>
      <c r="B71" s="50">
        <v>295</v>
      </c>
      <c r="C71" s="50">
        <v>10</v>
      </c>
      <c r="D71" s="50">
        <v>20</v>
      </c>
      <c r="E71" s="51">
        <v>0.8</v>
      </c>
      <c r="F71" s="51">
        <v>0.04</v>
      </c>
      <c r="G71" s="51">
        <v>0.06</v>
      </c>
      <c r="H71" s="51">
        <v>0.1</v>
      </c>
      <c r="I71" s="49">
        <f t="shared" si="2"/>
        <v>7.6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65</v>
      </c>
      <c r="B72" s="50">
        <v>310</v>
      </c>
      <c r="C72" s="50">
        <v>11</v>
      </c>
      <c r="D72" s="50">
        <v>20</v>
      </c>
      <c r="E72" s="51">
        <v>0.8</v>
      </c>
      <c r="F72" s="51">
        <v>0.04</v>
      </c>
      <c r="G72" s="51">
        <v>0.06</v>
      </c>
      <c r="H72" s="51">
        <v>0.1</v>
      </c>
      <c r="I72" s="49">
        <f t="shared" si="2"/>
        <v>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70</v>
      </c>
      <c r="B73" s="50">
        <v>324</v>
      </c>
      <c r="C73" s="50">
        <v>12</v>
      </c>
      <c r="D73" s="50">
        <v>19</v>
      </c>
      <c r="E73" s="51">
        <v>0.8</v>
      </c>
      <c r="F73" s="51">
        <v>0.04</v>
      </c>
      <c r="G73" s="51">
        <v>0.06</v>
      </c>
      <c r="H73" s="51">
        <v>0.1</v>
      </c>
      <c r="I73" s="49">
        <f t="shared" si="2"/>
        <v>6.8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28</v>
      </c>
      <c r="B88" s="60">
        <v>286</v>
      </c>
      <c r="C88" s="60">
        <v>1</v>
      </c>
      <c r="D88" s="60">
        <v>63</v>
      </c>
      <c r="E88" s="51"/>
      <c r="F88" s="51">
        <v>0.4</v>
      </c>
      <c r="G88" s="51">
        <v>0.6</v>
      </c>
      <c r="H88" s="87"/>
      <c r="I88" s="53">
        <f>IFERROR(B88/A88,"")</f>
        <v>10.214285714285714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35</v>
      </c>
      <c r="B89" s="60">
        <v>362</v>
      </c>
      <c r="C89" s="60">
        <v>2</v>
      </c>
      <c r="D89" s="60">
        <v>72</v>
      </c>
      <c r="E89" s="51"/>
      <c r="F89" s="51">
        <v>0.4</v>
      </c>
      <c r="G89" s="51">
        <v>0.6</v>
      </c>
      <c r="H89" s="87"/>
      <c r="I89" s="53">
        <f t="shared" ref="I89:I107" si="3">IF(A89&lt;&gt;0,(B89-(B88-D88))/(A89-A88),"")</f>
        <v>19.857142857142858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42</v>
      </c>
      <c r="B90" s="60">
        <v>428</v>
      </c>
      <c r="C90" s="60">
        <v>3</v>
      </c>
      <c r="D90" s="60">
        <v>79</v>
      </c>
      <c r="E90" s="87">
        <v>0.5</v>
      </c>
      <c r="F90" s="87">
        <v>0.2</v>
      </c>
      <c r="G90" s="87">
        <v>0.3</v>
      </c>
      <c r="H90" s="87"/>
      <c r="I90" s="53">
        <f t="shared" si="3"/>
        <v>19.714285714285715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49</v>
      </c>
      <c r="B91" s="60">
        <v>480</v>
      </c>
      <c r="C91" s="60">
        <v>4</v>
      </c>
      <c r="D91" s="60">
        <v>85</v>
      </c>
      <c r="E91" s="87">
        <v>0.5</v>
      </c>
      <c r="F91" s="87">
        <v>0.2</v>
      </c>
      <c r="G91" s="87">
        <v>0.3</v>
      </c>
      <c r="H91" s="87"/>
      <c r="I91" s="53">
        <f t="shared" si="3"/>
        <v>18.714285714285715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56</v>
      </c>
      <c r="B92" s="60">
        <v>516</v>
      </c>
      <c r="C92" s="60">
        <v>5</v>
      </c>
      <c r="D92" s="60">
        <v>84</v>
      </c>
      <c r="E92" s="87">
        <v>0.5</v>
      </c>
      <c r="F92" s="87">
        <v>0.2</v>
      </c>
      <c r="G92" s="87">
        <v>0.3</v>
      </c>
      <c r="H92" s="87"/>
      <c r="I92" s="53">
        <f t="shared" si="3"/>
        <v>17.285714285714285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63</v>
      </c>
      <c r="B93" s="60">
        <v>541</v>
      </c>
      <c r="C93" s="60">
        <v>6</v>
      </c>
      <c r="D93" s="60">
        <v>87</v>
      </c>
      <c r="E93" s="87">
        <v>0.5</v>
      </c>
      <c r="F93" s="87">
        <v>0.2</v>
      </c>
      <c r="G93" s="87">
        <v>0.3</v>
      </c>
      <c r="H93" s="87"/>
      <c r="I93" s="53">
        <f t="shared" si="3"/>
        <v>15.571428571428571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57</v>
      </c>
      <c r="C114" s="50">
        <v>1</v>
      </c>
      <c r="D114" s="60">
        <v>11</v>
      </c>
      <c r="E114" s="51"/>
      <c r="F114" s="51"/>
      <c r="G114" s="51"/>
      <c r="H114" s="51">
        <v>1</v>
      </c>
      <c r="I114" s="53">
        <f>IFERROR(B114/A114,"")</f>
        <v>3.8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95</v>
      </c>
      <c r="C115" s="50">
        <v>2</v>
      </c>
      <c r="D115" s="60">
        <v>15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9.8000000000000007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131</v>
      </c>
      <c r="C116" s="50">
        <v>3</v>
      </c>
      <c r="D116" s="60">
        <v>19</v>
      </c>
      <c r="E116" s="51">
        <v>0.4</v>
      </c>
      <c r="F116" s="51">
        <v>0.08</v>
      </c>
      <c r="G116" s="51">
        <v>0.12</v>
      </c>
      <c r="H116" s="51">
        <v>0.4</v>
      </c>
      <c r="I116" s="53">
        <f t="shared" si="4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163</v>
      </c>
      <c r="C117" s="50">
        <v>4</v>
      </c>
      <c r="D117" s="60">
        <v>21</v>
      </c>
      <c r="E117" s="51">
        <v>0.4</v>
      </c>
      <c r="F117" s="51">
        <v>0.08</v>
      </c>
      <c r="G117" s="51">
        <v>0.12</v>
      </c>
      <c r="H117" s="51">
        <v>0.4</v>
      </c>
      <c r="I117" s="53">
        <f t="shared" si="4"/>
        <v>10.199999999999999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192</v>
      </c>
      <c r="C118" s="50">
        <v>5</v>
      </c>
      <c r="D118" s="60">
        <v>22</v>
      </c>
      <c r="E118" s="51">
        <v>0.4</v>
      </c>
      <c r="F118" s="51">
        <v>0.08</v>
      </c>
      <c r="G118" s="51">
        <v>0.12</v>
      </c>
      <c r="H118" s="51">
        <v>0.4</v>
      </c>
      <c r="I118" s="53">
        <f t="shared" si="4"/>
        <v>10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216</v>
      </c>
      <c r="C119" s="50">
        <v>6</v>
      </c>
      <c r="D119" s="60">
        <v>23</v>
      </c>
      <c r="E119" s="51">
        <v>0.6</v>
      </c>
      <c r="F119" s="51">
        <v>0.04</v>
      </c>
      <c r="G119" s="51">
        <v>0.06</v>
      </c>
      <c r="H119" s="51">
        <v>0.3</v>
      </c>
      <c r="I119" s="53">
        <f t="shared" si="4"/>
        <v>9.1999999999999993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v>238</v>
      </c>
      <c r="C120" s="60">
        <v>7</v>
      </c>
      <c r="D120" s="60">
        <v>24</v>
      </c>
      <c r="E120" s="87">
        <v>0.6</v>
      </c>
      <c r="F120" s="87">
        <v>0.04</v>
      </c>
      <c r="G120" s="87">
        <v>0.06</v>
      </c>
      <c r="H120" s="87">
        <v>0.3</v>
      </c>
      <c r="I120" s="53">
        <f t="shared" si="4"/>
        <v>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v>257</v>
      </c>
      <c r="C121" s="60">
        <v>8</v>
      </c>
      <c r="D121" s="60">
        <v>24</v>
      </c>
      <c r="E121" s="87">
        <v>0.6</v>
      </c>
      <c r="F121" s="87">
        <v>0.04</v>
      </c>
      <c r="G121" s="87">
        <v>0.06</v>
      </c>
      <c r="H121" s="87">
        <v>0.3</v>
      </c>
      <c r="I121" s="53">
        <f t="shared" si="4"/>
        <v>8.6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v>274</v>
      </c>
      <c r="C122" s="60">
        <v>9</v>
      </c>
      <c r="D122" s="60">
        <v>23</v>
      </c>
      <c r="E122" s="87">
        <v>0.8</v>
      </c>
      <c r="F122" s="87">
        <v>0.04</v>
      </c>
      <c r="G122" s="87">
        <v>0.06</v>
      </c>
      <c r="H122" s="87">
        <v>0.1</v>
      </c>
      <c r="I122" s="53">
        <f t="shared" si="4"/>
        <v>8.1999999999999993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v>289</v>
      </c>
      <c r="C123" s="60">
        <v>10</v>
      </c>
      <c r="D123" s="60">
        <v>23</v>
      </c>
      <c r="E123" s="87">
        <v>0.8</v>
      </c>
      <c r="F123" s="87">
        <v>0.04</v>
      </c>
      <c r="G123" s="87">
        <v>0.06</v>
      </c>
      <c r="H123" s="87">
        <v>0.1</v>
      </c>
      <c r="I123" s="53">
        <f t="shared" si="4"/>
        <v>7.6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v>302</v>
      </c>
      <c r="C124" s="60">
        <v>11</v>
      </c>
      <c r="D124" s="60">
        <v>23</v>
      </c>
      <c r="E124" s="87">
        <v>0.8</v>
      </c>
      <c r="F124" s="87">
        <v>0.04</v>
      </c>
      <c r="G124" s="87">
        <v>0.06</v>
      </c>
      <c r="H124" s="87">
        <v>0.1</v>
      </c>
      <c r="I124" s="53">
        <f t="shared" si="4"/>
        <v>7.2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v>313</v>
      </c>
      <c r="C125" s="60">
        <v>12</v>
      </c>
      <c r="D125" s="60">
        <v>22</v>
      </c>
      <c r="E125" s="87">
        <v>0.8</v>
      </c>
      <c r="F125" s="87">
        <v>0.04</v>
      </c>
      <c r="G125" s="87">
        <v>0.06</v>
      </c>
      <c r="H125" s="87">
        <v>0.1</v>
      </c>
      <c r="I125" s="53">
        <f t="shared" si="4"/>
        <v>6.8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Séquoia toujours vert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f>122+D140</f>
        <v>196</v>
      </c>
      <c r="C140" s="50">
        <v>1</v>
      </c>
      <c r="D140" s="60">
        <v>74</v>
      </c>
      <c r="E140" s="51"/>
      <c r="F140" s="51">
        <v>0.6</v>
      </c>
      <c r="G140" s="51">
        <v>0.4</v>
      </c>
      <c r="H140" s="51"/>
      <c r="I140" s="57">
        <f>IFERROR(B140/A140,"")</f>
        <v>9.8000000000000007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25</v>
      </c>
      <c r="B141" s="60">
        <f>208+D141</f>
        <v>292</v>
      </c>
      <c r="C141" s="50">
        <v>2</v>
      </c>
      <c r="D141" s="60">
        <v>84</v>
      </c>
      <c r="E141" s="51">
        <v>0.3</v>
      </c>
      <c r="F141" s="51">
        <v>0.42</v>
      </c>
      <c r="G141" s="51">
        <v>0.28000000000000003</v>
      </c>
      <c r="H141" s="51"/>
      <c r="I141" s="57">
        <f t="shared" ref="I141:I159" si="5">IF(A141&lt;&gt;0,(B141-(B140-D140))/(A141-A140),"")</f>
        <v>34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f>311+D142</f>
        <v>395</v>
      </c>
      <c r="C142" s="50">
        <v>3</v>
      </c>
      <c r="D142" s="60">
        <v>84</v>
      </c>
      <c r="E142" s="51">
        <v>0.5</v>
      </c>
      <c r="F142" s="51">
        <v>0.3</v>
      </c>
      <c r="G142" s="51">
        <v>0.2</v>
      </c>
      <c r="H142" s="51"/>
      <c r="I142" s="57">
        <f t="shared" si="5"/>
        <v>37.4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35</v>
      </c>
      <c r="B143" s="60">
        <f>412+D143</f>
        <v>496</v>
      </c>
      <c r="C143" s="50">
        <v>4</v>
      </c>
      <c r="D143" s="60">
        <v>84</v>
      </c>
      <c r="E143" s="51">
        <v>0.5</v>
      </c>
      <c r="F143" s="51">
        <v>0.3</v>
      </c>
      <c r="G143" s="51">
        <v>0.2</v>
      </c>
      <c r="H143" s="51"/>
      <c r="I143" s="57">
        <f t="shared" si="5"/>
        <v>37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40</v>
      </c>
      <c r="B144" s="60">
        <f>498+D144</f>
        <v>582</v>
      </c>
      <c r="C144" s="50">
        <v>5</v>
      </c>
      <c r="D144" s="60">
        <v>84</v>
      </c>
      <c r="E144" s="51">
        <v>0.5</v>
      </c>
      <c r="F144" s="51">
        <v>0.3</v>
      </c>
      <c r="G144" s="51">
        <v>0.2</v>
      </c>
      <c r="H144" s="51"/>
      <c r="I144" s="57">
        <f t="shared" si="5"/>
        <v>34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45</v>
      </c>
      <c r="B145" s="60">
        <f>582+D145</f>
        <v>651</v>
      </c>
      <c r="C145" s="50">
        <v>6</v>
      </c>
      <c r="D145" s="60">
        <v>69</v>
      </c>
      <c r="E145" s="51">
        <v>0.5</v>
      </c>
      <c r="F145" s="51">
        <v>0.3</v>
      </c>
      <c r="G145" s="51">
        <v>0.2</v>
      </c>
      <c r="H145" s="51"/>
      <c r="I145" s="57">
        <f t="shared" si="5"/>
        <v>30.6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50</v>
      </c>
      <c r="B146" s="60">
        <f>660+D146</f>
        <v>719</v>
      </c>
      <c r="C146" s="50">
        <v>7</v>
      </c>
      <c r="D146" s="60">
        <v>59</v>
      </c>
      <c r="E146" s="51">
        <v>0.6</v>
      </c>
      <c r="F146" s="51">
        <v>0.25</v>
      </c>
      <c r="G146" s="51">
        <v>0.15</v>
      </c>
      <c r="H146" s="51"/>
      <c r="I146" s="57">
        <f t="shared" si="5"/>
        <v>27.4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55</v>
      </c>
      <c r="B147" s="60">
        <f>730+D147</f>
        <v>781</v>
      </c>
      <c r="C147" s="50">
        <v>8</v>
      </c>
      <c r="D147" s="60">
        <v>51</v>
      </c>
      <c r="E147" s="51">
        <v>0.6</v>
      </c>
      <c r="F147" s="51">
        <v>0.25</v>
      </c>
      <c r="G147" s="51">
        <v>0.15</v>
      </c>
      <c r="H147" s="51"/>
      <c r="I147" s="57">
        <f>IF(A147&lt;&gt;0,(B147-(B146-D146))/(A147-A146),"")</f>
        <v>24.2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60</v>
      </c>
      <c r="B148" s="60">
        <f>790+D148</f>
        <v>835</v>
      </c>
      <c r="C148" s="50">
        <v>9</v>
      </c>
      <c r="D148" s="60">
        <v>45</v>
      </c>
      <c r="E148" s="51">
        <v>0.6</v>
      </c>
      <c r="F148" s="51">
        <v>0.25</v>
      </c>
      <c r="G148" s="51">
        <v>0.15</v>
      </c>
      <c r="H148" s="51"/>
      <c r="I148" s="57">
        <f t="shared" si="5"/>
        <v>21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65</v>
      </c>
      <c r="B149" s="60">
        <f>838+D149</f>
        <v>878</v>
      </c>
      <c r="C149" s="50">
        <v>10</v>
      </c>
      <c r="D149" s="60">
        <v>40</v>
      </c>
      <c r="E149" s="51">
        <v>0.7</v>
      </c>
      <c r="F149" s="51">
        <v>0.25</v>
      </c>
      <c r="G149" s="51">
        <v>0.15</v>
      </c>
      <c r="H149" s="51"/>
      <c r="I149" s="57">
        <f t="shared" si="5"/>
        <v>17.600000000000001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70</v>
      </c>
      <c r="B150" s="60">
        <f>876+D150</f>
        <v>911</v>
      </c>
      <c r="C150" s="50">
        <v>11</v>
      </c>
      <c r="D150" s="60">
        <v>35</v>
      </c>
      <c r="E150" s="51">
        <v>0.7</v>
      </c>
      <c r="F150" s="51">
        <v>0.25</v>
      </c>
      <c r="G150" s="51">
        <v>0.15</v>
      </c>
      <c r="H150" s="51"/>
      <c r="I150" s="57">
        <f t="shared" si="5"/>
        <v>14.6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75</v>
      </c>
      <c r="B151" s="60">
        <f>906+D151</f>
        <v>936</v>
      </c>
      <c r="C151" s="50">
        <v>12</v>
      </c>
      <c r="D151" s="60">
        <v>30</v>
      </c>
      <c r="E151" s="51">
        <v>0.7</v>
      </c>
      <c r="F151" s="51">
        <v>0.25</v>
      </c>
      <c r="G151" s="51">
        <v>0.15</v>
      </c>
      <c r="H151" s="51"/>
      <c r="I151" s="57">
        <f t="shared" si="5"/>
        <v>12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80</v>
      </c>
      <c r="B152" s="60">
        <f>925+D152</f>
        <v>951</v>
      </c>
      <c r="C152" s="50">
        <v>13</v>
      </c>
      <c r="D152" s="60">
        <v>26</v>
      </c>
      <c r="E152" s="54">
        <v>0.7</v>
      </c>
      <c r="F152" s="54">
        <v>0.25</v>
      </c>
      <c r="G152" s="54">
        <v>0.15</v>
      </c>
      <c r="H152" s="54"/>
      <c r="I152" s="57">
        <f t="shared" si="5"/>
        <v>9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F20" sqref="F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Tilleul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Douglas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Charme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Séquoia toujours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371.7282125501186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269.67260882504996</v>
      </c>
      <c r="AO3" s="59">
        <f>IF('Données projet'!E10&gt;30,$AM$33-$H$33,LOOKUP('Données projet'!$E$10,$A$3:$A$203,AM3:AM203)-LOOKUP('Données projet'!$E$10,$A$3:$A$203,$H$3:$H$203))</f>
        <v>272.13858200810074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330.33728077846268</v>
      </c>
      <c r="BJ3" s="59">
        <f>IF('Données projet'!E11&gt;30,$BH$33-$H$33,LOOKUP('Données projet'!$E$11,$A$3:$A$203,BH3:BH203)-LOOKUP('Données projet'!$E$11,$A$3:$A$203,$H$3:$H$203))</f>
        <v>358.38872754175208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367.39143258674738</v>
      </c>
      <c r="CE3" s="59">
        <f>IF('Données projet'!E12&gt;30,$CC$33-$H$33,LOOKUP('Données projet'!$E$12,$A$3:$A$203,CC3:CC203)-LOOKUP('Données projet'!$E$12,$A$3:$A$203,$H$3:$H$203))</f>
        <v>376.02790658970292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500.13646131618248</v>
      </c>
      <c r="CZ3" s="59">
        <f>IF('Données projet'!E13&gt;30,$CX$33-$H$33,LOOKUP('Données projet'!$E$13,$A$3:$A$203,CX3:CX203)-LOOKUP('Données projet'!$E$13,$A$3:$A$203,$H$3:$H$203))</f>
        <v>417.58036817539306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260.61041945338798</v>
      </c>
      <c r="S4" s="59">
        <f ca="1">AVERAGE(OFFSET($R$3,0,0,'Données projet'!$E$9+1,1))-AVERAGE(OFFSET($H$3,0,0,'Données projet'!$E$9+1,1))</f>
        <v>371.7282125501186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3.2666666666666666</v>
      </c>
      <c r="AI4" s="13">
        <f>IF('Données projet'!$A$62&gt;35,AI3+AH4-AQ3,IF(A4&lt;'Données projet'!$A$62,$AF$205^A4,IF(A4='Données projet'!$A$62,'Données projet'!$B$62,AI3+AH4-AQ3)))</f>
        <v>1.296223046030661</v>
      </c>
      <c r="AJ4" s="13">
        <f>AI4*VLOOKUP('Données projet'!$B$10,Paramètres!$A$1:$I$89,3,0)*VLOOKUP('Données projet'!$B$10,Paramètres!$A$1:$I$89,5,0)</f>
        <v>0.86950641927736738</v>
      </c>
      <c r="AK4" s="13">
        <f>EXP(-1.0587+0.8836*LN(AJ4)+0.284)</f>
        <v>0.40728039423492857</v>
      </c>
      <c r="AL4" s="20">
        <f t="shared" ref="AL4:AL67" si="4">(AJ4+AK4)*0.475*44/12</f>
        <v>2.2237370335339155</v>
      </c>
      <c r="AM4" s="59">
        <f t="shared" ref="AM4:AM67" si="5">AL4+(AD4+AE4)*44/12</f>
        <v>260.11262592242275</v>
      </c>
      <c r="AN4" s="59">
        <f ca="1">AVERAGE(OFFSET($AM$3,0,0,'Données projet'!$E$10+1,1))-AVERAGE(OFFSET($H$3,0,0,'Données projet'!$E$10+1,1))</f>
        <v>269.67260882504996</v>
      </c>
      <c r="AO4" s="59">
        <f>$AO$3</f>
        <v>272.13858200810074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10.214285714285714</v>
      </c>
      <c r="BD4" s="12">
        <f>IF('Données projet'!$A$88&gt;35,BD3+BC4-BL3,IF(A4&lt;'Données projet'!$A$88,$BA$205^A4,IF(A4='Données projet'!$A$88,'Données projet'!$B$88,BD3+BC4-BL3)))</f>
        <v>1.2238476501717028</v>
      </c>
      <c r="BE4" s="13">
        <f>BD4*VLOOKUP('Données projet'!$B$11,Paramètres!$A$1:$I$89,3,0)*VLOOKUP('Données projet'!$B$11,Paramètres!$A$1:$I$89,5,0)</f>
        <v>0.68413083644598194</v>
      </c>
      <c r="BF4" s="13">
        <f>EXP(-1.0587+0.8836*LN(BE4)+0.284)</f>
        <v>0.32951943335737233</v>
      </c>
      <c r="BG4" s="20">
        <f t="shared" ref="BG4:BG67" si="7">(BE4+BF4)*0.475*44/12</f>
        <v>1.7654408865741755</v>
      </c>
      <c r="BH4" s="59">
        <f t="shared" ref="BH4:BH67" si="8">BG4+(AY4+AZ4)*44/12</f>
        <v>259.65432977546305</v>
      </c>
      <c r="BI4" s="59">
        <f ca="1">AVERAGE(OFFSET($BH$3,0,0,'Données projet'!$E$11+1,1))-AVERAGE(OFFSET($H$3,0,0,'Données projet'!$E$11+1,1))</f>
        <v>330.33728077846268</v>
      </c>
      <c r="BJ4" s="59">
        <f>$BJ$3</f>
        <v>358.38872754175208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</v>
      </c>
      <c r="BY4" s="12">
        <f>IF('Données projet'!$A$114&gt;35,BY3+BX4-CG3,IF(A4&lt;'Données projet'!$A$114,$BV$205^A4,IF(A4='Données projet'!$A$114,'Données projet'!$B$114,BY3+BX4-CG3)))</f>
        <v>1.3093577517960842</v>
      </c>
      <c r="BZ4" s="13">
        <f>BY4*VLOOKUP('Données projet'!$B$12,Paramètres!$A$1:$I$89,3,0)*VLOOKUP('Données projet'!$B$12,Paramètres!$A$1:$I$89,5,0)</f>
        <v>1.2459848366091537</v>
      </c>
      <c r="CA4" s="13">
        <f>EXP(-1.0587+0.8836*LN(BZ4)+0.284)</f>
        <v>0.55968947110461409</v>
      </c>
      <c r="CB4" s="20">
        <f t="shared" ref="CB4:CB67" si="10">(BZ4+CA4)*0.475*44/12</f>
        <v>3.1448827526014789</v>
      </c>
      <c r="CC4" s="59">
        <f t="shared" ref="CC4:CC67" si="11">CB4+(BT4+BU4)*44/12</f>
        <v>261.03377164149032</v>
      </c>
      <c r="CD4" s="59">
        <f ca="1">AVERAGE(OFFSET($CC$3,0,0,'Données projet'!$E$12+1,1))-AVERAGE(OFFSET($H$3,0,0,'Données projet'!$E$12+1,1))</f>
        <v>367.39143258674738</v>
      </c>
      <c r="CE4" s="59">
        <f>$CE$3</f>
        <v>376.02790658970292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9.8000000000000007</v>
      </c>
      <c r="CT4" s="12">
        <f>IF('Données projet'!$A$140&gt;35,CT3+CS4-DB3,IF(A4&lt;'Données projet'!$A$140,$CQ$205^A4,IF(A4='Données projet'!$A$140,'Données projet'!$B$140,CT3+CS4-DB3)))</f>
        <v>1.3020054543174677</v>
      </c>
      <c r="CU4" s="17">
        <f>CT4*VLOOKUP('Données projet'!$B$13,Paramètres!$A$1:$I$89,3,0)*VLOOKUP('Données projet'!$B$13,Paramètres!$A$1:$I$89,5,0)</f>
        <v>0.57548641080832075</v>
      </c>
      <c r="CV4" s="13">
        <f>EXP(-1.0587+0.8836*LN(CU4)+0.284)</f>
        <v>0.28282582022470076</v>
      </c>
      <c r="CW4" s="20">
        <f t="shared" ref="CW4:CW67" si="13">(CU4+CV4)*0.475*44/12</f>
        <v>1.4948938023825125</v>
      </c>
      <c r="CX4" s="59">
        <f t="shared" ref="CX4:CX67" si="14">CW4+(CO4+CP4)*44/12</f>
        <v>259.38378269127139</v>
      </c>
      <c r="CY4" s="59">
        <f ca="1">AVERAGE(OFFSET($CX$3,0,0,'Données projet'!$E$13+1,1))-AVERAGE(OFFSET($H$3,0,0,'Données projet'!$E$13+1,1))</f>
        <v>500.13646131618248</v>
      </c>
      <c r="CZ4" s="59">
        <f>$CZ$3</f>
        <v>417.58036817539306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262.31694032477441</v>
      </c>
      <c r="S5" s="59">
        <f ca="1">AVERAGE(OFFSET($R$3,0,0,'Données projet'!$E$9+1,1))-AVERAGE(OFFSET($H$3,0,0,'Données projet'!$E$9+1,1))</f>
        <v>371.7282125501186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3.2666666666666666</v>
      </c>
      <c r="AI5" s="13">
        <f>IF('Données projet'!$A$62&gt;35,AI4+AH5-AQ4,IF(A5&lt;'Données projet'!$A$62,$AF$205^A5,IF(A5='Données projet'!$A$62,'Données projet'!$B$62,AI4+AH5-AQ4)))</f>
        <v>1.6801941850610049</v>
      </c>
      <c r="AJ5" s="13">
        <f>AI5*VLOOKUP('Données projet'!$B$10,Paramètres!$A$1:$I$89,3,0)*VLOOKUP('Données projet'!$B$10,Paramètres!$A$1:$I$89,5,0)</f>
        <v>1.1270742593389222</v>
      </c>
      <c r="AK5" s="13">
        <f t="shared" ref="AK5:AK68" si="35">EXP(-1.0587+0.8836*LN(AJ5)+0.284)</f>
        <v>0.51222093139146085</v>
      </c>
      <c r="AL5" s="20">
        <f t="shared" si="4"/>
        <v>2.8551057905220838</v>
      </c>
      <c r="AM5" s="59">
        <f t="shared" si="5"/>
        <v>261.96621690163323</v>
      </c>
      <c r="AN5" s="59">
        <f ca="1">AVERAGE(OFFSET($AM$3,0,0,'Données projet'!$E$10+1,1))-AVERAGE(OFFSET($H$3,0,0,'Données projet'!$E$10+1,1))</f>
        <v>269.67260882504996</v>
      </c>
      <c r="AO5" s="59">
        <f t="shared" ref="AO5:AO68" si="36">$AO$3</f>
        <v>272.13858200810074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10.214285714285714</v>
      </c>
      <c r="BD5" s="12">
        <f>IF('Données projet'!$A$88&gt;35,BD4+BC5-BL4,IF(A5&lt;'Données projet'!$A$88,$BA$205^A5,IF(A5='Données projet'!$A$88,'Données projet'!$B$88,BD4+BC5-BL4)))</f>
        <v>1.4978030708307988</v>
      </c>
      <c r="BE5" s="13">
        <f>BD5*VLOOKUP('Données projet'!$B$11,Paramètres!$A$1:$I$89,3,0)*VLOOKUP('Données projet'!$B$11,Paramètres!$A$1:$I$89,5,0)</f>
        <v>0.83727191659441647</v>
      </c>
      <c r="BF5" s="13">
        <f t="shared" ref="BF5:BF68" si="37">EXP(-1.0587+0.8836*LN(BE5)+0.284)</f>
        <v>0.39390992724104773</v>
      </c>
      <c r="BG5" s="20">
        <f t="shared" si="7"/>
        <v>2.1443083780134335</v>
      </c>
      <c r="BH5" s="59">
        <f t="shared" si="8"/>
        <v>261.25541948912456</v>
      </c>
      <c r="BI5" s="59">
        <f ca="1">AVERAGE(OFFSET($BH$3,0,0,'Données projet'!$E$11+1,1))-AVERAGE(OFFSET($H$3,0,0,'Données projet'!$E$11+1,1))</f>
        <v>330.33728077846268</v>
      </c>
      <c r="BJ5" s="59">
        <f t="shared" ref="BJ5:BJ68" si="38">$BJ$3</f>
        <v>358.38872754175208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</v>
      </c>
      <c r="BY5" s="12">
        <f>IF('Données projet'!$A$114&gt;35,BY4+BX5-CG4,IF(A5&lt;'Données projet'!$A$114,$BV$205^A5,IF(A5='Données projet'!$A$114,'Données projet'!$B$114,BY4+BX5-CG4)))</f>
        <v>1.714417722188496</v>
      </c>
      <c r="BZ5" s="13">
        <f>BY5*VLOOKUP('Données projet'!$B$12,Paramètres!$A$1:$I$89,3,0)*VLOOKUP('Données projet'!$B$12,Paramètres!$A$1:$I$89,5,0)</f>
        <v>1.6314399044345729</v>
      </c>
      <c r="CA5" s="13">
        <f t="shared" ref="CA5:CA68" si="39">EXP(-1.0587+0.8836*LN(BZ5)+0.284)</f>
        <v>0.71019869812318392</v>
      </c>
      <c r="CB5" s="20">
        <f t="shared" si="10"/>
        <v>4.0783538994547595</v>
      </c>
      <c r="CC5" s="59">
        <f t="shared" si="11"/>
        <v>263.18946501056593</v>
      </c>
      <c r="CD5" s="59">
        <f ca="1">AVERAGE(OFFSET($CC$3,0,0,'Données projet'!$E$12+1,1))-AVERAGE(OFFSET($H$3,0,0,'Données projet'!$E$12+1,1))</f>
        <v>367.39143258674738</v>
      </c>
      <c r="CE5" s="59">
        <f t="shared" ref="CE5:CE68" si="40">$CE$3</f>
        <v>376.02790658970292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9.8000000000000007</v>
      </c>
      <c r="CT5" s="12">
        <f>IF('Données projet'!$A$140&gt;35,CT4+CS5-DB4,IF(A5&lt;'Données projet'!$A$140,$CQ$205^A5,IF(A5='Données projet'!$A$140,'Données projet'!$B$140,CT4+CS5-DB4)))</f>
        <v>1.6952182030724354</v>
      </c>
      <c r="CU5" s="17">
        <f>CT5*VLOOKUP('Données projet'!$B$13,Paramètres!$A$1:$I$89,3,0)*VLOOKUP('Données projet'!$B$13,Paramètres!$A$1:$I$89,5,0)</f>
        <v>0.74928644575801662</v>
      </c>
      <c r="CV5" s="13">
        <f t="shared" ref="CV5:CV68" si="41">EXP(-1.0587+0.8836*LN(CU5)+0.284)</f>
        <v>0.35710088666846673</v>
      </c>
      <c r="CW5" s="20">
        <f t="shared" si="13"/>
        <v>1.9269579373094583</v>
      </c>
      <c r="CX5" s="59">
        <f t="shared" si="14"/>
        <v>261.0380690484206</v>
      </c>
      <c r="CY5" s="59">
        <f ca="1">AVERAGE(OFFSET($CX$3,0,0,'Données projet'!$E$13+1,1))-AVERAGE(OFFSET($H$3,0,0,'Données projet'!$E$13+1,1))</f>
        <v>500.13646131618248</v>
      </c>
      <c r="CZ5" s="59">
        <f t="shared" ref="CZ5:CZ68" si="42">$CZ$3</f>
        <v>417.58036817539306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264.10995832109523</v>
      </c>
      <c r="S6" s="59">
        <f ca="1">AVERAGE(OFFSET($R$3,0,0,'Données projet'!$E$9+1,1))-AVERAGE(OFFSET($H$3,0,0,'Données projet'!$E$9+1,1))</f>
        <v>371.7282125501186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3.2666666666666666</v>
      </c>
      <c r="AI6" s="13">
        <f>IF('Données projet'!$A$62&gt;35,AI5+AH6-AQ5,IF(A6&lt;'Données projet'!$A$62,$AF$205^A6,IF(A6='Données projet'!$A$62,'Données projet'!$B$62,AI5+AH6-AQ5)))</f>
        <v>2.1779064244827797</v>
      </c>
      <c r="AJ6" s="13">
        <f>AI6*VLOOKUP('Données projet'!$B$10,Paramètres!$A$1:$I$89,3,0)*VLOOKUP('Données projet'!$B$10,Paramètres!$A$1:$I$89,5,0)</f>
        <v>1.4609396295430486</v>
      </c>
      <c r="AK6" s="13">
        <f t="shared" si="35"/>
        <v>0.64420062018549917</v>
      </c>
      <c r="AL6" s="20">
        <f t="shared" si="4"/>
        <v>3.6664526016105534</v>
      </c>
      <c r="AM6" s="59">
        <f t="shared" si="5"/>
        <v>263.99978593494387</v>
      </c>
      <c r="AN6" s="59">
        <f ca="1">AVERAGE(OFFSET($AM$3,0,0,'Données projet'!$E$10+1,1))-AVERAGE(OFFSET($H$3,0,0,'Données projet'!$E$10+1,1))</f>
        <v>269.67260882504996</v>
      </c>
      <c r="AO6" s="59">
        <f t="shared" si="36"/>
        <v>272.13858200810074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10.214285714285714</v>
      </c>
      <c r="BD6" s="12">
        <f>IF('Données projet'!$A$88&gt;35,BD5+BC6-BL5,IF(A6&lt;'Données projet'!$A$88,$BA$205^A6,IF(A6='Données projet'!$A$88,'Données projet'!$B$88,BD5+BC6-BL5)))</f>
        <v>1.8330827686562337</v>
      </c>
      <c r="BE6" s="13">
        <f>BD6*VLOOKUP('Données projet'!$B$11,Paramètres!$A$1:$I$89,3,0)*VLOOKUP('Données projet'!$B$11,Paramètres!$A$1:$I$89,5,0)</f>
        <v>1.0246932676788345</v>
      </c>
      <c r="BF6" s="13">
        <f t="shared" si="37"/>
        <v>0.47088279194376687</v>
      </c>
      <c r="BG6" s="20">
        <f t="shared" si="7"/>
        <v>2.604794970509364</v>
      </c>
      <c r="BH6" s="59">
        <f t="shared" si="8"/>
        <v>262.93812830384269</v>
      </c>
      <c r="BI6" s="59">
        <f ca="1">AVERAGE(OFFSET($BH$3,0,0,'Données projet'!$E$11+1,1))-AVERAGE(OFFSET($H$3,0,0,'Données projet'!$E$11+1,1))</f>
        <v>330.33728077846268</v>
      </c>
      <c r="BJ6" s="59">
        <f t="shared" si="38"/>
        <v>358.38872754175208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</v>
      </c>
      <c r="BY6" s="12">
        <f>IF('Données projet'!$A$114&gt;35,BY5+BX6-CG5,IF(A6&lt;'Données projet'!$A$114,$BV$205^A6,IF(A6='Données projet'!$A$114,'Données projet'!$B$114,BY5+BX6-CG5)))</f>
        <v>2.2447861343640927</v>
      </c>
      <c r="BZ6" s="13">
        <f>BY6*VLOOKUP('Données projet'!$B$12,Paramètres!$A$1:$I$89,3,0)*VLOOKUP('Données projet'!$B$12,Paramètres!$A$1:$I$89,5,0)</f>
        <v>2.1361384854608705</v>
      </c>
      <c r="CA6" s="13">
        <f t="shared" si="39"/>
        <v>0.90118220344650524</v>
      </c>
      <c r="CB6" s="20">
        <f t="shared" si="10"/>
        <v>5.2900001998470128</v>
      </c>
      <c r="CC6" s="59">
        <f t="shared" si="11"/>
        <v>265.6233335331803</v>
      </c>
      <c r="CD6" s="59">
        <f ca="1">AVERAGE(OFFSET($CC$3,0,0,'Données projet'!$E$12+1,1))-AVERAGE(OFFSET($H$3,0,0,'Données projet'!$E$12+1,1))</f>
        <v>367.39143258674738</v>
      </c>
      <c r="CE6" s="59">
        <f t="shared" si="40"/>
        <v>376.02790658970292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9.8000000000000007</v>
      </c>
      <c r="CT6" s="12">
        <f>IF('Données projet'!$A$140&gt;35,CT5+CS6-DB5,IF(A6&lt;'Données projet'!$A$140,$CQ$205^A6,IF(A6='Données projet'!$A$140,'Données projet'!$B$140,CT5+CS6-DB5)))</f>
        <v>2.2071833466585677</v>
      </c>
      <c r="CU6" s="17">
        <f>CT6*VLOOKUP('Données projet'!$B$13,Paramètres!$A$1:$I$89,3,0)*VLOOKUP('Données projet'!$B$13,Paramètres!$A$1:$I$89,5,0)</f>
        <v>0.97557503922308708</v>
      </c>
      <c r="CV6" s="13">
        <f t="shared" si="41"/>
        <v>0.45088190023842811</v>
      </c>
      <c r="CW6" s="20">
        <f t="shared" si="13"/>
        <v>2.4844125028954722</v>
      </c>
      <c r="CX6" s="59">
        <f t="shared" si="14"/>
        <v>262.81774583622877</v>
      </c>
      <c r="CY6" s="59">
        <f ca="1">AVERAGE(OFFSET($CX$3,0,0,'Données projet'!$E$13+1,1))-AVERAGE(OFFSET($H$3,0,0,'Données projet'!$E$13+1,1))</f>
        <v>500.13646131618248</v>
      </c>
      <c r="CZ6" s="59">
        <f t="shared" si="42"/>
        <v>417.58036817539306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266.00497533148734</v>
      </c>
      <c r="S7" s="59">
        <f ca="1">AVERAGE(OFFSET($R$3,0,0,'Données projet'!$E$9+1,1))-AVERAGE(OFFSET($H$3,0,0,'Données projet'!$E$9+1,1))</f>
        <v>371.7282125501186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3.2666666666666666</v>
      </c>
      <c r="AI7" s="13">
        <f>IF('Données projet'!$A$62&gt;35,AI6+AH7-AQ6,IF(A7&lt;'Données projet'!$A$62,$AF$205^A7,IF(A7='Données projet'!$A$62,'Données projet'!$B$62,AI6+AH7-AQ6)))</f>
        <v>2.8230524995128143</v>
      </c>
      <c r="AJ7" s="13">
        <f>AI7*VLOOKUP('Données projet'!$B$10,Paramètres!$A$1:$I$89,3,0)*VLOOKUP('Données projet'!$B$10,Paramètres!$A$1:$I$89,5,0)</f>
        <v>1.893703616673196</v>
      </c>
      <c r="AK7" s="13">
        <f t="shared" si="35"/>
        <v>0.81018641296059346</v>
      </c>
      <c r="AL7" s="20">
        <f t="shared" si="4"/>
        <v>4.7092751349455169</v>
      </c>
      <c r="AM7" s="59">
        <f t="shared" si="5"/>
        <v>266.26483069050107</v>
      </c>
      <c r="AN7" s="59">
        <f ca="1">AVERAGE(OFFSET($AM$3,0,0,'Données projet'!$E$10+1,1))-AVERAGE(OFFSET($H$3,0,0,'Données projet'!$E$10+1,1))</f>
        <v>269.67260882504996</v>
      </c>
      <c r="AO7" s="59">
        <f t="shared" si="36"/>
        <v>272.13858200810074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10.214285714285714</v>
      </c>
      <c r="BD7" s="12">
        <f>IF('Données projet'!$A$88&gt;35,BD6+BC7-BL6,IF(A7&lt;'Données projet'!$A$88,$BA$205^A7,IF(A7='Données projet'!$A$88,'Données projet'!$B$88,BD6+BC7-BL6)))</f>
        <v>2.2434140389901707</v>
      </c>
      <c r="BE7" s="13">
        <f>BD7*VLOOKUP('Données projet'!$B$11,Paramètres!$A$1:$I$89,3,0)*VLOOKUP('Données projet'!$B$11,Paramètres!$A$1:$I$89,5,0)</f>
        <v>1.2540684477955055</v>
      </c>
      <c r="BF7" s="13">
        <f t="shared" si="37"/>
        <v>0.56289671423556653</v>
      </c>
      <c r="BG7" s="20">
        <f t="shared" si="7"/>
        <v>3.1645476572041171</v>
      </c>
      <c r="BH7" s="59">
        <f t="shared" si="8"/>
        <v>264.72010321275968</v>
      </c>
      <c r="BI7" s="59">
        <f ca="1">AVERAGE(OFFSET($BH$3,0,0,'Données projet'!$E$11+1,1))-AVERAGE(OFFSET($H$3,0,0,'Données projet'!$E$11+1,1))</f>
        <v>330.33728077846268</v>
      </c>
      <c r="BJ7" s="59">
        <f t="shared" si="38"/>
        <v>358.38872754175208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</v>
      </c>
      <c r="BY7" s="12">
        <f>IF('Données projet'!$A$114&gt;35,BY6+BX7-CG6,IF(A7&lt;'Données projet'!$A$114,$BV$205^A7,IF(A7='Données projet'!$A$114,'Données projet'!$B$114,BY6+BX7-CG6)))</f>
        <v>2.9392281261539908</v>
      </c>
      <c r="BZ7" s="13">
        <f>BY7*VLOOKUP('Données projet'!$B$12,Paramètres!$A$1:$I$89,3,0)*VLOOKUP('Données projet'!$B$12,Paramètres!$A$1:$I$89,5,0)</f>
        <v>2.7969694848481375</v>
      </c>
      <c r="CA7" s="13">
        <f t="shared" si="39"/>
        <v>1.1435241516985077</v>
      </c>
      <c r="CB7" s="20">
        <f t="shared" si="10"/>
        <v>6.8630264169854067</v>
      </c>
      <c r="CC7" s="59">
        <f t="shared" si="11"/>
        <v>268.41858197254095</v>
      </c>
      <c r="CD7" s="59">
        <f ca="1">AVERAGE(OFFSET($CC$3,0,0,'Données projet'!$E$12+1,1))-AVERAGE(OFFSET($H$3,0,0,'Données projet'!$E$12+1,1))</f>
        <v>367.39143258674738</v>
      </c>
      <c r="CE7" s="59">
        <f t="shared" si="40"/>
        <v>376.02790658970292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9.8000000000000007</v>
      </c>
      <c r="CT7" s="12">
        <f>IF('Données projet'!$A$140&gt;35,CT6+CS7-DB6,IF(A7&lt;'Données projet'!$A$140,$CQ$205^A7,IF(A7='Données projet'!$A$140,'Données projet'!$B$140,CT6+CS7-DB6)))</f>
        <v>2.873764756028137</v>
      </c>
      <c r="CU7" s="17">
        <f>CT7*VLOOKUP('Données projet'!$B$13,Paramètres!$A$1:$I$89,3,0)*VLOOKUP('Données projet'!$B$13,Paramètres!$A$1:$I$89,5,0)</f>
        <v>1.2702040221644366</v>
      </c>
      <c r="CV7" s="13">
        <f t="shared" si="41"/>
        <v>0.56929146790765284</v>
      </c>
      <c r="CW7" s="20">
        <f t="shared" si="13"/>
        <v>3.2037879785422221</v>
      </c>
      <c r="CX7" s="59">
        <f t="shared" si="14"/>
        <v>264.75934353409775</v>
      </c>
      <c r="CY7" s="59">
        <f ca="1">AVERAGE(OFFSET($CX$3,0,0,'Données projet'!$E$13+1,1))-AVERAGE(OFFSET($H$3,0,0,'Données projet'!$E$13+1,1))</f>
        <v>500.13646131618248</v>
      </c>
      <c r="CZ7" s="59">
        <f t="shared" si="42"/>
        <v>417.58036817539306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268.02028041979435</v>
      </c>
      <c r="S8" s="59">
        <f ca="1">AVERAGE(OFFSET($R$3,0,0,'Données projet'!$E$9+1,1))-AVERAGE(OFFSET($H$3,0,0,'Données projet'!$E$9+1,1))</f>
        <v>371.7282125501186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3.2666666666666666</v>
      </c>
      <c r="AI8" s="13">
        <f>IF('Données projet'!$A$62&gt;35,AI7+AH8-AQ7,IF(A8&lt;'Données projet'!$A$62,$AF$205^A8,IF(A8='Données projet'!$A$62,'Données projet'!$B$62,AI7+AH8-AQ7)))</f>
        <v>3.6593057100229713</v>
      </c>
      <c r="AJ8" s="13">
        <f>AI8*VLOOKUP('Données projet'!$B$10,Paramètres!$A$1:$I$89,3,0)*VLOOKUP('Données projet'!$B$10,Paramètres!$A$1:$I$89,5,0)</f>
        <v>2.4546622702834093</v>
      </c>
      <c r="AK8" s="13">
        <f t="shared" si="35"/>
        <v>1.0189403784754827</v>
      </c>
      <c r="AL8" s="20">
        <f t="shared" si="4"/>
        <v>6.0498579465884035</v>
      </c>
      <c r="AM8" s="59">
        <f t="shared" si="5"/>
        <v>268.82763572436619</v>
      </c>
      <c r="AN8" s="59">
        <f ca="1">AVERAGE(OFFSET($AM$3,0,0,'Données projet'!$E$10+1,1))-AVERAGE(OFFSET($H$3,0,0,'Données projet'!$E$10+1,1))</f>
        <v>269.67260882504996</v>
      </c>
      <c r="AO8" s="59">
        <f t="shared" si="36"/>
        <v>272.13858200810074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10.214285714285714</v>
      </c>
      <c r="BD8" s="12">
        <f>IF('Données projet'!$A$88&gt;35,BD7+BC8-BL7,IF(A8&lt;'Données projet'!$A$88,$BA$205^A8,IF(A8='Données projet'!$A$88,'Données projet'!$B$88,BD7+BC8-BL7)))</f>
        <v>2.7455969999803291</v>
      </c>
      <c r="BE8" s="13">
        <f>BD8*VLOOKUP('Données projet'!$B$11,Paramètres!$A$1:$I$89,3,0)*VLOOKUP('Données projet'!$B$11,Paramètres!$A$1:$I$89,5,0)</f>
        <v>1.534788722989004</v>
      </c>
      <c r="BF8" s="13">
        <f t="shared" si="37"/>
        <v>0.67289082616345819</v>
      </c>
      <c r="BG8" s="20">
        <f t="shared" si="7"/>
        <v>3.845041881440538</v>
      </c>
      <c r="BH8" s="59">
        <f t="shared" si="8"/>
        <v>266.62281965921829</v>
      </c>
      <c r="BI8" s="59">
        <f ca="1">AVERAGE(OFFSET($BH$3,0,0,'Données projet'!$E$11+1,1))-AVERAGE(OFFSET($H$3,0,0,'Données projet'!$E$11+1,1))</f>
        <v>330.33728077846268</v>
      </c>
      <c r="BJ8" s="59">
        <f t="shared" si="38"/>
        <v>358.38872754175208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</v>
      </c>
      <c r="BY8" s="12">
        <f>IF('Données projet'!$A$114&gt;35,BY7+BX8-CG7,IF(A8&lt;'Données projet'!$A$114,$BV$205^A8,IF(A8='Données projet'!$A$114,'Données projet'!$B$114,BY7+BX8-CG7)))</f>
        <v>3.8485011312768065</v>
      </c>
      <c r="BZ8" s="13">
        <f>BY8*VLOOKUP('Données projet'!$B$12,Paramètres!$A$1:$I$89,3,0)*VLOOKUP('Données projet'!$B$12,Paramètres!$A$1:$I$89,5,0)</f>
        <v>3.6622336765230092</v>
      </c>
      <c r="CA8" s="13">
        <f t="shared" si="39"/>
        <v>1.4510356291067332</v>
      </c>
      <c r="CB8" s="20">
        <f t="shared" si="10"/>
        <v>8.9056107073051347</v>
      </c>
      <c r="CC8" s="59">
        <f t="shared" si="11"/>
        <v>271.6833884850829</v>
      </c>
      <c r="CD8" s="59">
        <f ca="1">AVERAGE(OFFSET($CC$3,0,0,'Données projet'!$E$12+1,1))-AVERAGE(OFFSET($H$3,0,0,'Données projet'!$E$12+1,1))</f>
        <v>367.39143258674738</v>
      </c>
      <c r="CE8" s="59">
        <f t="shared" si="40"/>
        <v>376.02790658970292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9.8000000000000007</v>
      </c>
      <c r="CT8" s="12">
        <f>IF('Données projet'!$A$140&gt;35,CT7+CS8-DB7,IF(A8&lt;'Données projet'!$A$140,$CQ$205^A8,IF(A8='Données projet'!$A$140,'Données projet'!$B$140,CT7+CS8-DB7)))</f>
        <v>3.7416573867739413</v>
      </c>
      <c r="CU8" s="17">
        <f>CT8*VLOOKUP('Données projet'!$B$13,Paramètres!$A$1:$I$89,3,0)*VLOOKUP('Données projet'!$B$13,Paramètres!$A$1:$I$89,5,0)</f>
        <v>1.6538125649540822</v>
      </c>
      <c r="CV8" s="13">
        <f t="shared" si="41"/>
        <v>0.71879748391112774</v>
      </c>
      <c r="CW8" s="20">
        <f t="shared" si="13"/>
        <v>4.1322958351069063</v>
      </c>
      <c r="CX8" s="59">
        <f t="shared" si="14"/>
        <v>266.91007361288467</v>
      </c>
      <c r="CY8" s="59">
        <f ca="1">AVERAGE(OFFSET($CX$3,0,0,'Données projet'!$E$13+1,1))-AVERAGE(OFFSET($H$3,0,0,'Données projet'!$E$13+1,1))</f>
        <v>500.13646131618248</v>
      </c>
      <c r="CZ8" s="59">
        <f t="shared" si="42"/>
        <v>417.58036817539306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270.17745244540737</v>
      </c>
      <c r="S9" s="59">
        <f ca="1">AVERAGE(OFFSET($R$3,0,0,'Données projet'!$E$9+1,1))-AVERAGE(OFFSET($H$3,0,0,'Données projet'!$E$9+1,1))</f>
        <v>371.7282125501186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3.2666666666666666</v>
      </c>
      <c r="AI9" s="13">
        <f>IF('Données projet'!$A$62&gt;35,AI8+AH9-AQ8,IF(A9&lt;'Données projet'!$A$62,$AF$205^A9,IF(A9='Données projet'!$A$62,'Données projet'!$B$62,AI8+AH9-AQ8)))</f>
        <v>4.7432763938033657</v>
      </c>
      <c r="AJ9" s="13">
        <f>AI9*VLOOKUP('Données projet'!$B$10,Paramètres!$A$1:$I$89,3,0)*VLOOKUP('Données projet'!$B$10,Paramètres!$A$1:$I$89,5,0)</f>
        <v>3.1817898049632976</v>
      </c>
      <c r="AK9" s="13">
        <f t="shared" si="35"/>
        <v>1.2814822345561334</v>
      </c>
      <c r="AL9" s="20">
        <f t="shared" si="4"/>
        <v>7.7735321354963425</v>
      </c>
      <c r="AM9" s="59">
        <f t="shared" si="5"/>
        <v>271.77353213549634</v>
      </c>
      <c r="AN9" s="59">
        <f ca="1">AVERAGE(OFFSET($AM$3,0,0,'Données projet'!$E$10+1,1))-AVERAGE(OFFSET($H$3,0,0,'Données projet'!$E$10+1,1))</f>
        <v>269.67260882504996</v>
      </c>
      <c r="AO9" s="59">
        <f t="shared" si="36"/>
        <v>272.13858200810074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10.214285714285714</v>
      </c>
      <c r="BD9" s="12">
        <f>IF('Données projet'!$A$88&gt;35,BD8+BC9-BL8,IF(A9&lt;'Données projet'!$A$88,$BA$205^A9,IF(A9='Données projet'!$A$88,'Données projet'!$B$88,BD8+BC9-BL8)))</f>
        <v>3.3601924367444029</v>
      </c>
      <c r="BE9" s="13">
        <f>BD9*VLOOKUP('Données projet'!$B$11,Paramètres!$A$1:$I$89,3,0)*VLOOKUP('Données projet'!$B$11,Paramètres!$A$1:$I$89,5,0)</f>
        <v>1.8783475721401213</v>
      </c>
      <c r="BF9" s="13">
        <f t="shared" si="37"/>
        <v>0.80437858755284286</v>
      </c>
      <c r="BG9" s="20">
        <f t="shared" si="7"/>
        <v>4.6724147281319128</v>
      </c>
      <c r="BH9" s="59">
        <f t="shared" si="8"/>
        <v>268.67241472813191</v>
      </c>
      <c r="BI9" s="59">
        <f ca="1">AVERAGE(OFFSET($BH$3,0,0,'Données projet'!$E$11+1,1))-AVERAGE(OFFSET($H$3,0,0,'Données projet'!$E$11+1,1))</f>
        <v>330.33728077846268</v>
      </c>
      <c r="BJ9" s="59">
        <f t="shared" si="38"/>
        <v>358.38872754175208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</v>
      </c>
      <c r="BY9" s="12">
        <f>IF('Données projet'!$A$114&gt;35,BY8+BX9-CG8,IF(A9&lt;'Données projet'!$A$114,$BV$205^A9,IF(A9='Données projet'!$A$114,'Données projet'!$B$114,BY8+BX9-CG8)))</f>
        <v>5.0390647890332865</v>
      </c>
      <c r="BZ9" s="13">
        <f>BY9*VLOOKUP('Données projet'!$B$12,Paramètres!$A$1:$I$89,3,0)*VLOOKUP('Données projet'!$B$12,Paramètres!$A$1:$I$89,5,0)</f>
        <v>4.7951740532440752</v>
      </c>
      <c r="CA9" s="13">
        <f t="shared" si="39"/>
        <v>1.8412417383662687</v>
      </c>
      <c r="CB9" s="20">
        <f t="shared" si="10"/>
        <v>11.558424170388015</v>
      </c>
      <c r="CC9" s="59">
        <f t="shared" si="11"/>
        <v>275.55842417038804</v>
      </c>
      <c r="CD9" s="59">
        <f ca="1">AVERAGE(OFFSET($CC$3,0,0,'Données projet'!$E$12+1,1))-AVERAGE(OFFSET($H$3,0,0,'Données projet'!$E$12+1,1))</f>
        <v>367.39143258674738</v>
      </c>
      <c r="CE9" s="59">
        <f t="shared" si="40"/>
        <v>376.02790658970292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9.8000000000000007</v>
      </c>
      <c r="CT9" s="12">
        <f>IF('Données projet'!$A$140&gt;35,CT8+CS9-DB8,IF(A9&lt;'Données projet'!$A$140,$CQ$205^A9,IF(A9='Données projet'!$A$140,'Données projet'!$B$140,CT8+CS9-DB8)))</f>
        <v>4.8716583257669139</v>
      </c>
      <c r="CU9" s="17">
        <f>CT9*VLOOKUP('Données projet'!$B$13,Paramètres!$A$1:$I$89,3,0)*VLOOKUP('Données projet'!$B$13,Paramètres!$A$1:$I$89,5,0)</f>
        <v>2.153272979988976</v>
      </c>
      <c r="CV9" s="13">
        <f t="shared" si="41"/>
        <v>0.9075664259924916</v>
      </c>
      <c r="CW9" s="20">
        <f t="shared" si="13"/>
        <v>5.330961965417722</v>
      </c>
      <c r="CX9" s="59">
        <f t="shared" si="14"/>
        <v>269.33096196541771</v>
      </c>
      <c r="CY9" s="59">
        <f ca="1">AVERAGE(OFFSET($CX$3,0,0,'Données projet'!$E$13+1,1))-AVERAGE(OFFSET($H$3,0,0,'Données projet'!$E$13+1,1))</f>
        <v>500.13646131618248</v>
      </c>
      <c r="CZ9" s="59">
        <f t="shared" si="42"/>
        <v>417.58036817539306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272.50195357358808</v>
      </c>
      <c r="S10" s="59">
        <f ca="1">AVERAGE(OFFSET($R$3,0,0,'Données projet'!$E$9+1,1))-AVERAGE(OFFSET($H$3,0,0,'Données projet'!$E$9+1,1))</f>
        <v>371.7282125501186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3.2666666666666666</v>
      </c>
      <c r="AI10" s="13">
        <f>IF('Données projet'!$A$62&gt;35,AI9+AH10-AQ9,IF(A10&lt;'Données projet'!$A$62,$AF$205^A10,IF(A10='Données projet'!$A$62,'Données projet'!$B$62,AI9+AH10-AQ9)))</f>
        <v>6.1483441753411281</v>
      </c>
      <c r="AJ10" s="13">
        <f>AI10*VLOOKUP('Données projet'!$B$10,Paramètres!$A$1:$I$89,3,0)*VLOOKUP('Données projet'!$B$10,Paramètres!$A$1:$I$89,5,0)</f>
        <v>4.1243092728188291</v>
      </c>
      <c r="AK10" s="13">
        <f t="shared" si="35"/>
        <v>1.6116710576726798</v>
      </c>
      <c r="AL10" s="20">
        <f t="shared" si="4"/>
        <v>9.9901657422727119</v>
      </c>
      <c r="AM10" s="59">
        <f t="shared" si="5"/>
        <v>275.21238796449495</v>
      </c>
      <c r="AN10" s="59">
        <f ca="1">AVERAGE(OFFSET($AM$3,0,0,'Données projet'!$E$10+1,1))-AVERAGE(OFFSET($H$3,0,0,'Données projet'!$E$10+1,1))</f>
        <v>269.67260882504996</v>
      </c>
      <c r="AO10" s="59">
        <f t="shared" si="36"/>
        <v>272.13858200810074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10.214285714285714</v>
      </c>
      <c r="BD10" s="12">
        <f>IF('Données projet'!$A$88&gt;35,BD9+BC10-BL9,IF(A10&lt;'Données projet'!$A$88,$BA$205^A10,IF(A10='Données projet'!$A$88,'Données projet'!$B$88,BD9+BC10-BL9)))</f>
        <v>4.1123636178343661</v>
      </c>
      <c r="BE10" s="13">
        <f>BD10*VLOOKUP('Données projet'!$B$11,Paramètres!$A$1:$I$89,3,0)*VLOOKUP('Données projet'!$B$11,Paramètres!$A$1:$I$89,5,0)</f>
        <v>2.2988112623694108</v>
      </c>
      <c r="BF10" s="13">
        <f t="shared" si="37"/>
        <v>0.96156001383251399</v>
      </c>
      <c r="BG10" s="20">
        <f t="shared" si="7"/>
        <v>5.6784799727183524</v>
      </c>
      <c r="BH10" s="59">
        <f t="shared" si="8"/>
        <v>270.90070219494061</v>
      </c>
      <c r="BI10" s="59">
        <f ca="1">AVERAGE(OFFSET($BH$3,0,0,'Données projet'!$E$11+1,1))-AVERAGE(OFFSET($H$3,0,0,'Données projet'!$E$11+1,1))</f>
        <v>330.33728077846268</v>
      </c>
      <c r="BJ10" s="59">
        <f t="shared" si="38"/>
        <v>358.38872754175208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</v>
      </c>
      <c r="BY10" s="12">
        <f>IF('Données projet'!$A$114&gt;35,BY9+BX10-CG9,IF(A10&lt;'Données projet'!$A$114,$BV$205^A10,IF(A10='Données projet'!$A$114,'Données projet'!$B$114,BY9+BX10-CG9)))</f>
        <v>6.5979385433234325</v>
      </c>
      <c r="BZ10" s="13">
        <f>BY10*VLOOKUP('Données projet'!$B$12,Paramètres!$A$1:$I$89,3,0)*VLOOKUP('Données projet'!$B$12,Paramètres!$A$1:$I$89,5,0)</f>
        <v>6.278598317826579</v>
      </c>
      <c r="CA10" s="13">
        <f t="shared" si="39"/>
        <v>2.3363803555871674</v>
      </c>
      <c r="CB10" s="20">
        <f t="shared" si="10"/>
        <v>15.004421189528943</v>
      </c>
      <c r="CC10" s="59">
        <f t="shared" si="11"/>
        <v>280.22664341175118</v>
      </c>
      <c r="CD10" s="59">
        <f ca="1">AVERAGE(OFFSET($CC$3,0,0,'Données projet'!$E$12+1,1))-AVERAGE(OFFSET($H$3,0,0,'Données projet'!$E$12+1,1))</f>
        <v>367.39143258674738</v>
      </c>
      <c r="CE10" s="59">
        <f t="shared" si="40"/>
        <v>376.02790658970292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9.8000000000000007</v>
      </c>
      <c r="CT10" s="12">
        <f>IF('Données projet'!$A$140&gt;35,CT9+CS10-DB9,IF(A10&lt;'Données projet'!$A$140,$CQ$205^A10,IF(A10='Données projet'!$A$140,'Données projet'!$B$140,CT9+CS10-DB9)))</f>
        <v>6.3429257117196256</v>
      </c>
      <c r="CU10" s="17">
        <f>CT10*VLOOKUP('Données projet'!$B$13,Paramètres!$A$1:$I$89,3,0)*VLOOKUP('Données projet'!$B$13,Paramètres!$A$1:$I$89,5,0)</f>
        <v>2.803573164580075</v>
      </c>
      <c r="CV10" s="13">
        <f t="shared" si="41"/>
        <v>1.1459094334985522</v>
      </c>
      <c r="CW10" s="20">
        <f t="shared" si="13"/>
        <v>6.8786821916536089</v>
      </c>
      <c r="CX10" s="59">
        <f t="shared" si="14"/>
        <v>272.10090441387581</v>
      </c>
      <c r="CY10" s="59">
        <f ca="1">AVERAGE(OFFSET($CX$3,0,0,'Données projet'!$E$13+1,1))-AVERAGE(OFFSET($H$3,0,0,'Données projet'!$E$13+1,1))</f>
        <v>500.13646131618248</v>
      </c>
      <c r="CZ10" s="59">
        <f t="shared" si="42"/>
        <v>417.58036817539306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275.02383015254469</v>
      </c>
      <c r="S11" s="59">
        <f ca="1">AVERAGE(OFFSET($R$3,0,0,'Données projet'!$E$9+1,1))-AVERAGE(OFFSET($H$3,0,0,'Données projet'!$E$9+1,1))</f>
        <v>371.7282125501186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3.2666666666666666</v>
      </c>
      <c r="AI11" s="13">
        <f>IF('Données projet'!$A$62&gt;35,AI10+AH11-AQ10,IF(A11&lt;'Données projet'!$A$62,$AF$205^A11,IF(A11='Données projet'!$A$62,'Données projet'!$B$62,AI10+AH11-AQ10)))</f>
        <v>7.9696254150055488</v>
      </c>
      <c r="AJ11" s="13">
        <f>AI11*VLOOKUP('Données projet'!$B$10,Paramètres!$A$1:$I$89,3,0)*VLOOKUP('Données projet'!$B$10,Paramètres!$A$1:$I$89,5,0)</f>
        <v>5.3460247283857223</v>
      </c>
      <c r="AK11" s="13">
        <f t="shared" si="35"/>
        <v>2.0269368767640099</v>
      </c>
      <c r="AL11" s="20">
        <f t="shared" si="4"/>
        <v>12.841241462302449</v>
      </c>
      <c r="AM11" s="59">
        <f t="shared" si="5"/>
        <v>279.28568590674689</v>
      </c>
      <c r="AN11" s="59">
        <f ca="1">AVERAGE(OFFSET($AM$3,0,0,'Données projet'!$E$10+1,1))-AVERAGE(OFFSET($H$3,0,0,'Données projet'!$E$10+1,1))</f>
        <v>269.67260882504996</v>
      </c>
      <c r="AO11" s="59">
        <f t="shared" si="36"/>
        <v>272.13858200810074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10.214285714285714</v>
      </c>
      <c r="BD11" s="12">
        <f>IF('Données projet'!$A$88&gt;35,BD10+BC11-BL10,IF(A11&lt;'Données projet'!$A$88,$BA$205^A11,IF(A11='Données projet'!$A$88,'Données projet'!$B$88,BD10+BC11-BL10)))</f>
        <v>5.0329065503381907</v>
      </c>
      <c r="BE11" s="13">
        <f>BD11*VLOOKUP('Données projet'!$B$11,Paramètres!$A$1:$I$89,3,0)*VLOOKUP('Données projet'!$B$11,Paramètres!$A$1:$I$89,5,0)</f>
        <v>2.8133947616390489</v>
      </c>
      <c r="BF11" s="13">
        <f t="shared" si="37"/>
        <v>1.1494558339929006</v>
      </c>
      <c r="BG11" s="20">
        <f t="shared" si="7"/>
        <v>6.9019647873923118</v>
      </c>
      <c r="BH11" s="59">
        <f t="shared" si="8"/>
        <v>273.34640923183679</v>
      </c>
      <c r="BI11" s="59">
        <f ca="1">AVERAGE(OFFSET($BH$3,0,0,'Données projet'!$E$11+1,1))-AVERAGE(OFFSET($H$3,0,0,'Données projet'!$E$11+1,1))</f>
        <v>330.33728077846268</v>
      </c>
      <c r="BJ11" s="59">
        <f t="shared" si="38"/>
        <v>358.38872754175208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</v>
      </c>
      <c r="BY11" s="12">
        <f>IF('Données projet'!$A$114&gt;35,BY10+BX11-CG10,IF(A11&lt;'Données projet'!$A$114,$BV$205^A11,IF(A11='Données projet'!$A$114,'Données projet'!$B$114,BY10+BX11-CG10)))</f>
        <v>8.6390619775747002</v>
      </c>
      <c r="BZ11" s="13">
        <f>BY11*VLOOKUP('Données projet'!$B$12,Paramètres!$A$1:$I$89,3,0)*VLOOKUP('Données projet'!$B$12,Paramètres!$A$1:$I$89,5,0)</f>
        <v>8.2209313778600848</v>
      </c>
      <c r="CA11" s="13">
        <f t="shared" si="39"/>
        <v>2.9646694685604369</v>
      </c>
      <c r="CB11" s="20">
        <f t="shared" si="10"/>
        <v>19.481588140849077</v>
      </c>
      <c r="CC11" s="59">
        <f t="shared" si="11"/>
        <v>285.92603258529351</v>
      </c>
      <c r="CD11" s="59">
        <f ca="1">AVERAGE(OFFSET($CC$3,0,0,'Données projet'!$E$12+1,1))-AVERAGE(OFFSET($H$3,0,0,'Données projet'!$E$12+1,1))</f>
        <v>367.39143258674738</v>
      </c>
      <c r="CE11" s="59">
        <f t="shared" si="40"/>
        <v>376.02790658970292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9.8000000000000007</v>
      </c>
      <c r="CT11" s="12">
        <f>IF('Données projet'!$A$140&gt;35,CT10+CS11-DB10,IF(A11&lt;'Données projet'!$A$140,$CQ$205^A11,IF(A11='Données projet'!$A$140,'Données projet'!$B$140,CT10+CS11-DB10)))</f>
        <v>8.258523872989457</v>
      </c>
      <c r="CU11" s="17">
        <f>CT11*VLOOKUP('Données projet'!$B$13,Paramètres!$A$1:$I$89,3,0)*VLOOKUP('Données projet'!$B$13,Paramètres!$A$1:$I$89,5,0)</f>
        <v>3.6502675518613401</v>
      </c>
      <c r="CV11" s="13">
        <f t="shared" si="41"/>
        <v>1.4468455334770565</v>
      </c>
      <c r="CW11" s="20">
        <f t="shared" si="13"/>
        <v>8.8774719569643725</v>
      </c>
      <c r="CX11" s="59">
        <f t="shared" si="14"/>
        <v>275.32191640140883</v>
      </c>
      <c r="CY11" s="59">
        <f ca="1">AVERAGE(OFFSET($CX$3,0,0,'Données projet'!$E$13+1,1))-AVERAGE(OFFSET($H$3,0,0,'Données projet'!$E$13+1,1))</f>
        <v>500.13646131618248</v>
      </c>
      <c r="CZ11" s="59">
        <f t="shared" si="42"/>
        <v>417.58036817539306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277.77854042859184</v>
      </c>
      <c r="S12" s="59">
        <f ca="1">AVERAGE(OFFSET($R$3,0,0,'Données projet'!$E$9+1,1))-AVERAGE(OFFSET($H$3,0,0,'Données projet'!$E$9+1,1))</f>
        <v>371.7282125501186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3.2666666666666666</v>
      </c>
      <c r="AI12" s="13">
        <f>IF('Données projet'!$A$62&gt;35,AI11+AH12-AQ11,IF(A12&lt;'Données projet'!$A$62,$AF$205^A12,IF(A12='Données projet'!$A$62,'Données projet'!$B$62,AI11+AH12-AQ11)))</f>
        <v>10.330412131161863</v>
      </c>
      <c r="AJ12" s="13">
        <f>AI12*VLOOKUP('Données projet'!$B$10,Paramètres!$A$1:$I$89,3,0)*VLOOKUP('Données projet'!$B$10,Paramètres!$A$1:$I$89,5,0)</f>
        <v>6.9296404575833774</v>
      </c>
      <c r="AK12" s="13">
        <f t="shared" si="35"/>
        <v>2.5492007707321154</v>
      </c>
      <c r="AL12" s="20">
        <f t="shared" si="4"/>
        <v>16.508981805982817</v>
      </c>
      <c r="AM12" s="59">
        <f t="shared" si="5"/>
        <v>284.17564847264953</v>
      </c>
      <c r="AN12" s="59">
        <f ca="1">AVERAGE(OFFSET($AM$3,0,0,'Données projet'!$E$10+1,1))-AVERAGE(OFFSET($H$3,0,0,'Données projet'!$E$10+1,1))</f>
        <v>269.67260882504996</v>
      </c>
      <c r="AO12" s="59">
        <f t="shared" si="36"/>
        <v>272.13858200810074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10.214285714285714</v>
      </c>
      <c r="BD12" s="12">
        <f>IF('Données projet'!$A$88&gt;35,BD11+BC12-BL11,IF(A12&lt;'Données projet'!$A$88,$BA$205^A12,IF(A12='Données projet'!$A$88,'Données projet'!$B$88,BD11+BC12-BL11)))</f>
        <v>6.1595108551651654</v>
      </c>
      <c r="BE12" s="13">
        <f>BD12*VLOOKUP('Données projet'!$B$11,Paramètres!$A$1:$I$89,3,0)*VLOOKUP('Données projet'!$B$11,Paramètres!$A$1:$I$89,5,0)</f>
        <v>3.4431665680373276</v>
      </c>
      <c r="BF12" s="13">
        <f t="shared" si="37"/>
        <v>1.3740678639850881</v>
      </c>
      <c r="BG12" s="20">
        <f t="shared" si="7"/>
        <v>8.3900166357723727</v>
      </c>
      <c r="BH12" s="59">
        <f t="shared" si="8"/>
        <v>276.05668330243907</v>
      </c>
      <c r="BI12" s="59">
        <f ca="1">AVERAGE(OFFSET($BH$3,0,0,'Données projet'!$E$11+1,1))-AVERAGE(OFFSET($H$3,0,0,'Données projet'!$E$11+1,1))</f>
        <v>330.33728077846268</v>
      </c>
      <c r="BJ12" s="59">
        <f t="shared" si="38"/>
        <v>358.38872754175208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</v>
      </c>
      <c r="BY12" s="12">
        <f>IF('Données projet'!$A$114&gt;35,BY11+BX12-CG11,IF(A12&lt;'Données projet'!$A$114,$BV$205^A12,IF(A12='Données projet'!$A$114,'Données projet'!$B$114,BY11+BX12-CG11)))</f>
        <v>11.311622768584241</v>
      </c>
      <c r="BZ12" s="13">
        <f>BY12*VLOOKUP('Données projet'!$B$12,Paramètres!$A$1:$I$89,3,0)*VLOOKUP('Données projet'!$B$12,Paramètres!$A$1:$I$89,5,0)</f>
        <v>10.764140226584765</v>
      </c>
      <c r="CA12" s="13">
        <f t="shared" si="39"/>
        <v>3.7619153220476149</v>
      </c>
      <c r="CB12" s="20">
        <f t="shared" si="10"/>
        <v>25.299546747201394</v>
      </c>
      <c r="CC12" s="59">
        <f t="shared" si="11"/>
        <v>292.9662134138681</v>
      </c>
      <c r="CD12" s="59">
        <f ca="1">AVERAGE(OFFSET($CC$3,0,0,'Données projet'!$E$12+1,1))-AVERAGE(OFFSET($H$3,0,0,'Données projet'!$E$12+1,1))</f>
        <v>367.39143258674738</v>
      </c>
      <c r="CE12" s="59">
        <f t="shared" si="40"/>
        <v>376.02790658970292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9.8000000000000007</v>
      </c>
      <c r="CT12" s="12">
        <f>IF('Données projet'!$A$140&gt;35,CT11+CS12-DB11,IF(A12&lt;'Données projet'!$A$140,$CQ$205^A12,IF(A12='Données projet'!$A$140,'Données projet'!$B$140,CT11+CS12-DB11)))</f>
        <v>10.752643127243291</v>
      </c>
      <c r="CU12" s="17">
        <f>CT12*VLOOKUP('Données projet'!$B$13,Paramètres!$A$1:$I$89,3,0)*VLOOKUP('Données projet'!$B$13,Paramètres!$A$1:$I$89,5,0)</f>
        <v>4.752668262241535</v>
      </c>
      <c r="CV12" s="13">
        <f t="shared" si="41"/>
        <v>1.8268127799169172</v>
      </c>
      <c r="CW12" s="20">
        <f t="shared" si="13"/>
        <v>11.459262815092636</v>
      </c>
      <c r="CX12" s="59">
        <f t="shared" si="14"/>
        <v>279.12592948175933</v>
      </c>
      <c r="CY12" s="59">
        <f ca="1">AVERAGE(OFFSET($CX$3,0,0,'Données projet'!$E$13+1,1))-AVERAGE(OFFSET($H$3,0,0,'Données projet'!$E$13+1,1))</f>
        <v>500.13646131618248</v>
      </c>
      <c r="CZ12" s="59">
        <f t="shared" si="42"/>
        <v>417.58036817539306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280.80793210997274</v>
      </c>
      <c r="S13" s="59">
        <f ca="1">AVERAGE(OFFSET($R$3,0,0,'Données projet'!$E$9+1,1))-AVERAGE(OFFSET($H$3,0,0,'Données projet'!$E$9+1,1))</f>
        <v>371.7282125501186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3.2666666666666666</v>
      </c>
      <c r="AI13" s="13">
        <f>IF('Données projet'!$A$62&gt;35,AI12+AH13-AQ12,IF(A13&lt;'Données projet'!$A$62,$AF$205^A13,IF(A13='Données projet'!$A$62,'Données projet'!$B$62,AI12+AH13-AQ12)))</f>
        <v>13.390518279406722</v>
      </c>
      <c r="AJ13" s="13">
        <f>AI13*VLOOKUP('Données projet'!$B$10,Paramètres!$A$1:$I$89,3,0)*VLOOKUP('Données projet'!$B$10,Paramètres!$A$1:$I$89,5,0)</f>
        <v>8.9823596618260293</v>
      </c>
      <c r="AK13" s="13">
        <f t="shared" si="35"/>
        <v>3.2060320397722015</v>
      </c>
      <c r="AL13" s="20">
        <f t="shared" si="4"/>
        <v>21.228115546950253</v>
      </c>
      <c r="AM13" s="59">
        <f t="shared" si="5"/>
        <v>290.11700443583914</v>
      </c>
      <c r="AN13" s="59">
        <f ca="1">AVERAGE(OFFSET($AM$3,0,0,'Données projet'!$E$10+1,1))-AVERAGE(OFFSET($H$3,0,0,'Données projet'!$E$10+1,1))</f>
        <v>269.67260882504996</v>
      </c>
      <c r="AO13" s="59">
        <f t="shared" si="36"/>
        <v>272.13858200810074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10.214285714285714</v>
      </c>
      <c r="BD13" s="12">
        <f>IF('Données projet'!$A$88&gt;35,BD12+BC13-BL12,IF(A13&lt;'Données projet'!$A$88,$BA$205^A13,IF(A13='Données projet'!$A$88,'Données projet'!$B$88,BD12+BC13-BL12)))</f>
        <v>7.5383028863009844</v>
      </c>
      <c r="BE13" s="13">
        <f>BD13*VLOOKUP('Données projet'!$B$11,Paramètres!$A$1:$I$89,3,0)*VLOOKUP('Données projet'!$B$11,Paramètres!$A$1:$I$89,5,0)</f>
        <v>4.2139113134422503</v>
      </c>
      <c r="BF13" s="13">
        <f t="shared" si="37"/>
        <v>1.6425707182484095</v>
      </c>
      <c r="BG13" s="20">
        <f t="shared" si="7"/>
        <v>10.200039538527898</v>
      </c>
      <c r="BH13" s="59">
        <f t="shared" si="8"/>
        <v>279.08892842741676</v>
      </c>
      <c r="BI13" s="59">
        <f ca="1">AVERAGE(OFFSET($BH$3,0,0,'Données projet'!$E$11+1,1))-AVERAGE(OFFSET($H$3,0,0,'Données projet'!$E$11+1,1))</f>
        <v>330.33728077846268</v>
      </c>
      <c r="BJ13" s="59">
        <f t="shared" si="38"/>
        <v>358.38872754175208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</v>
      </c>
      <c r="BY13" s="12">
        <f>IF('Données projet'!$A$114&gt;35,BY12+BX13-CG12,IF(A13&lt;'Données projet'!$A$114,$BV$205^A13,IF(A13='Données projet'!$A$114,'Données projet'!$B$114,BY12+BX13-CG12)))</f>
        <v>14.81096095743886</v>
      </c>
      <c r="BZ13" s="13">
        <f>BY13*VLOOKUP('Données projet'!$B$12,Paramètres!$A$1:$I$89,3,0)*VLOOKUP('Données projet'!$B$12,Paramètres!$A$1:$I$89,5,0)</f>
        <v>14.094110447098821</v>
      </c>
      <c r="CA13" s="13">
        <f t="shared" si="39"/>
        <v>4.7735530184174095</v>
      </c>
      <c r="CB13" s="20">
        <f t="shared" si="10"/>
        <v>32.861180535774103</v>
      </c>
      <c r="CC13" s="59">
        <f t="shared" si="11"/>
        <v>301.75006942466297</v>
      </c>
      <c r="CD13" s="59">
        <f ca="1">AVERAGE(OFFSET($CC$3,0,0,'Données projet'!$E$12+1,1))-AVERAGE(OFFSET($H$3,0,0,'Données projet'!$E$12+1,1))</f>
        <v>367.39143258674738</v>
      </c>
      <c r="CE13" s="59">
        <f t="shared" si="40"/>
        <v>376.02790658970292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9.8000000000000007</v>
      </c>
      <c r="CT13" s="12">
        <f>IF('Données projet'!$A$140&gt;35,CT12+CS13-DB12,IF(A13&lt;'Données projet'!$A$140,$CQ$205^A13,IF(A13='Données projet'!$A$140,'Données projet'!$B$140,CT12+CS13-DB12)))</f>
        <v>13.999999999999996</v>
      </c>
      <c r="CU13" s="17">
        <f>CT13*VLOOKUP('Données projet'!$B$13,Paramètres!$A$1:$I$89,3,0)*VLOOKUP('Données projet'!$B$13,Paramètres!$A$1:$I$89,5,0)</f>
        <v>6.1879999999999988</v>
      </c>
      <c r="CV13" s="13">
        <f t="shared" si="41"/>
        <v>2.3065661507401636</v>
      </c>
      <c r="CW13" s="20">
        <f t="shared" si="13"/>
        <v>14.794702712539115</v>
      </c>
      <c r="CX13" s="59">
        <f t="shared" si="14"/>
        <v>283.68359160142796</v>
      </c>
      <c r="CY13" s="59">
        <f ca="1">AVERAGE(OFFSET($CX$3,0,0,'Données projet'!$E$13+1,1))-AVERAGE(OFFSET($H$3,0,0,'Données projet'!$E$13+1,1))</f>
        <v>500.13646131618248</v>
      </c>
      <c r="CZ13" s="59">
        <f t="shared" si="42"/>
        <v>417.58036817539306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284.16139697381971</v>
      </c>
      <c r="S14" s="59">
        <f ca="1">AVERAGE(OFFSET($R$3,0,0,'Données projet'!$E$9+1,1))-AVERAGE(OFFSET($H$3,0,0,'Données projet'!$E$9+1,1))</f>
        <v>371.7282125501186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3.2666666666666666</v>
      </c>
      <c r="AI14" s="13">
        <f>IF('Données projet'!$A$62&gt;35,AI13+AH14-AQ13,IF(A14&lt;'Données projet'!$A$62,$AF$205^A14,IF(A14='Données projet'!$A$62,'Données projet'!$B$62,AI13+AH14-AQ13)))</f>
        <v>17.357098392061825</v>
      </c>
      <c r="AJ14" s="13">
        <f>AI14*VLOOKUP('Données projet'!$B$10,Paramètres!$A$1:$I$89,3,0)*VLOOKUP('Données projet'!$B$10,Paramètres!$A$1:$I$89,5,0)</f>
        <v>11.643141601395072</v>
      </c>
      <c r="AK14" s="13">
        <f t="shared" si="35"/>
        <v>4.0321035353735333</v>
      </c>
      <c r="AL14" s="20">
        <f t="shared" si="4"/>
        <v>27.301051946538653</v>
      </c>
      <c r="AM14" s="59">
        <f t="shared" si="5"/>
        <v>297.41216305764982</v>
      </c>
      <c r="AN14" s="59">
        <f ca="1">AVERAGE(OFFSET($AM$3,0,0,'Données projet'!$E$10+1,1))-AVERAGE(OFFSET($H$3,0,0,'Données projet'!$E$10+1,1))</f>
        <v>269.67260882504996</v>
      </c>
      <c r="AO14" s="59">
        <f t="shared" si="36"/>
        <v>272.13858200810074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10.214285714285714</v>
      </c>
      <c r="BD14" s="12">
        <f>IF('Données projet'!$A$88&gt;35,BD13+BC14-BL13,IF(A14&lt;'Données projet'!$A$88,$BA$205^A14,IF(A14='Données projet'!$A$88,'Données projet'!$B$88,BD13+BC14-BL13)))</f>
        <v>9.2257342736820238</v>
      </c>
      <c r="BE14" s="13">
        <f>BD14*VLOOKUP('Données projet'!$B$11,Paramètres!$A$1:$I$89,3,0)*VLOOKUP('Données projet'!$B$11,Paramètres!$A$1:$I$89,5,0)</f>
        <v>5.157185458988252</v>
      </c>
      <c r="BF14" s="13">
        <f t="shared" si="37"/>
        <v>1.963540983064848</v>
      </c>
      <c r="BG14" s="20">
        <f t="shared" si="7"/>
        <v>12.401931886575817</v>
      </c>
      <c r="BH14" s="59">
        <f t="shared" si="8"/>
        <v>282.51304299768697</v>
      </c>
      <c r="BI14" s="59">
        <f ca="1">AVERAGE(OFFSET($BH$3,0,0,'Données projet'!$E$11+1,1))-AVERAGE(OFFSET($H$3,0,0,'Données projet'!$E$11+1,1))</f>
        <v>330.33728077846268</v>
      </c>
      <c r="BJ14" s="59">
        <f t="shared" si="38"/>
        <v>358.38872754175208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</v>
      </c>
      <c r="BY14" s="12">
        <f>IF('Données projet'!$A$114&gt;35,BY13+BX14-CG13,IF(A14&lt;'Données projet'!$A$114,$BV$205^A14,IF(A14='Données projet'!$A$114,'Données projet'!$B$114,BY13+BX14-CG13)))</f>
        <v>19.392846541171725</v>
      </c>
      <c r="BZ14" s="13">
        <f>BY14*VLOOKUP('Données projet'!$B$12,Paramètres!$A$1:$I$89,3,0)*VLOOKUP('Données projet'!$B$12,Paramètres!$A$1:$I$89,5,0)</f>
        <v>18.454232768579015</v>
      </c>
      <c r="CA14" s="13">
        <f t="shared" si="39"/>
        <v>6.0572358676162539</v>
      </c>
      <c r="CB14" s="20">
        <f t="shared" si="10"/>
        <v>42.690807874706756</v>
      </c>
      <c r="CC14" s="59">
        <f t="shared" si="11"/>
        <v>312.80191898581791</v>
      </c>
      <c r="CD14" s="59">
        <f ca="1">AVERAGE(OFFSET($CC$3,0,0,'Données projet'!$E$12+1,1))-AVERAGE(OFFSET($H$3,0,0,'Données projet'!$E$12+1,1))</f>
        <v>367.39143258674738</v>
      </c>
      <c r="CE14" s="59">
        <f t="shared" si="40"/>
        <v>376.02790658970292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9.8000000000000007</v>
      </c>
      <c r="CT14" s="12">
        <f>IF('Données projet'!$A$140&gt;35,CT13+CS14-DB13,IF(A14&lt;'Données projet'!$A$140,$CQ$205^A14,IF(A14='Données projet'!$A$140,'Données projet'!$B$140,CT13+CS14-DB13)))</f>
        <v>18.228076360444547</v>
      </c>
      <c r="CU14" s="17">
        <f>CT14*VLOOKUP('Données projet'!$B$13,Paramètres!$A$1:$I$89,3,0)*VLOOKUP('Données projet'!$B$13,Paramètres!$A$1:$I$89,5,0)</f>
        <v>8.0568097513164911</v>
      </c>
      <c r="CV14" s="13">
        <f t="shared" si="41"/>
        <v>2.9123112484368887</v>
      </c>
      <c r="CW14" s="20">
        <f t="shared" si="13"/>
        <v>19.1045524079038</v>
      </c>
      <c r="CX14" s="59">
        <f t="shared" si="14"/>
        <v>289.21566351901492</v>
      </c>
      <c r="CY14" s="59">
        <f ca="1">AVERAGE(OFFSET($CX$3,0,0,'Données projet'!$E$13+1,1))-AVERAGE(OFFSET($H$3,0,0,'Données projet'!$E$13+1,1))</f>
        <v>500.13646131618248</v>
      </c>
      <c r="CZ14" s="59">
        <f t="shared" si="42"/>
        <v>417.58036817539306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287.89723465691981</v>
      </c>
      <c r="S15" s="59">
        <f ca="1">AVERAGE(OFFSET($R$3,0,0,'Données projet'!$E$9+1,1))-AVERAGE(OFFSET($H$3,0,0,'Données projet'!$E$9+1,1))</f>
        <v>371.7282125501186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3.2666666666666666</v>
      </c>
      <c r="AI15" s="13">
        <f>IF('Données projet'!$A$62&gt;35,AI14+AH15-AQ14,IF(A15&lt;'Données projet'!$A$62,$AF$205^A15,IF(A15='Données projet'!$A$62,'Données projet'!$B$62,AI14+AH15-AQ14)))</f>
        <v>22.498670948012265</v>
      </c>
      <c r="AJ15" s="13">
        <f>AI15*VLOOKUP('Données projet'!$B$10,Paramètres!$A$1:$I$89,3,0)*VLOOKUP('Données projet'!$B$10,Paramètres!$A$1:$I$89,5,0)</f>
        <v>15.092108471926627</v>
      </c>
      <c r="AK15" s="13">
        <f t="shared" si="35"/>
        <v>5.0710219730451964</v>
      </c>
      <c r="AL15" s="20">
        <f t="shared" si="4"/>
        <v>35.117452191659261</v>
      </c>
      <c r="AM15" s="59">
        <f t="shared" si="5"/>
        <v>306.45078552499257</v>
      </c>
      <c r="AN15" s="59">
        <f ca="1">AVERAGE(OFFSET($AM$3,0,0,'Données projet'!$E$10+1,1))-AVERAGE(OFFSET($H$3,0,0,'Données projet'!$E$10+1,1))</f>
        <v>269.67260882504996</v>
      </c>
      <c r="AO15" s="59">
        <f t="shared" si="36"/>
        <v>272.13858200810074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10.214285714285714</v>
      </c>
      <c r="BD15" s="12">
        <f>IF('Données projet'!$A$88&gt;35,BD14+BC15-BL14,IF(A15&lt;'Données projet'!$A$88,$BA$205^A15,IF(A15='Données projet'!$A$88,'Données projet'!$B$88,BD14+BC15-BL14)))</f>
        <v>11.290893211954288</v>
      </c>
      <c r="BE15" s="13">
        <f>BD15*VLOOKUP('Données projet'!$B$11,Paramètres!$A$1:$I$89,3,0)*VLOOKUP('Données projet'!$B$11,Paramètres!$A$1:$I$89,5,0)</f>
        <v>6.3116093054824471</v>
      </c>
      <c r="BF15" s="13">
        <f t="shared" si="37"/>
        <v>2.34723117205368</v>
      </c>
      <c r="BG15" s="20">
        <f t="shared" si="7"/>
        <v>15.080813831708754</v>
      </c>
      <c r="BH15" s="59">
        <f t="shared" si="8"/>
        <v>286.4141471650421</v>
      </c>
      <c r="BI15" s="59">
        <f ca="1">AVERAGE(OFFSET($BH$3,0,0,'Données projet'!$E$11+1,1))-AVERAGE(OFFSET($H$3,0,0,'Données projet'!$E$11+1,1))</f>
        <v>330.33728077846268</v>
      </c>
      <c r="BJ15" s="59">
        <f t="shared" si="38"/>
        <v>358.38872754175208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</v>
      </c>
      <c r="BY15" s="12">
        <f>IF('Données projet'!$A$114&gt;35,BY14+BX15-CG14,IF(A15&lt;'Données projet'!$A$114,$BV$205^A15,IF(A15='Données projet'!$A$114,'Données projet'!$B$114,BY14+BX15-CG14)))</f>
        <v>25.392173948075076</v>
      </c>
      <c r="BZ15" s="13">
        <f>BY15*VLOOKUP('Données projet'!$B$12,Paramètres!$A$1:$I$89,3,0)*VLOOKUP('Données projet'!$B$12,Paramètres!$A$1:$I$89,5,0)</f>
        <v>24.163192728988243</v>
      </c>
      <c r="CA15" s="13">
        <f t="shared" si="39"/>
        <v>7.6861210537263078</v>
      </c>
      <c r="CB15" s="20">
        <f t="shared" si="10"/>
        <v>55.470888171561171</v>
      </c>
      <c r="CC15" s="59">
        <f t="shared" si="11"/>
        <v>326.80422150489449</v>
      </c>
      <c r="CD15" s="59">
        <f ca="1">AVERAGE(OFFSET($CC$3,0,0,'Données projet'!$E$12+1,1))-AVERAGE(OFFSET($H$3,0,0,'Données projet'!$E$12+1,1))</f>
        <v>367.39143258674738</v>
      </c>
      <c r="CE15" s="59">
        <f t="shared" si="40"/>
        <v>376.02790658970292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9.8000000000000007</v>
      </c>
      <c r="CT15" s="12">
        <f>IF('Données projet'!$A$140&gt;35,CT14+CS15-DB14,IF(A15&lt;'Données projet'!$A$140,$CQ$205^A15,IF(A15='Données projet'!$A$140,'Données projet'!$B$140,CT14+CS15-DB14)))</f>
        <v>23.733054843014092</v>
      </c>
      <c r="CU15" s="17">
        <f>CT15*VLOOKUP('Données projet'!$B$13,Paramètres!$A$1:$I$89,3,0)*VLOOKUP('Données projet'!$B$13,Paramètres!$A$1:$I$89,5,0)</f>
        <v>10.490010240612229</v>
      </c>
      <c r="CV15" s="13">
        <f t="shared" si="41"/>
        <v>3.6771357305535495</v>
      </c>
      <c r="CW15" s="20">
        <f t="shared" si="13"/>
        <v>24.674445899780395</v>
      </c>
      <c r="CX15" s="59">
        <f t="shared" si="14"/>
        <v>296.00777923311369</v>
      </c>
      <c r="CY15" s="59">
        <f ca="1">AVERAGE(OFFSET($CX$3,0,0,'Données projet'!$E$13+1,1))-AVERAGE(OFFSET($H$3,0,0,'Données projet'!$E$13+1,1))</f>
        <v>500.13646131618248</v>
      </c>
      <c r="CZ15" s="59">
        <f t="shared" si="42"/>
        <v>417.58036817539306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292.0842636185788</v>
      </c>
      <c r="S16" s="59">
        <f ca="1">AVERAGE(OFFSET($R$3,0,0,'Données projet'!$E$9+1,1))-AVERAGE(OFFSET($H$3,0,0,'Données projet'!$E$9+1,1))</f>
        <v>371.7282125501186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3.2666666666666666</v>
      </c>
      <c r="AI16" s="13">
        <f>IF('Données projet'!$A$62&gt;35,AI15+AH16-AQ15,IF(A16&lt;'Données projet'!$A$62,$AF$205^A16,IF(A16='Données projet'!$A$62,'Données projet'!$B$62,AI15+AH16-AQ15)))</f>
        <v>29.163295787873999</v>
      </c>
      <c r="AJ16" s="13">
        <f>AI16*VLOOKUP('Données projet'!$B$10,Paramètres!$A$1:$I$89,3,0)*VLOOKUP('Données projet'!$B$10,Paramètres!$A$1:$I$89,5,0)</f>
        <v>19.562738814505877</v>
      </c>
      <c r="AK16" s="13">
        <f t="shared" si="35"/>
        <v>6.3776298464332308</v>
      </c>
      <c r="AL16" s="20">
        <f t="shared" si="4"/>
        <v>45.179475417802273</v>
      </c>
      <c r="AM16" s="59">
        <f t="shared" si="5"/>
        <v>317.73503097335782</v>
      </c>
      <c r="AN16" s="59">
        <f ca="1">AVERAGE(OFFSET($AM$3,0,0,'Données projet'!$E$10+1,1))-AVERAGE(OFFSET($H$3,0,0,'Données projet'!$E$10+1,1))</f>
        <v>269.67260882504996</v>
      </c>
      <c r="AO16" s="59">
        <f t="shared" si="36"/>
        <v>272.13858200810074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10.214285714285714</v>
      </c>
      <c r="BD16" s="12">
        <f>IF('Données projet'!$A$88&gt;35,BD15+BC16-BL15,IF(A16&lt;'Données projet'!$A$88,$BA$205^A16,IF(A16='Données projet'!$A$88,'Données projet'!$B$88,BD15+BC16-BL15)))</f>
        <v>13.818333125789884</v>
      </c>
      <c r="BE16" s="13">
        <f>BD16*VLOOKUP('Données projet'!$B$11,Paramètres!$A$1:$I$89,3,0)*VLOOKUP('Données projet'!$B$11,Paramètres!$A$1:$I$89,5,0)</f>
        <v>7.7244482173165459</v>
      </c>
      <c r="BF16" s="13">
        <f t="shared" si="37"/>
        <v>2.8058972145622572</v>
      </c>
      <c r="BG16" s="20">
        <f t="shared" si="7"/>
        <v>18.340351627188916</v>
      </c>
      <c r="BH16" s="59">
        <f t="shared" si="8"/>
        <v>290.89590718274445</v>
      </c>
      <c r="BI16" s="59">
        <f ca="1">AVERAGE(OFFSET($BH$3,0,0,'Données projet'!$E$11+1,1))-AVERAGE(OFFSET($H$3,0,0,'Données projet'!$E$11+1,1))</f>
        <v>330.33728077846268</v>
      </c>
      <c r="BJ16" s="59">
        <f t="shared" si="38"/>
        <v>358.38872754175208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</v>
      </c>
      <c r="BY16" s="12">
        <f>IF('Données projet'!$A$114&gt;35,BY15+BX16-CG15,IF(A16&lt;'Données projet'!$A$114,$BV$205^A16,IF(A16='Données projet'!$A$114,'Données projet'!$B$114,BY15+BX16-CG15)))</f>
        <v>33.247439793866675</v>
      </c>
      <c r="BZ16" s="13">
        <f>BY16*VLOOKUP('Données projet'!$B$12,Paramètres!$A$1:$I$89,3,0)*VLOOKUP('Données projet'!$B$12,Paramètres!$A$1:$I$89,5,0)</f>
        <v>31.638263707843524</v>
      </c>
      <c r="CA16" s="13">
        <f t="shared" si="39"/>
        <v>9.7530388685001963</v>
      </c>
      <c r="CB16" s="20">
        <f t="shared" si="10"/>
        <v>72.089851987131979</v>
      </c>
      <c r="CC16" s="59">
        <f t="shared" si="11"/>
        <v>344.64540754268751</v>
      </c>
      <c r="CD16" s="59">
        <f ca="1">AVERAGE(OFFSET($CC$3,0,0,'Données projet'!$E$12+1,1))-AVERAGE(OFFSET($H$3,0,0,'Données projet'!$E$12+1,1))</f>
        <v>367.39143258674738</v>
      </c>
      <c r="CE16" s="59">
        <f t="shared" si="40"/>
        <v>376.02790658970292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9.8000000000000007</v>
      </c>
      <c r="CT16" s="12">
        <f>IF('Données projet'!$A$140&gt;35,CT15+CS16-DB15,IF(A16&lt;'Données projet'!$A$140,$CQ$205^A16,IF(A16='Données projet'!$A$140,'Données projet'!$B$140,CT15+CS16-DB15)))</f>
        <v>30.900566853219942</v>
      </c>
      <c r="CU16" s="17">
        <f>CT16*VLOOKUP('Données projet'!$B$13,Paramètres!$A$1:$I$89,3,0)*VLOOKUP('Données projet'!$B$13,Paramètres!$A$1:$I$89,5,0)</f>
        <v>13.658050549123216</v>
      </c>
      <c r="CV16" s="13">
        <f t="shared" si="41"/>
        <v>4.6428166591640343</v>
      </c>
      <c r="CW16" s="20">
        <f t="shared" si="13"/>
        <v>31.874010387766962</v>
      </c>
      <c r="CX16" s="59">
        <f t="shared" si="14"/>
        <v>304.42956594332253</v>
      </c>
      <c r="CY16" s="59">
        <f ca="1">AVERAGE(OFFSET($CX$3,0,0,'Données projet'!$E$13+1,1))-AVERAGE(OFFSET($H$3,0,0,'Données projet'!$E$13+1,1))</f>
        <v>500.13646131618248</v>
      </c>
      <c r="CZ16" s="59">
        <f t="shared" si="42"/>
        <v>417.58036817539306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296.80372417751374</v>
      </c>
      <c r="S17" s="59">
        <f ca="1">AVERAGE(OFFSET($R$3,0,0,'Données projet'!$E$9+1,1))-AVERAGE(OFFSET($H$3,0,0,'Données projet'!$E$9+1,1))</f>
        <v>371.7282125501186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3.2666666666666666</v>
      </c>
      <c r="AI17" s="13">
        <f>IF('Données projet'!$A$62&gt;35,AI16+AH17-AQ16,IF(A17&lt;'Données projet'!$A$62,$AF$205^A17,IF(A17='Données projet'!$A$62,'Données projet'!$B$62,AI16+AH17-AQ16)))</f>
        <v>37.802136098451172</v>
      </c>
      <c r="AJ17" s="13">
        <f>AI17*VLOOKUP('Données projet'!$B$10,Paramètres!$A$1:$I$89,3,0)*VLOOKUP('Données projet'!$B$10,Paramètres!$A$1:$I$89,5,0)</f>
        <v>25.357672894841045</v>
      </c>
      <c r="AK17" s="13">
        <f t="shared" si="35"/>
        <v>8.0209004564203745</v>
      </c>
      <c r="AL17" s="20">
        <f t="shared" si="4"/>
        <v>58.134348586780305</v>
      </c>
      <c r="AM17" s="59">
        <f t="shared" si="5"/>
        <v>331.91212636455805</v>
      </c>
      <c r="AN17" s="59">
        <f ca="1">AVERAGE(OFFSET($AM$3,0,0,'Données projet'!$E$10+1,1))-AVERAGE(OFFSET($H$3,0,0,'Données projet'!$E$10+1,1))</f>
        <v>269.67260882504996</v>
      </c>
      <c r="AO17" s="59">
        <f t="shared" si="36"/>
        <v>272.13858200810074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10.214285714285714</v>
      </c>
      <c r="BD17" s="12">
        <f>IF('Données projet'!$A$88&gt;35,BD16+BC17-BL16,IF(A17&lt;'Données projet'!$A$88,$BA$205^A17,IF(A17='Données projet'!$A$88,'Données projet'!$B$88,BD16+BC17-BL16)))</f>
        <v>16.911534525287752</v>
      </c>
      <c r="BE17" s="13">
        <f>BD17*VLOOKUP('Données projet'!$B$11,Paramètres!$A$1:$I$89,3,0)*VLOOKUP('Données projet'!$B$11,Paramètres!$A$1:$I$89,5,0)</f>
        <v>9.4535477996358548</v>
      </c>
      <c r="BF17" s="13">
        <f t="shared" si="37"/>
        <v>3.3541899376701796</v>
      </c>
      <c r="BG17" s="20">
        <f t="shared" si="7"/>
        <v>22.306809892474675</v>
      </c>
      <c r="BH17" s="59">
        <f t="shared" si="8"/>
        <v>296.08458767025246</v>
      </c>
      <c r="BI17" s="59">
        <f ca="1">AVERAGE(OFFSET($BH$3,0,0,'Données projet'!$E$11+1,1))-AVERAGE(OFFSET($H$3,0,0,'Données projet'!$E$11+1,1))</f>
        <v>330.33728077846268</v>
      </c>
      <c r="BJ17" s="59">
        <f t="shared" si="38"/>
        <v>358.38872754175208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</v>
      </c>
      <c r="BY17" s="12">
        <f>IF('Données projet'!$A$114&gt;35,BY16+BX17-CG16,IF(A17&lt;'Données projet'!$A$114,$BV$205^A17,IF(A17='Données projet'!$A$114,'Données projet'!$B$114,BY16+BX17-CG16)))</f>
        <v>43.532793021472941</v>
      </c>
      <c r="BZ17" s="13">
        <f>BY17*VLOOKUP('Données projet'!$B$12,Paramètres!$A$1:$I$89,3,0)*VLOOKUP('Données projet'!$B$12,Paramètres!$A$1:$I$89,5,0)</f>
        <v>41.425805839233647</v>
      </c>
      <c r="CA17" s="13">
        <f t="shared" si="39"/>
        <v>12.375783116811515</v>
      </c>
      <c r="CB17" s="20">
        <f t="shared" si="10"/>
        <v>93.704434098445333</v>
      </c>
      <c r="CC17" s="59">
        <f t="shared" si="11"/>
        <v>367.48221187622312</v>
      </c>
      <c r="CD17" s="59">
        <f ca="1">AVERAGE(OFFSET($CC$3,0,0,'Données projet'!$E$12+1,1))-AVERAGE(OFFSET($H$3,0,0,'Données projet'!$E$12+1,1))</f>
        <v>367.39143258674738</v>
      </c>
      <c r="CE17" s="59">
        <f t="shared" si="40"/>
        <v>376.02790658970292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9.8000000000000007</v>
      </c>
      <c r="CT17" s="12">
        <f>IF('Données projet'!$A$140&gt;35,CT16+CS17-DB16,IF(A17&lt;'Données projet'!$A$140,$CQ$205^A17,IF(A17='Données projet'!$A$140,'Données projet'!$B$140,CT16+CS17-DB16)))</f>
        <v>40.23270658439391</v>
      </c>
      <c r="CU17" s="17">
        <f>CT17*VLOOKUP('Données projet'!$B$13,Paramètres!$A$1:$I$89,3,0)*VLOOKUP('Données projet'!$B$13,Paramètres!$A$1:$I$89,5,0)</f>
        <v>17.782856310302108</v>
      </c>
      <c r="CV17" s="13">
        <f t="shared" si="41"/>
        <v>5.8621024923021032</v>
      </c>
      <c r="CW17" s="20">
        <f t="shared" si="13"/>
        <v>41.181636581202334</v>
      </c>
      <c r="CX17" s="59">
        <f t="shared" si="14"/>
        <v>314.9594143589801</v>
      </c>
      <c r="CY17" s="59">
        <f ca="1">AVERAGE(OFFSET($CX$3,0,0,'Données projet'!$E$13+1,1))-AVERAGE(OFFSET($H$3,0,0,'Données projet'!$E$13+1,1))</f>
        <v>500.13646131618248</v>
      </c>
      <c r="CZ17" s="59">
        <f t="shared" si="42"/>
        <v>417.58036817539306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302.15152669905046</v>
      </c>
      <c r="S18" s="59">
        <f ca="1">AVERAGE(OFFSET($R$3,0,0,'Données projet'!$E$9+1,1))-AVERAGE(OFFSET($H$3,0,0,'Données projet'!$E$9+1,1))</f>
        <v>371.7282125501186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49</v>
      </c>
      <c r="AG18" s="12">
        <f>VLOOKUP(A18,'Données projet'!$A$61:$I$81,9,0)</f>
        <v>3.2666666666666666</v>
      </c>
      <c r="AH18" s="12">
        <f t="array" ref="AH18">INDEX(AG:AG,MIN(IF(ISNUMBER(AG18:AG214),ROW(AG18:AG214),"")))</f>
        <v>3.2666666666666666</v>
      </c>
      <c r="AI18" s="13">
        <f>IF('Données projet'!$A$62&gt;35,AI17+AH18-AQ17,IF(A18&lt;'Données projet'!$A$62,$AF$205^A18,IF(A18='Données projet'!$A$62,'Données projet'!$B$62,AI17+AH18-AQ17)))</f>
        <v>49</v>
      </c>
      <c r="AJ18" s="13">
        <f>AI18*VLOOKUP('Données projet'!$B$10,Paramètres!$A$1:$I$89,3,0)*VLOOKUP('Données projet'!$B$10,Paramètres!$A$1:$I$89,5,0)</f>
        <v>32.869199999999999</v>
      </c>
      <c r="AK18" s="13">
        <f t="shared" si="35"/>
        <v>10.087578878191662</v>
      </c>
      <c r="AL18" s="20">
        <f t="shared" si="4"/>
        <v>74.816389879517146</v>
      </c>
      <c r="AM18" s="59">
        <f t="shared" si="5"/>
        <v>349.81638987951715</v>
      </c>
      <c r="AN18" s="59">
        <f ca="1">AVERAGE(OFFSET($AM$3,0,0,'Données projet'!$E$10+1,1))-AVERAGE(OFFSET($H$3,0,0,'Données projet'!$E$10+1,1))</f>
        <v>269.67260882504996</v>
      </c>
      <c r="AO18" s="59">
        <f t="shared" si="36"/>
        <v>272.13858200810074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11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10.214285714285714</v>
      </c>
      <c r="BD18" s="12">
        <f>IF('Données projet'!$A$88&gt;35,BD17+BC18-BL17,IF(A18&lt;'Données projet'!$A$88,$BA$205^A18,IF(A18='Données projet'!$A$88,'Données projet'!$B$88,BD17+BC18-BL17)))</f>
        <v>20.697141789571042</v>
      </c>
      <c r="BE18" s="13">
        <f>BD18*VLOOKUP('Données projet'!$B$11,Paramètres!$A$1:$I$89,3,0)*VLOOKUP('Données projet'!$B$11,Paramètres!$A$1:$I$89,5,0)</f>
        <v>11.569702260370212</v>
      </c>
      <c r="BF18" s="13">
        <f t="shared" si="37"/>
        <v>4.0096230466243439</v>
      </c>
      <c r="BG18" s="20">
        <f t="shared" si="7"/>
        <v>27.133991576348848</v>
      </c>
      <c r="BH18" s="59">
        <f t="shared" si="8"/>
        <v>302.13399157634888</v>
      </c>
      <c r="BI18" s="59">
        <f ca="1">AVERAGE(OFFSET($BH$3,0,0,'Données projet'!$E$11+1,1))-AVERAGE(OFFSET($H$3,0,0,'Données projet'!$E$11+1,1))</f>
        <v>330.33728077846268</v>
      </c>
      <c r="BJ18" s="59">
        <f t="shared" si="38"/>
        <v>358.38872754175208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57</v>
      </c>
      <c r="BW18" s="12">
        <f>VLOOKUP(A18,'Données projet'!$A$113:$I$133,9,0)</f>
        <v>3.8</v>
      </c>
      <c r="BX18" s="12">
        <f t="array" ref="BX18">INDEX(BW:BW,MIN(IF(ISNUMBER(BW18:BW214),ROW(BW18:BW214),"")))</f>
        <v>3.8</v>
      </c>
      <c r="BY18" s="12">
        <f>IF('Données projet'!$A$114&gt;35,BY17+BX18-CG17,IF(A18&lt;'Données projet'!$A$114,$BV$205^A18,IF(A18='Données projet'!$A$114,'Données projet'!$B$114,BY17+BX18-CG17)))</f>
        <v>57</v>
      </c>
      <c r="BZ18" s="13">
        <f>BY18*VLOOKUP('Données projet'!$B$12,Paramètres!$A$1:$I$89,3,0)*VLOOKUP('Données projet'!$B$12,Paramètres!$A$1:$I$89,5,0)</f>
        <v>54.241199999999999</v>
      </c>
      <c r="CA18" s="13">
        <f t="shared" si="39"/>
        <v>15.703824194633755</v>
      </c>
      <c r="CB18" s="20">
        <f t="shared" si="10"/>
        <v>121.82091713898713</v>
      </c>
      <c r="CC18" s="59">
        <f t="shared" si="11"/>
        <v>396.82091713898711</v>
      </c>
      <c r="CD18" s="59">
        <f ca="1">AVERAGE(OFFSET($CC$3,0,0,'Données projet'!$E$12+1,1))-AVERAGE(OFFSET($H$3,0,0,'Données projet'!$E$12+1,1))</f>
        <v>367.39143258674738</v>
      </c>
      <c r="CE18" s="59">
        <f t="shared" si="40"/>
        <v>376.02790658970292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11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9.8000000000000007</v>
      </c>
      <c r="CT18" s="12">
        <f>IF('Données projet'!$A$140&gt;35,CT17+CS18-DB17,IF(A18&lt;'Données projet'!$A$140,$CQ$205^A18,IF(A18='Données projet'!$A$140,'Données projet'!$B$140,CT17+CS18-DB17)))</f>
        <v>52.383203414835172</v>
      </c>
      <c r="CU18" s="17">
        <f>CT18*VLOOKUP('Données projet'!$B$13,Paramètres!$A$1:$I$89,3,0)*VLOOKUP('Données projet'!$B$13,Paramètres!$A$1:$I$89,5,0)</f>
        <v>23.153375909357152</v>
      </c>
      <c r="CV18" s="13">
        <f t="shared" si="41"/>
        <v>7.4015943667355621</v>
      </c>
      <c r="CW18" s="20">
        <f t="shared" si="13"/>
        <v>53.216573230861478</v>
      </c>
      <c r="CX18" s="59">
        <f t="shared" si="14"/>
        <v>328.21657323086146</v>
      </c>
      <c r="CY18" s="59">
        <f ca="1">AVERAGE(OFFSET($CX$3,0,0,'Données projet'!$E$13+1,1))-AVERAGE(OFFSET($H$3,0,0,'Données projet'!$E$13+1,1))</f>
        <v>500.13646131618248</v>
      </c>
      <c r="CZ18" s="59">
        <f t="shared" si="42"/>
        <v>417.58036817539306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308.24090767423354</v>
      </c>
      <c r="S19" s="59">
        <f ca="1">AVERAGE(OFFSET($R$3,0,0,'Données projet'!$E$9+1,1))-AVERAGE(OFFSET($H$3,0,0,'Données projet'!$E$9+1,1))</f>
        <v>371.7282125501186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9.8000000000000007</v>
      </c>
      <c r="AI19" s="13">
        <f>IF('Données projet'!$A$62&gt;35,AI18+AH19-AQ18,IF(A19&lt;'Données projet'!$A$62,$AF$205^A19,IF(A19='Données projet'!$A$62,'Données projet'!$B$62,AI18+AH19-AQ18)))</f>
        <v>47.8</v>
      </c>
      <c r="AJ19" s="13">
        <f>AI19*VLOOKUP('Données projet'!$B$10,Paramètres!$A$1:$I$89,3,0)*VLOOKUP('Données projet'!$B$10,Paramètres!$A$1:$I$89,5,0)</f>
        <v>32.064239999999998</v>
      </c>
      <c r="AK19" s="13">
        <f t="shared" si="35"/>
        <v>9.8689779075222184</v>
      </c>
      <c r="AL19" s="20">
        <f t="shared" si="4"/>
        <v>73.033687855601201</v>
      </c>
      <c r="AM19" s="59">
        <f t="shared" si="5"/>
        <v>349.25591007782344</v>
      </c>
      <c r="AN19" s="59">
        <f ca="1">AVERAGE(OFFSET($AM$3,0,0,'Données projet'!$E$10+1,1))-AVERAGE(OFFSET($H$3,0,0,'Données projet'!$E$10+1,1))</f>
        <v>269.67260882504996</v>
      </c>
      <c r="AO19" s="59">
        <f t="shared" si="36"/>
        <v>272.13858200810074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10.214285714285714</v>
      </c>
      <c r="BD19" s="12">
        <f>IF('Données projet'!$A$88&gt;35,BD18+BC19-BL18,IF(A19&lt;'Données projet'!$A$88,$BA$205^A19,IF(A19='Données projet'!$A$88,'Données projet'!$B$88,BD18+BC19-BL18)))</f>
        <v>25.330148344437067</v>
      </c>
      <c r="BE19" s="13">
        <f>BD19*VLOOKUP('Données projet'!$B$11,Paramètres!$A$1:$I$89,3,0)*VLOOKUP('Données projet'!$B$11,Paramètres!$A$1:$I$89,5,0)</f>
        <v>14.159552924540321</v>
      </c>
      <c r="BF19" s="13">
        <f t="shared" si="37"/>
        <v>4.7931325520546464</v>
      </c>
      <c r="BG19" s="20">
        <f t="shared" si="7"/>
        <v>33.009260538402906</v>
      </c>
      <c r="BH19" s="59">
        <f t="shared" si="8"/>
        <v>309.23148276062511</v>
      </c>
      <c r="BI19" s="59">
        <f ca="1">AVERAGE(OFFSET($BH$3,0,0,'Données projet'!$E$11+1,1))-AVERAGE(OFFSET($H$3,0,0,'Données projet'!$E$11+1,1))</f>
        <v>330.33728077846268</v>
      </c>
      <c r="BJ19" s="59">
        <f t="shared" si="38"/>
        <v>358.38872754175208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9.8000000000000007</v>
      </c>
      <c r="BY19" s="12">
        <f>IF('Données projet'!$A$114&gt;35,BY18+BX19-CG18,IF(A19&lt;'Données projet'!$A$114,$BV$205^A19,IF(A19='Données projet'!$A$114,'Données projet'!$B$114,BY18+BX19-CG18)))</f>
        <v>55.8</v>
      </c>
      <c r="BZ19" s="13">
        <f>BY19*VLOOKUP('Données projet'!$B$12,Paramètres!$A$1:$I$89,3,0)*VLOOKUP('Données projet'!$B$12,Paramètres!$A$1:$I$89,5,0)</f>
        <v>53.099279999999993</v>
      </c>
      <c r="CA19" s="13">
        <f t="shared" si="39"/>
        <v>15.411339239117453</v>
      </c>
      <c r="CB19" s="20">
        <f t="shared" si="10"/>
        <v>119.32266184146289</v>
      </c>
      <c r="CC19" s="59">
        <f t="shared" si="11"/>
        <v>395.54488406368512</v>
      </c>
      <c r="CD19" s="59">
        <f ca="1">AVERAGE(OFFSET($CC$3,0,0,'Données projet'!$E$12+1,1))-AVERAGE(OFFSET($H$3,0,0,'Données projet'!$E$12+1,1))</f>
        <v>367.39143258674738</v>
      </c>
      <c r="CE19" s="59">
        <f t="shared" si="40"/>
        <v>376.02790658970292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9.8000000000000007</v>
      </c>
      <c r="CT19" s="12">
        <f>IF('Données projet'!$A$140&gt;35,CT18+CS19-DB18,IF(A19&lt;'Données projet'!$A$140,$CQ$205^A19,IF(A19='Données projet'!$A$140,'Données projet'!$B$140,CT18+CS19-DB18)))</f>
        <v>68.203216560736777</v>
      </c>
      <c r="CU19" s="17">
        <f>CT19*VLOOKUP('Données projet'!$B$13,Paramètres!$A$1:$I$89,3,0)*VLOOKUP('Données projet'!$B$13,Paramètres!$A$1:$I$89,5,0)</f>
        <v>30.14582171984566</v>
      </c>
      <c r="CV19" s="13">
        <f t="shared" si="41"/>
        <v>9.3453840565959734</v>
      </c>
      <c r="CW19" s="20">
        <f t="shared" si="13"/>
        <v>68.780516727302498</v>
      </c>
      <c r="CX19" s="59">
        <f t="shared" si="14"/>
        <v>345.00273894952471</v>
      </c>
      <c r="CY19" s="59">
        <f ca="1">AVERAGE(OFFSET($CX$3,0,0,'Données projet'!$E$13+1,1))-AVERAGE(OFFSET($H$3,0,0,'Données projet'!$E$13+1,1))</f>
        <v>500.13646131618248</v>
      </c>
      <c r="CZ19" s="59">
        <f t="shared" si="42"/>
        <v>417.58036817539306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315.20556786121267</v>
      </c>
      <c r="S20" s="59">
        <f ca="1">AVERAGE(OFFSET($R$3,0,0,'Données projet'!$E$9+1,1))-AVERAGE(OFFSET($H$3,0,0,'Données projet'!$E$9+1,1))</f>
        <v>371.7282125501186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9.8000000000000007</v>
      </c>
      <c r="AI20" s="13">
        <f>IF('Données projet'!$A$62&gt;35,AI19+AH20-AQ19,IF(A20&lt;'Données projet'!$A$62,$AF$205^A20,IF(A20='Données projet'!$A$62,'Données projet'!$B$62,AI19+AH20-AQ19)))</f>
        <v>57.599999999999994</v>
      </c>
      <c r="AJ20" s="13">
        <f>AI20*VLOOKUP('Données projet'!$B$10,Paramètres!$A$1:$I$89,3,0)*VLOOKUP('Données projet'!$B$10,Paramètres!$A$1:$I$89,5,0)</f>
        <v>38.638079999999995</v>
      </c>
      <c r="AK20" s="13">
        <f t="shared" si="35"/>
        <v>11.636945320772135</v>
      </c>
      <c r="AL20" s="20">
        <f t="shared" si="4"/>
        <v>87.562335767011447</v>
      </c>
      <c r="AM20" s="59">
        <f t="shared" si="5"/>
        <v>365.00678021145592</v>
      </c>
      <c r="AN20" s="59">
        <f ca="1">AVERAGE(OFFSET($AM$3,0,0,'Données projet'!$E$10+1,1))-AVERAGE(OFFSET($H$3,0,0,'Données projet'!$E$10+1,1))</f>
        <v>269.67260882504996</v>
      </c>
      <c r="AO20" s="59">
        <f t="shared" si="36"/>
        <v>272.13858200810074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10.214285714285714</v>
      </c>
      <c r="BD20" s="12">
        <f>IF('Données projet'!$A$88&gt;35,BD19+BC20-BL19,IF(A20&lt;'Données projet'!$A$88,$BA$205^A20,IF(A20='Données projet'!$A$88,'Données projet'!$B$88,BD19+BC20-BL19)))</f>
        <v>31.000242529839952</v>
      </c>
      <c r="BE20" s="13">
        <f>BD20*VLOOKUP('Données projet'!$B$11,Paramètres!$A$1:$I$89,3,0)*VLOOKUP('Données projet'!$B$11,Paramètres!$A$1:$I$89,5,0)</f>
        <v>17.329135574180533</v>
      </c>
      <c r="BF20" s="13">
        <f t="shared" si="37"/>
        <v>5.7297455133363577</v>
      </c>
      <c r="BG20" s="20">
        <f t="shared" si="7"/>
        <v>40.160884560758582</v>
      </c>
      <c r="BH20" s="59">
        <f t="shared" si="8"/>
        <v>317.60532900520303</v>
      </c>
      <c r="BI20" s="59">
        <f ca="1">AVERAGE(OFFSET($BH$3,0,0,'Données projet'!$E$11+1,1))-AVERAGE(OFFSET($H$3,0,0,'Données projet'!$E$11+1,1))</f>
        <v>330.33728077846268</v>
      </c>
      <c r="BJ20" s="59">
        <f t="shared" si="38"/>
        <v>358.38872754175208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9.8000000000000007</v>
      </c>
      <c r="BY20" s="12">
        <f>IF('Données projet'!$A$114&gt;35,BY19+BX20-CG19,IF(A20&lt;'Données projet'!$A$114,$BV$205^A20,IF(A20='Données projet'!$A$114,'Données projet'!$B$114,BY19+BX20-CG19)))</f>
        <v>65.599999999999994</v>
      </c>
      <c r="BZ20" s="13">
        <f>BY20*VLOOKUP('Données projet'!$B$12,Paramètres!$A$1:$I$89,3,0)*VLOOKUP('Données projet'!$B$12,Paramètres!$A$1:$I$89,5,0)</f>
        <v>62.424959999999999</v>
      </c>
      <c r="CA20" s="13">
        <f t="shared" si="39"/>
        <v>17.779954066616561</v>
      </c>
      <c r="CB20" s="20">
        <f t="shared" si="10"/>
        <v>139.69022533269052</v>
      </c>
      <c r="CC20" s="59">
        <f t="shared" si="11"/>
        <v>417.13466977713495</v>
      </c>
      <c r="CD20" s="59">
        <f ca="1">AVERAGE(OFFSET($CC$3,0,0,'Données projet'!$E$12+1,1))-AVERAGE(OFFSET($H$3,0,0,'Données projet'!$E$12+1,1))</f>
        <v>367.39143258674738</v>
      </c>
      <c r="CE20" s="59">
        <f t="shared" si="40"/>
        <v>376.02790658970292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9.8000000000000007</v>
      </c>
      <c r="CT20" s="12">
        <f>IF('Données projet'!$A$140&gt;35,CT19+CS20-DB19,IF(A20&lt;'Données projet'!$A$140,$CQ$205^A20,IF(A20='Données projet'!$A$140,'Données projet'!$B$140,CT19+CS20-DB19)))</f>
        <v>88.800959964074721</v>
      </c>
      <c r="CU20" s="17">
        <f>CT20*VLOOKUP('Données projet'!$B$13,Paramètres!$A$1:$I$89,3,0)*VLOOKUP('Données projet'!$B$13,Paramètres!$A$1:$I$89,5,0)</f>
        <v>39.250024304121027</v>
      </c>
      <c r="CV20" s="13">
        <f t="shared" si="41"/>
        <v>11.799647324336879</v>
      </c>
      <c r="CW20" s="20">
        <f t="shared" si="13"/>
        <v>88.911511419564192</v>
      </c>
      <c r="CX20" s="59">
        <f t="shared" si="14"/>
        <v>366.35595586400865</v>
      </c>
      <c r="CY20" s="59">
        <f ca="1">AVERAGE(OFFSET($CX$3,0,0,'Données projet'!$E$13+1,1))-AVERAGE(OFFSET($H$3,0,0,'Données projet'!$E$13+1,1))</f>
        <v>500.13646131618248</v>
      </c>
      <c r="CZ20" s="59">
        <f t="shared" si="42"/>
        <v>417.58036817539306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323.20338017372916</v>
      </c>
      <c r="S21" s="59">
        <f ca="1">AVERAGE(OFFSET($R$3,0,0,'Données projet'!$E$9+1,1))-AVERAGE(OFFSET($H$3,0,0,'Données projet'!$E$9+1,1))</f>
        <v>371.7282125501186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9.8000000000000007</v>
      </c>
      <c r="AI21" s="13">
        <f>IF('Données projet'!$A$62&gt;35,AI20+AH21-AQ20,IF(A21&lt;'Données projet'!$A$62,$AF$205^A21,IF(A21='Données projet'!$A$62,'Données projet'!$B$62,AI20+AH21-AQ20)))</f>
        <v>67.399999999999991</v>
      </c>
      <c r="AJ21" s="13">
        <f>AI21*VLOOKUP('Données projet'!$B$10,Paramètres!$A$1:$I$89,3,0)*VLOOKUP('Données projet'!$B$10,Paramètres!$A$1:$I$89,5,0)</f>
        <v>45.211919999999992</v>
      </c>
      <c r="AK21" s="13">
        <f t="shared" si="35"/>
        <v>13.370066639897306</v>
      </c>
      <c r="AL21" s="20">
        <f t="shared" si="4"/>
        <v>102.03029339782113</v>
      </c>
      <c r="AM21" s="59">
        <f t="shared" si="5"/>
        <v>380.69696006448783</v>
      </c>
      <c r="AN21" s="59">
        <f ca="1">AVERAGE(OFFSET($AM$3,0,0,'Données projet'!$E$10+1,1))-AVERAGE(OFFSET($H$3,0,0,'Données projet'!$E$10+1,1))</f>
        <v>269.67260882504996</v>
      </c>
      <c r="AO21" s="59">
        <f t="shared" si="36"/>
        <v>272.13858200810074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10.214285714285714</v>
      </c>
      <c r="BD21" s="12">
        <f>IF('Données projet'!$A$88&gt;35,BD20+BC21-BL20,IF(A21&lt;'Données projet'!$A$88,$BA$205^A21,IF(A21='Données projet'!$A$88,'Données projet'!$B$88,BD20+BC21-BL20)))</f>
        <v>37.939573974897513</v>
      </c>
      <c r="BE21" s="13">
        <f>BD21*VLOOKUP('Données projet'!$B$11,Paramètres!$A$1:$I$89,3,0)*VLOOKUP('Données projet'!$B$11,Paramètres!$A$1:$I$89,5,0)</f>
        <v>21.208221851967711</v>
      </c>
      <c r="BF21" s="13">
        <f t="shared" si="37"/>
        <v>6.8493794592692963</v>
      </c>
      <c r="BG21" s="20">
        <f t="shared" si="7"/>
        <v>48.866988950404448</v>
      </c>
      <c r="BH21" s="59">
        <f t="shared" si="8"/>
        <v>327.53365561707113</v>
      </c>
      <c r="BI21" s="59">
        <f ca="1">AVERAGE(OFFSET($BH$3,0,0,'Données projet'!$E$11+1,1))-AVERAGE(OFFSET($H$3,0,0,'Données projet'!$E$11+1,1))</f>
        <v>330.33728077846268</v>
      </c>
      <c r="BJ21" s="59">
        <f t="shared" si="38"/>
        <v>358.38872754175208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9.8000000000000007</v>
      </c>
      <c r="BY21" s="12">
        <f>IF('Données projet'!$A$114&gt;35,BY20+BX21-CG20,IF(A21&lt;'Données projet'!$A$114,$BV$205^A21,IF(A21='Données projet'!$A$114,'Données projet'!$B$114,BY20+BX21-CG20)))</f>
        <v>75.399999999999991</v>
      </c>
      <c r="BZ21" s="13">
        <f>BY21*VLOOKUP('Données projet'!$B$12,Paramètres!$A$1:$I$89,3,0)*VLOOKUP('Données projet'!$B$12,Paramètres!$A$1:$I$89,5,0)</f>
        <v>71.75063999999999</v>
      </c>
      <c r="CA21" s="13">
        <f t="shared" si="39"/>
        <v>20.107576209927593</v>
      </c>
      <c r="CB21" s="20">
        <f t="shared" si="10"/>
        <v>159.98639323229054</v>
      </c>
      <c r="CC21" s="59">
        <f t="shared" si="11"/>
        <v>438.65305989895722</v>
      </c>
      <c r="CD21" s="59">
        <f ca="1">AVERAGE(OFFSET($CC$3,0,0,'Données projet'!$E$12+1,1))-AVERAGE(OFFSET($H$3,0,0,'Données projet'!$E$12+1,1))</f>
        <v>367.39143258674738</v>
      </c>
      <c r="CE21" s="59">
        <f t="shared" si="40"/>
        <v>376.02790658970292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9.8000000000000007</v>
      </c>
      <c r="CT21" s="12">
        <f>IF('Données projet'!$A$140&gt;35,CT20+CS21-DB20,IF(A21&lt;'Données projet'!$A$140,$CQ$205^A21,IF(A21='Données projet'!$A$140,'Données projet'!$B$140,CT20+CS21-DB20)))</f>
        <v>115.61933422185237</v>
      </c>
      <c r="CU21" s="17">
        <f>CT21*VLOOKUP('Données projet'!$B$13,Paramètres!$A$1:$I$89,3,0)*VLOOKUP('Données projet'!$B$13,Paramètres!$A$1:$I$89,5,0)</f>
        <v>51.103745726058754</v>
      </c>
      <c r="CV21" s="13">
        <f t="shared" si="41"/>
        <v>14.898443566956548</v>
      </c>
      <c r="CW21" s="20">
        <f t="shared" si="13"/>
        <v>114.95381301866831</v>
      </c>
      <c r="CX21" s="59">
        <f t="shared" si="14"/>
        <v>393.620479685335</v>
      </c>
      <c r="CY21" s="59">
        <f ca="1">AVERAGE(OFFSET($CX$3,0,0,'Données projet'!$E$13+1,1))-AVERAGE(OFFSET($H$3,0,0,'Données projet'!$E$13+1,1))</f>
        <v>500.13646131618248</v>
      </c>
      <c r="CZ21" s="59">
        <f t="shared" si="42"/>
        <v>417.58036817539306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332.42077098296102</v>
      </c>
      <c r="S22" s="59">
        <f ca="1">AVERAGE(OFFSET($R$3,0,0,'Données projet'!$E$9+1,1))-AVERAGE(OFFSET($H$3,0,0,'Données projet'!$E$9+1,1))</f>
        <v>371.7282125501186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9.8000000000000007</v>
      </c>
      <c r="AI22" s="13">
        <f>IF('Données projet'!$A$62&gt;35,AI21+AH22-AQ21,IF(A22&lt;'Données projet'!$A$62,$AF$205^A22,IF(A22='Données projet'!$A$62,'Données projet'!$B$62,AI21+AH22-AQ21)))</f>
        <v>77.199999999999989</v>
      </c>
      <c r="AJ22" s="13">
        <f>AI22*VLOOKUP('Données projet'!$B$10,Paramètres!$A$1:$I$89,3,0)*VLOOKUP('Données projet'!$B$10,Paramètres!$A$1:$I$89,5,0)</f>
        <v>51.785759999999996</v>
      </c>
      <c r="AK22" s="13">
        <f t="shared" si="35"/>
        <v>15.073993855317941</v>
      </c>
      <c r="AL22" s="20">
        <f t="shared" si="4"/>
        <v>116.44740463134538</v>
      </c>
      <c r="AM22" s="59">
        <f t="shared" si="5"/>
        <v>396.33629352023422</v>
      </c>
      <c r="AN22" s="59">
        <f ca="1">AVERAGE(OFFSET($AM$3,0,0,'Données projet'!$E$10+1,1))-AVERAGE(OFFSET($H$3,0,0,'Données projet'!$E$10+1,1))</f>
        <v>269.67260882504996</v>
      </c>
      <c r="AO22" s="59">
        <f t="shared" si="36"/>
        <v>272.13858200810074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10.214285714285714</v>
      </c>
      <c r="BD22" s="12">
        <f>IF('Données projet'!$A$88&gt;35,BD21+BC22-BL21,IF(A22&lt;'Données projet'!$A$88,$BA$205^A22,IF(A22='Données projet'!$A$88,'Données projet'!$B$88,BD21+BC22-BL21)))</f>
        <v>46.432258457693813</v>
      </c>
      <c r="BE22" s="13">
        <f>BD22*VLOOKUP('Données projet'!$B$11,Paramètres!$A$1:$I$89,3,0)*VLOOKUP('Données projet'!$B$11,Paramètres!$A$1:$I$89,5,0)</f>
        <v>25.955632477850841</v>
      </c>
      <c r="BF22" s="13">
        <f t="shared" si="37"/>
        <v>8.1877980213719361</v>
      </c>
      <c r="BG22" s="20">
        <f t="shared" si="7"/>
        <v>59.466474786146328</v>
      </c>
      <c r="BH22" s="59">
        <f t="shared" si="8"/>
        <v>339.35536367503516</v>
      </c>
      <c r="BI22" s="59">
        <f ca="1">AVERAGE(OFFSET($BH$3,0,0,'Données projet'!$E$11+1,1))-AVERAGE(OFFSET($H$3,0,0,'Données projet'!$E$11+1,1))</f>
        <v>330.33728077846268</v>
      </c>
      <c r="BJ22" s="59">
        <f t="shared" si="38"/>
        <v>358.38872754175208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9.8000000000000007</v>
      </c>
      <c r="BY22" s="12">
        <f>IF('Données projet'!$A$114&gt;35,BY21+BX22-CG21,IF(A22&lt;'Données projet'!$A$114,$BV$205^A22,IF(A22='Données projet'!$A$114,'Données projet'!$B$114,BY21+BX22-CG21)))</f>
        <v>85.199999999999989</v>
      </c>
      <c r="BZ22" s="13">
        <f>BY22*VLOOKUP('Données projet'!$B$12,Paramètres!$A$1:$I$89,3,0)*VLOOKUP('Données projet'!$B$12,Paramètres!$A$1:$I$89,5,0)</f>
        <v>81.076319999999996</v>
      </c>
      <c r="CA22" s="13">
        <f t="shared" si="39"/>
        <v>22.400144923695908</v>
      </c>
      <c r="CB22" s="20">
        <f t="shared" si="10"/>
        <v>180.22150974210368</v>
      </c>
      <c r="CC22" s="59">
        <f t="shared" si="11"/>
        <v>460.11039863099256</v>
      </c>
      <c r="CD22" s="59">
        <f ca="1">AVERAGE(OFFSET($CC$3,0,0,'Données projet'!$E$12+1,1))-AVERAGE(OFFSET($H$3,0,0,'Données projet'!$E$12+1,1))</f>
        <v>367.39143258674738</v>
      </c>
      <c r="CE22" s="59">
        <f t="shared" si="40"/>
        <v>376.02790658970292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9.8000000000000007</v>
      </c>
      <c r="CT22" s="12">
        <f>IF('Données projet'!$A$140&gt;35,CT21+CS22-DB21,IF(A22&lt;'Données projet'!$A$140,$CQ$205^A22,IF(A22='Données projet'!$A$140,'Données projet'!$B$140,CT21+CS22-DB21)))</f>
        <v>150.53700378140604</v>
      </c>
      <c r="CU22" s="17">
        <f>CT22*VLOOKUP('Données projet'!$B$13,Paramètres!$A$1:$I$89,3,0)*VLOOKUP('Données projet'!$B$13,Paramètres!$A$1:$I$89,5,0)</f>
        <v>66.537355671381476</v>
      </c>
      <c r="CV22" s="13">
        <f t="shared" si="41"/>
        <v>18.81103855197323</v>
      </c>
      <c r="CW22" s="20">
        <f t="shared" si="13"/>
        <v>148.64845327234278</v>
      </c>
      <c r="CX22" s="59">
        <f t="shared" si="14"/>
        <v>428.53734216123166</v>
      </c>
      <c r="CY22" s="59">
        <f ca="1">AVERAGE(OFFSET($CX$3,0,0,'Données projet'!$E$13+1,1))-AVERAGE(OFFSET($H$3,0,0,'Données projet'!$E$13+1,1))</f>
        <v>500.13646131618248</v>
      </c>
      <c r="CZ22" s="59">
        <f t="shared" si="42"/>
        <v>417.58036817539306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343.07789739847863</v>
      </c>
      <c r="S23" s="59">
        <f ca="1">AVERAGE(OFFSET($R$3,0,0,'Données projet'!$E$9+1,1))-AVERAGE(OFFSET($H$3,0,0,'Données projet'!$E$9+1,1))</f>
        <v>371.7282125501186</v>
      </c>
      <c r="T23" s="59">
        <f t="shared" si="34"/>
        <v>231.36959598460686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87</v>
      </c>
      <c r="AG23" s="12">
        <f>VLOOKUP(A23,'Données projet'!$A$61:$I$81,9,0)</f>
        <v>9.8000000000000007</v>
      </c>
      <c r="AH23" s="12">
        <f t="array" ref="AH23">INDEX(AG:AG,MIN(IF(ISNUMBER(AG23:AG219),ROW(AG23:AG219),"")))</f>
        <v>9.8000000000000007</v>
      </c>
      <c r="AI23" s="13">
        <f>IF('Données projet'!$A$62&gt;35,AI22+AH23-AQ22,IF(A23&lt;'Données projet'!$A$62,$AF$205^A23,IF(A23='Données projet'!$A$62,'Données projet'!$B$62,AI22+AH23-AQ22)))</f>
        <v>86.999999999999986</v>
      </c>
      <c r="AJ23" s="13">
        <f>AI23*VLOOKUP('Données projet'!$B$10,Paramètres!$A$1:$I$89,3,0)*VLOOKUP('Données projet'!$B$10,Paramètres!$A$1:$I$89,5,0)</f>
        <v>58.359599999999993</v>
      </c>
      <c r="AK23" s="13">
        <f t="shared" si="35"/>
        <v>16.752857675261232</v>
      </c>
      <c r="AL23" s="20">
        <f t="shared" si="4"/>
        <v>130.82086378441329</v>
      </c>
      <c r="AM23" s="59">
        <f t="shared" si="5"/>
        <v>411.93197489552443</v>
      </c>
      <c r="AN23" s="59">
        <f ca="1">AVERAGE(OFFSET($AM$3,0,0,'Données projet'!$E$10+1,1))-AVERAGE(OFFSET($H$3,0,0,'Données projet'!$E$10+1,1))</f>
        <v>269.67260882504996</v>
      </c>
      <c r="AO23" s="59">
        <f t="shared" si="36"/>
        <v>272.13858200810074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16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10.214285714285714</v>
      </c>
      <c r="BD23" s="12">
        <f>IF('Données projet'!$A$88&gt;35,BD22+BC23-BL22,IF(A23&lt;'Données projet'!$A$88,$BA$205^A23,IF(A23='Données projet'!$A$88,'Données projet'!$B$88,BD22+BC23-BL22)))</f>
        <v>56.826010405613744</v>
      </c>
      <c r="BE23" s="13">
        <f>BD23*VLOOKUP('Données projet'!$B$11,Paramètres!$A$1:$I$89,3,0)*VLOOKUP('Données projet'!$B$11,Paramètres!$A$1:$I$89,5,0)</f>
        <v>31.765739816738083</v>
      </c>
      <c r="BF23" s="13">
        <f t="shared" si="37"/>
        <v>9.7877533048715293</v>
      </c>
      <c r="BG23" s="20">
        <f t="shared" si="7"/>
        <v>72.372333853470067</v>
      </c>
      <c r="BH23" s="59">
        <f t="shared" si="8"/>
        <v>353.48344496458122</v>
      </c>
      <c r="BI23" s="59">
        <f ca="1">AVERAGE(OFFSET($BH$3,0,0,'Données projet'!$E$11+1,1))-AVERAGE(OFFSET($H$3,0,0,'Données projet'!$E$11+1,1))</f>
        <v>330.33728077846268</v>
      </c>
      <c r="BJ23" s="59">
        <f t="shared" si="38"/>
        <v>358.38872754175208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95</v>
      </c>
      <c r="BW23" s="12">
        <f>VLOOKUP(A23,'Données projet'!$A$113:$I$133,9,0)</f>
        <v>9.8000000000000007</v>
      </c>
      <c r="BX23" s="12">
        <f t="array" ref="BX23">INDEX(BW:BW,MIN(IF(ISNUMBER(BW23:BW219),ROW(BW23:BW219),"")))</f>
        <v>9.8000000000000007</v>
      </c>
      <c r="BY23" s="12">
        <f>IF('Données projet'!$A$114&gt;35,BY22+BX23-CG22,IF(A23&lt;'Données projet'!$A$114,$BV$205^A23,IF(A23='Données projet'!$A$114,'Données projet'!$B$114,BY22+BX23-CG22)))</f>
        <v>94.999999999999986</v>
      </c>
      <c r="BZ23" s="13">
        <f>BY23*VLOOKUP('Données projet'!$B$12,Paramètres!$A$1:$I$89,3,0)*VLOOKUP('Données projet'!$B$12,Paramètres!$A$1:$I$89,5,0)</f>
        <v>90.401999999999987</v>
      </c>
      <c r="CA23" s="13">
        <f t="shared" si="39"/>
        <v>24.662152551735971</v>
      </c>
      <c r="CB23" s="20">
        <f t="shared" si="10"/>
        <v>200.40339902760681</v>
      </c>
      <c r="CC23" s="59">
        <f t="shared" si="11"/>
        <v>481.51451013871792</v>
      </c>
      <c r="CD23" s="59">
        <f ca="1">AVERAGE(OFFSET($CC$3,0,0,'Données projet'!$E$12+1,1))-AVERAGE(OFFSET($H$3,0,0,'Données projet'!$E$12+1,1))</f>
        <v>367.39143258674738</v>
      </c>
      <c r="CE23" s="59">
        <f t="shared" si="40"/>
        <v>376.02790658970292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15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196</v>
      </c>
      <c r="CR23" s="12">
        <f>VLOOKUP(A23,'Données projet'!$A$139:$I$159,9,0)</f>
        <v>9.8000000000000007</v>
      </c>
      <c r="CS23" s="12">
        <f t="array" ref="CS23">INDEX(CR:CR,MIN(IF(ISNUMBER(CR23:CR219),ROW(CR23:CR219),"")))</f>
        <v>9.8000000000000007</v>
      </c>
      <c r="CT23" s="12">
        <f>IF('Données projet'!$A$140&gt;35,CT22+CS23-DB22,IF(A23&lt;'Données projet'!$A$140,$CQ$205^A23,IF(A23='Données projet'!$A$140,'Données projet'!$B$140,CT22+CS23-DB22)))</f>
        <v>196</v>
      </c>
      <c r="CU23" s="17">
        <f>CT23*VLOOKUP('Données projet'!$B$13,Paramètres!$A$1:$I$89,3,0)*VLOOKUP('Données projet'!$B$13,Paramètres!$A$1:$I$89,5,0)</f>
        <v>86.632000000000005</v>
      </c>
      <c r="CV23" s="13">
        <f t="shared" si="41"/>
        <v>23.751150233480999</v>
      </c>
      <c r="CW23" s="20">
        <f t="shared" si="13"/>
        <v>192.25065332331272</v>
      </c>
      <c r="CX23" s="59">
        <f t="shared" si="14"/>
        <v>473.36176443442389</v>
      </c>
      <c r="CY23" s="59">
        <f ca="1">AVERAGE(OFFSET($CX$3,0,0,'Données projet'!$E$13+1,1))-AVERAGE(OFFSET($H$3,0,0,'Données projet'!$E$13+1,1))</f>
        <v>500.13646131618248</v>
      </c>
      <c r="CZ23" s="59">
        <f t="shared" si="42"/>
        <v>417.58036817539306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74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0.33</v>
      </c>
      <c r="DE23" s="16">
        <f>IF(ISNA(VLOOKUP(A23,'Données projet'!$A$139:$I$159,7,0)),0%,VLOOKUP(A23,'Données projet'!$A$139:$I$159,7,0))</f>
        <v>0.4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14.262081939302163</v>
      </c>
      <c r="DH23" s="21">
        <f>EXP(-LN(2)/2)*DH22+(1-EXP(-LN(2)/2))/(LN(2)/2)*DB23*DE23*VLOOKUP('Données projet'!$B$13,Paramètres!$A$1:$I$89,3,0)*0.475*44/12</f>
        <v>14.813221594998261</v>
      </c>
      <c r="DI23" s="22">
        <f t="shared" si="15"/>
        <v>29.075303534300424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355.4347654452813</v>
      </c>
      <c r="S24" s="59">
        <f ca="1">AVERAGE(OFFSET($R$3,0,0,'Données projet'!$E$9+1,1))-AVERAGE(OFFSET($H$3,0,0,'Données projet'!$E$9+1,1))</f>
        <v>371.7282125501186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10.8</v>
      </c>
      <c r="AI24" s="13">
        <f>IF('Données projet'!$A$62&gt;35,AI23+AH24-AQ23,IF(A24&lt;'Données projet'!$A$62,$AF$205^A24,IF(A24='Données projet'!$A$62,'Données projet'!$B$62,AI23+AH24-AQ23)))</f>
        <v>81.799999999999983</v>
      </c>
      <c r="AJ24" s="13">
        <f>AI24*VLOOKUP('Données projet'!$B$10,Paramètres!$A$1:$I$89,3,0)*VLOOKUP('Données projet'!$B$10,Paramètres!$A$1:$I$89,5,0)</f>
        <v>54.871439999999993</v>
      </c>
      <c r="AK24" s="13">
        <f t="shared" si="35"/>
        <v>15.864942647682177</v>
      </c>
      <c r="AL24" s="20">
        <f t="shared" si="4"/>
        <v>123.19919977804646</v>
      </c>
      <c r="AM24" s="59">
        <f t="shared" si="5"/>
        <v>405.53253311137979</v>
      </c>
      <c r="AN24" s="59">
        <f ca="1">AVERAGE(OFFSET($AM$3,0,0,'Données projet'!$E$10+1,1))-AVERAGE(OFFSET($H$3,0,0,'Données projet'!$E$10+1,1))</f>
        <v>269.67260882504996</v>
      </c>
      <c r="AO24" s="59">
        <f t="shared" si="36"/>
        <v>272.13858200810074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10.214285714285714</v>
      </c>
      <c r="BD24" s="12">
        <f>IF('Données projet'!$A$88&gt;35,BD23+BC24-BL23,IF(A24&lt;'Données projet'!$A$88,$BA$205^A24,IF(A24='Données projet'!$A$88,'Données projet'!$B$88,BD23+BC24-BL23)))</f>
        <v>69.546379303543105</v>
      </c>
      <c r="BE24" s="13">
        <f>BD24*VLOOKUP('Données projet'!$B$11,Paramètres!$A$1:$I$89,3,0)*VLOOKUP('Données projet'!$B$11,Paramètres!$A$1:$I$89,5,0)</f>
        <v>38.876426030680598</v>
      </c>
      <c r="BF24" s="13">
        <f t="shared" si="37"/>
        <v>11.700351487294183</v>
      </c>
      <c r="BG24" s="20">
        <f t="shared" si="7"/>
        <v>88.08788751047274</v>
      </c>
      <c r="BH24" s="59">
        <f t="shared" si="8"/>
        <v>370.42122084380605</v>
      </c>
      <c r="BI24" s="59">
        <f ca="1">AVERAGE(OFFSET($BH$3,0,0,'Données projet'!$E$11+1,1))-AVERAGE(OFFSET($H$3,0,0,'Données projet'!$E$11+1,1))</f>
        <v>330.33728077846268</v>
      </c>
      <c r="BJ24" s="59">
        <f t="shared" si="38"/>
        <v>358.38872754175208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10.199999999999999</v>
      </c>
      <c r="BY24" s="12">
        <f>IF('Données projet'!$A$114&gt;35,BY23+BX24-CG23,IF(A24&lt;'Données projet'!$A$114,$BV$205^A24,IF(A24='Données projet'!$A$114,'Données projet'!$B$114,BY23+BX24-CG23)))</f>
        <v>90.199999999999989</v>
      </c>
      <c r="BZ24" s="13">
        <f>BY24*VLOOKUP('Données projet'!$B$12,Paramètres!$A$1:$I$89,3,0)*VLOOKUP('Données projet'!$B$12,Paramètres!$A$1:$I$89,5,0)</f>
        <v>85.834319999999991</v>
      </c>
      <c r="CA24" s="13">
        <f t="shared" si="39"/>
        <v>23.557809132261784</v>
      </c>
      <c r="CB24" s="20">
        <f t="shared" si="10"/>
        <v>190.52462490535592</v>
      </c>
      <c r="CC24" s="59">
        <f t="shared" si="11"/>
        <v>472.85795823868921</v>
      </c>
      <c r="CD24" s="59">
        <f ca="1">AVERAGE(OFFSET($CC$3,0,0,'Données projet'!$E$12+1,1))-AVERAGE(OFFSET($H$3,0,0,'Données projet'!$E$12+1,1))</f>
        <v>367.39143258674738</v>
      </c>
      <c r="CE24" s="59">
        <f t="shared" si="40"/>
        <v>376.02790658970292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34</v>
      </c>
      <c r="CT24" s="12">
        <f>IF('Données projet'!$A$140&gt;35,CT23+CS24-DB23,IF(A24&lt;'Données projet'!$A$140,$CQ$205^A24,IF(A24='Données projet'!$A$140,'Données projet'!$B$140,CT23+CS24-DB23)))</f>
        <v>156</v>
      </c>
      <c r="CU24" s="17">
        <f>CT24*VLOOKUP('Données projet'!$B$13,Paramètres!$A$1:$I$89,3,0)*VLOOKUP('Données projet'!$B$13,Paramètres!$A$1:$I$89,5,0)</f>
        <v>68.952000000000012</v>
      </c>
      <c r="CV24" s="13">
        <f t="shared" si="41"/>
        <v>19.412974191553594</v>
      </c>
      <c r="CW24" s="20">
        <f t="shared" si="13"/>
        <v>153.90233005028921</v>
      </c>
      <c r="CX24" s="59">
        <f t="shared" si="14"/>
        <v>436.23566338362252</v>
      </c>
      <c r="CY24" s="59">
        <f ca="1">AVERAGE(OFFSET($CX$3,0,0,'Données projet'!$E$13+1,1))-AVERAGE(OFFSET($H$3,0,0,'Données projet'!$E$13+1,1))</f>
        <v>500.13646131618248</v>
      </c>
      <c r="CZ24" s="59">
        <f t="shared" si="42"/>
        <v>417.58036817539306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13.872084558661653</v>
      </c>
      <c r="DH24" s="21">
        <f>EXP(-LN(2)/2)*DH23+(1-EXP(-LN(2)/2))/(LN(2)/2)*DB24*DE24*VLOOKUP('Données projet'!$B$13,Paramètres!$A$1:$I$89,3,0)*0.475*44/12</f>
        <v>10.474529441042277</v>
      </c>
      <c r="DI24" s="22">
        <f t="shared" si="15"/>
        <v>24.34661399970393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369.7984604882671</v>
      </c>
      <c r="S25" s="59">
        <f ca="1">AVERAGE(OFFSET($R$3,0,0,'Données projet'!$E$9+1,1))-AVERAGE(OFFSET($H$3,0,0,'Données projet'!$E$9+1,1))</f>
        <v>371.7282125501186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10.8</v>
      </c>
      <c r="AI25" s="13">
        <f>IF('Données projet'!$A$62&gt;35,AI24+AH25-AQ24,IF(A25&lt;'Données projet'!$A$62,$AF$205^A25,IF(A25='Données projet'!$A$62,'Données projet'!$B$62,AI24+AH25-AQ24)))</f>
        <v>92.59999999999998</v>
      </c>
      <c r="AJ25" s="13">
        <f>AI25*VLOOKUP('Données projet'!$B$10,Paramètres!$A$1:$I$89,3,0)*VLOOKUP('Données projet'!$B$10,Paramètres!$A$1:$I$89,5,0)</f>
        <v>62.11607999999999</v>
      </c>
      <c r="AK25" s="13">
        <f t="shared" si="35"/>
        <v>17.702196414896488</v>
      </c>
      <c r="AL25" s="20">
        <f t="shared" si="4"/>
        <v>139.01683142261138</v>
      </c>
      <c r="AM25" s="59">
        <f t="shared" si="5"/>
        <v>422.57238697816695</v>
      </c>
      <c r="AN25" s="59">
        <f ca="1">AVERAGE(OFFSET($AM$3,0,0,'Données projet'!$E$10+1,1))-AVERAGE(OFFSET($H$3,0,0,'Données projet'!$E$10+1,1))</f>
        <v>269.67260882504996</v>
      </c>
      <c r="AO25" s="59">
        <f t="shared" si="36"/>
        <v>272.13858200810074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10.214285714285714</v>
      </c>
      <c r="BD25" s="12">
        <f>IF('Données projet'!$A$88&gt;35,BD24+BC25-BL24,IF(A25&lt;'Données projet'!$A$88,$BA$205^A25,IF(A25='Données projet'!$A$88,'Données projet'!$B$88,BD24+BC25-BL24)))</f>
        <v>85.114172888591185</v>
      </c>
      <c r="BE25" s="13">
        <f>BD25*VLOOKUP('Données projet'!$B$11,Paramètres!$A$1:$I$89,3,0)*VLOOKUP('Données projet'!$B$11,Paramètres!$A$1:$I$89,5,0)</f>
        <v>47.578822644722479</v>
      </c>
      <c r="BF25" s="13">
        <f t="shared" si="37"/>
        <v>13.986685264951532</v>
      </c>
      <c r="BG25" s="20">
        <f t="shared" si="7"/>
        <v>107.22659294268225</v>
      </c>
      <c r="BH25" s="59">
        <f t="shared" si="8"/>
        <v>390.7821484982378</v>
      </c>
      <c r="BI25" s="59">
        <f ca="1">AVERAGE(OFFSET($BH$3,0,0,'Données projet'!$E$11+1,1))-AVERAGE(OFFSET($H$3,0,0,'Données projet'!$E$11+1,1))</f>
        <v>330.33728077846268</v>
      </c>
      <c r="BJ25" s="59">
        <f t="shared" si="38"/>
        <v>358.38872754175208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10.199999999999999</v>
      </c>
      <c r="BY25" s="12">
        <f>IF('Données projet'!$A$114&gt;35,BY24+BX25-CG24,IF(A25&lt;'Données projet'!$A$114,$BV$205^A25,IF(A25='Données projet'!$A$114,'Données projet'!$B$114,BY24+BX25-CG24)))</f>
        <v>100.39999999999999</v>
      </c>
      <c r="BZ25" s="13">
        <f>BY25*VLOOKUP('Données projet'!$B$12,Paramètres!$A$1:$I$89,3,0)*VLOOKUP('Données projet'!$B$12,Paramètres!$A$1:$I$89,5,0)</f>
        <v>95.540639999999996</v>
      </c>
      <c r="CA25" s="13">
        <f t="shared" si="39"/>
        <v>25.89681240703468</v>
      </c>
      <c r="CB25" s="20">
        <f t="shared" si="10"/>
        <v>211.50356294225205</v>
      </c>
      <c r="CC25" s="59">
        <f t="shared" si="11"/>
        <v>495.05911849780762</v>
      </c>
      <c r="CD25" s="59">
        <f ca="1">AVERAGE(OFFSET($CC$3,0,0,'Données projet'!$E$12+1,1))-AVERAGE(OFFSET($H$3,0,0,'Données projet'!$E$12+1,1))</f>
        <v>367.39143258674738</v>
      </c>
      <c r="CE25" s="59">
        <f t="shared" si="40"/>
        <v>376.02790658970292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34</v>
      </c>
      <c r="CT25" s="12">
        <f>IF('Données projet'!$A$140&gt;35,CT24+CS25-DB24,IF(A25&lt;'Données projet'!$A$140,$CQ$205^A25,IF(A25='Données projet'!$A$140,'Données projet'!$B$140,CT24+CS25-DB24)))</f>
        <v>190</v>
      </c>
      <c r="CU25" s="17">
        <f>CT25*VLOOKUP('Données projet'!$B$13,Paramètres!$A$1:$I$89,3,0)*VLOOKUP('Données projet'!$B$13,Paramètres!$A$1:$I$89,5,0)</f>
        <v>83.980000000000018</v>
      </c>
      <c r="CV25" s="13">
        <f t="shared" si="41"/>
        <v>23.10754800124684</v>
      </c>
      <c r="CW25" s="20">
        <f t="shared" si="13"/>
        <v>186.51081276883826</v>
      </c>
      <c r="CX25" s="59">
        <f t="shared" si="14"/>
        <v>470.06636832439381</v>
      </c>
      <c r="CY25" s="59">
        <f ca="1">AVERAGE(OFFSET($CX$3,0,0,'Données projet'!$E$13+1,1))-AVERAGE(OFFSET($H$3,0,0,'Données projet'!$E$13+1,1))</f>
        <v>500.13646131618248</v>
      </c>
      <c r="CZ25" s="59">
        <f t="shared" si="42"/>
        <v>417.58036817539306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13.492751676903827</v>
      </c>
      <c r="DH25" s="21">
        <f>EXP(-LN(2)/2)*DH24+(1-EXP(-LN(2)/2))/(LN(2)/2)*DB25*DE25*VLOOKUP('Données projet'!$B$13,Paramètres!$A$1:$I$89,3,0)*0.475*44/12</f>
        <v>7.4066107974991313</v>
      </c>
      <c r="DI25" s="22">
        <f t="shared" si="15"/>
        <v>20.89936247440296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386.53169252010935</v>
      </c>
      <c r="S26" s="59">
        <f ca="1">AVERAGE(OFFSET($R$3,0,0,'Données projet'!$E$9+1,1))-AVERAGE(OFFSET($H$3,0,0,'Données projet'!$E$9+1,1))</f>
        <v>371.7282125501186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10.8</v>
      </c>
      <c r="AI26" s="13">
        <f>IF('Données projet'!$A$62&gt;35,AI25+AH26-AQ25,IF(A26&lt;'Données projet'!$A$62,$AF$205^A26,IF(A26='Données projet'!$A$62,'Données projet'!$B$62,AI25+AH26-AQ25)))</f>
        <v>103.39999999999998</v>
      </c>
      <c r="AJ26" s="13">
        <f>AI26*VLOOKUP('Données projet'!$B$10,Paramètres!$A$1:$I$89,3,0)*VLOOKUP('Données projet'!$B$10,Paramètres!$A$1:$I$89,5,0)</f>
        <v>69.360719999999986</v>
      </c>
      <c r="AK26" s="13">
        <f t="shared" si="35"/>
        <v>19.514617146984676</v>
      </c>
      <c r="AL26" s="20">
        <f t="shared" si="4"/>
        <v>154.79121219766498</v>
      </c>
      <c r="AM26" s="59">
        <f t="shared" si="5"/>
        <v>439.56898997544272</v>
      </c>
      <c r="AN26" s="59">
        <f ca="1">AVERAGE(OFFSET($AM$3,0,0,'Données projet'!$E$10+1,1))-AVERAGE(OFFSET($H$3,0,0,'Données projet'!$E$10+1,1))</f>
        <v>269.67260882504996</v>
      </c>
      <c r="AO26" s="59">
        <f t="shared" si="36"/>
        <v>272.13858200810074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10.214285714285714</v>
      </c>
      <c r="BD26" s="12">
        <f>IF('Données projet'!$A$88&gt;35,BD25+BC26-BL25,IF(A26&lt;'Données projet'!$A$88,$BA$205^A26,IF(A26='Données projet'!$A$88,'Données projet'!$B$88,BD25+BC26-BL25)))</f>
        <v>104.1667804860104</v>
      </c>
      <c r="BE26" s="13">
        <f>BD26*VLOOKUP('Données projet'!$B$11,Paramètres!$A$1:$I$89,3,0)*VLOOKUP('Données projet'!$B$11,Paramètres!$A$1:$I$89,5,0)</f>
        <v>58.229230291679812</v>
      </c>
      <c r="BF26" s="13">
        <f t="shared" si="37"/>
        <v>16.719785291343658</v>
      </c>
      <c r="BG26" s="20">
        <f t="shared" si="7"/>
        <v>130.53620214043252</v>
      </c>
      <c r="BH26" s="59">
        <f t="shared" si="8"/>
        <v>415.31397991821029</v>
      </c>
      <c r="BI26" s="59">
        <f ca="1">AVERAGE(OFFSET($BH$3,0,0,'Données projet'!$E$11+1,1))-AVERAGE(OFFSET($H$3,0,0,'Données projet'!$E$11+1,1))</f>
        <v>330.33728077846268</v>
      </c>
      <c r="BJ26" s="59">
        <f t="shared" si="38"/>
        <v>358.38872754175208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10.199999999999999</v>
      </c>
      <c r="BY26" s="12">
        <f>IF('Données projet'!$A$114&gt;35,BY25+BX26-CG25,IF(A26&lt;'Données projet'!$A$114,$BV$205^A26,IF(A26='Données projet'!$A$114,'Données projet'!$B$114,BY25+BX26-CG25)))</f>
        <v>110.6</v>
      </c>
      <c r="BZ26" s="13">
        <f>BY26*VLOOKUP('Données projet'!$B$12,Paramètres!$A$1:$I$89,3,0)*VLOOKUP('Données projet'!$B$12,Paramètres!$A$1:$I$89,5,0)</f>
        <v>105.24695999999999</v>
      </c>
      <c r="CA26" s="13">
        <f t="shared" si="39"/>
        <v>28.208268732518917</v>
      </c>
      <c r="CB26" s="20">
        <f t="shared" si="10"/>
        <v>232.43452337580371</v>
      </c>
      <c r="CC26" s="59">
        <f t="shared" si="11"/>
        <v>517.21230115358151</v>
      </c>
      <c r="CD26" s="59">
        <f ca="1">AVERAGE(OFFSET($CC$3,0,0,'Données projet'!$E$12+1,1))-AVERAGE(OFFSET($H$3,0,0,'Données projet'!$E$12+1,1))</f>
        <v>367.39143258674738</v>
      </c>
      <c r="CE26" s="59">
        <f t="shared" si="40"/>
        <v>376.02790658970292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34</v>
      </c>
      <c r="CT26" s="12">
        <f>IF('Données projet'!$A$140&gt;35,CT25+CS26-DB25,IF(A26&lt;'Données projet'!$A$140,$CQ$205^A26,IF(A26='Données projet'!$A$140,'Données projet'!$B$140,CT25+CS26-DB25)))</f>
        <v>224</v>
      </c>
      <c r="CU26" s="17">
        <f>CT26*VLOOKUP('Données projet'!$B$13,Paramètres!$A$1:$I$89,3,0)*VLOOKUP('Données projet'!$B$13,Paramètres!$A$1:$I$89,5,0)</f>
        <v>99.008000000000024</v>
      </c>
      <c r="CV26" s="13">
        <f t="shared" si="41"/>
        <v>26.725530277452471</v>
      </c>
      <c r="CW26" s="20">
        <f t="shared" si="13"/>
        <v>218.98589856656307</v>
      </c>
      <c r="CX26" s="59">
        <f t="shared" si="14"/>
        <v>503.76367634434087</v>
      </c>
      <c r="CY26" s="59">
        <f ca="1">AVERAGE(OFFSET($CX$3,0,0,'Données projet'!$E$13+1,1))-AVERAGE(OFFSET($H$3,0,0,'Données projet'!$E$13+1,1))</f>
        <v>500.13646131618248</v>
      </c>
      <c r="CZ26" s="59">
        <f t="shared" si="42"/>
        <v>417.58036817539306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13.12379167274592</v>
      </c>
      <c r="DH26" s="21">
        <f>EXP(-LN(2)/2)*DH25+(1-EXP(-LN(2)/2))/(LN(2)/2)*DB26*DE26*VLOOKUP('Données projet'!$B$13,Paramètres!$A$1:$I$89,3,0)*0.475*44/12</f>
        <v>5.2372647205211385</v>
      </c>
      <c r="DI26" s="22">
        <f t="shared" si="15"/>
        <v>18.361056393267059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406.06289590738135</v>
      </c>
      <c r="S27" s="59">
        <f ca="1">AVERAGE(OFFSET($R$3,0,0,'Données projet'!$E$9+1,1))-AVERAGE(OFFSET($H$3,0,0,'Données projet'!$E$9+1,1))</f>
        <v>371.7282125501186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10.8</v>
      </c>
      <c r="AI27" s="13">
        <f>IF('Données projet'!$A$62&gt;35,AI26+AH27-AQ26,IF(A27&lt;'Données projet'!$A$62,$AF$205^A27,IF(A27='Données projet'!$A$62,'Données projet'!$B$62,AI26+AH27-AQ26)))</f>
        <v>114.19999999999997</v>
      </c>
      <c r="AJ27" s="13">
        <f>AI27*VLOOKUP('Données projet'!$B$10,Paramètres!$A$1:$I$89,3,0)*VLOOKUP('Données projet'!$B$10,Paramètres!$A$1:$I$89,5,0)</f>
        <v>76.605359999999976</v>
      </c>
      <c r="AK27" s="13">
        <f t="shared" si="35"/>
        <v>21.30509410072349</v>
      </c>
      <c r="AL27" s="20">
        <f t="shared" si="4"/>
        <v>170.52737422542671</v>
      </c>
      <c r="AM27" s="59">
        <f t="shared" si="5"/>
        <v>456.52737422542668</v>
      </c>
      <c r="AN27" s="59">
        <f ca="1">AVERAGE(OFFSET($AM$3,0,0,'Données projet'!$E$10+1,1))-AVERAGE(OFFSET($H$3,0,0,'Données projet'!$E$10+1,1))</f>
        <v>269.67260882504996</v>
      </c>
      <c r="AO27" s="59">
        <f t="shared" si="36"/>
        <v>272.13858200810074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10.214285714285714</v>
      </c>
      <c r="BD27" s="12">
        <f>IF('Données projet'!$A$88&gt;35,BD26+BC27-BL26,IF(A27&lt;'Données projet'!$A$88,$BA$205^A27,IF(A27='Données projet'!$A$88,'Données projet'!$B$88,BD26+BC27-BL26)))</f>
        <v>127.48426952375539</v>
      </c>
      <c r="BE27" s="13">
        <f>BD27*VLOOKUP('Données projet'!$B$11,Paramètres!$A$1:$I$89,3,0)*VLOOKUP('Données projet'!$B$11,Paramètres!$A$1:$I$89,5,0)</f>
        <v>71.26370666377926</v>
      </c>
      <c r="BF27" s="13">
        <f t="shared" si="37"/>
        <v>19.986952940818931</v>
      </c>
      <c r="BG27" s="20">
        <f t="shared" si="7"/>
        <v>158.92823214467515</v>
      </c>
      <c r="BH27" s="59">
        <f t="shared" si="8"/>
        <v>444.92823214467512</v>
      </c>
      <c r="BI27" s="59">
        <f ca="1">AVERAGE(OFFSET($BH$3,0,0,'Données projet'!$E$11+1,1))-AVERAGE(OFFSET($H$3,0,0,'Données projet'!$E$11+1,1))</f>
        <v>330.33728077846268</v>
      </c>
      <c r="BJ27" s="59">
        <f t="shared" si="38"/>
        <v>358.38872754175208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10.199999999999999</v>
      </c>
      <c r="BY27" s="12">
        <f>IF('Données projet'!$A$114&gt;35,BY26+BX27-CG26,IF(A27&lt;'Données projet'!$A$114,$BV$205^A27,IF(A27='Données projet'!$A$114,'Données projet'!$B$114,BY26+BX27-CG26)))</f>
        <v>120.8</v>
      </c>
      <c r="BZ27" s="13">
        <f>BY27*VLOOKUP('Données projet'!$B$12,Paramètres!$A$1:$I$89,3,0)*VLOOKUP('Données projet'!$B$12,Paramètres!$A$1:$I$89,5,0)</f>
        <v>114.95328000000001</v>
      </c>
      <c r="CA27" s="13">
        <f t="shared" si="39"/>
        <v>30.495007557609888</v>
      </c>
      <c r="CB27" s="20">
        <f t="shared" si="10"/>
        <v>253.32243416283723</v>
      </c>
      <c r="CC27" s="59">
        <f t="shared" si="11"/>
        <v>539.32243416283723</v>
      </c>
      <c r="CD27" s="59">
        <f ca="1">AVERAGE(OFFSET($CC$3,0,0,'Données projet'!$E$12+1,1))-AVERAGE(OFFSET($H$3,0,0,'Données projet'!$E$12+1,1))</f>
        <v>367.39143258674738</v>
      </c>
      <c r="CE27" s="59">
        <f t="shared" si="40"/>
        <v>376.02790658970292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34</v>
      </c>
      <c r="CT27" s="12">
        <f>IF('Données projet'!$A$140&gt;35,CT26+CS27-DB26,IF(A27&lt;'Données projet'!$A$140,$CQ$205^A27,IF(A27='Données projet'!$A$140,'Données projet'!$B$140,CT26+CS27-DB26)))</f>
        <v>258</v>
      </c>
      <c r="CU27" s="17">
        <f>CT27*VLOOKUP('Données projet'!$B$13,Paramètres!$A$1:$I$89,3,0)*VLOOKUP('Données projet'!$B$13,Paramètres!$A$1:$I$89,5,0)</f>
        <v>114.03600000000002</v>
      </c>
      <c r="CV27" s="13">
        <f t="shared" si="41"/>
        <v>30.279894261296121</v>
      </c>
      <c r="CW27" s="20">
        <f t="shared" si="13"/>
        <v>251.35018250509077</v>
      </c>
      <c r="CX27" s="59">
        <f t="shared" si="14"/>
        <v>537.35018250509074</v>
      </c>
      <c r="CY27" s="59">
        <f ca="1">AVERAGE(OFFSET($CX$3,0,0,'Données projet'!$E$13+1,1))-AVERAGE(OFFSET($H$3,0,0,'Données projet'!$E$13+1,1))</f>
        <v>500.13646131618248</v>
      </c>
      <c r="CZ27" s="59">
        <f t="shared" si="42"/>
        <v>417.58036817539306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12.764920899304474</v>
      </c>
      <c r="DH27" s="21">
        <f>EXP(-LN(2)/2)*DH26+(1-EXP(-LN(2)/2))/(LN(2)/2)*DB27*DE27*VLOOKUP('Données projet'!$B$13,Paramètres!$A$1:$I$89,3,0)*0.475*44/12</f>
        <v>3.7033053987495657</v>
      </c>
      <c r="DI27" s="22">
        <f t="shared" si="15"/>
        <v>16.468226298054041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371.7282125501186</v>
      </c>
      <c r="T28" s="59">
        <f t="shared" si="34"/>
        <v>231.36959598460686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125</v>
      </c>
      <c r="AG28" s="12">
        <f>VLOOKUP(A28,'Données projet'!$A$61:$I$81,9,0)</f>
        <v>10.8</v>
      </c>
      <c r="AH28" s="12">
        <f t="array" ref="AH28">INDEX(AG:AG,MIN(IF(ISNUMBER(AG28:AG224),ROW(AG28:AG224),"")))</f>
        <v>10.8</v>
      </c>
      <c r="AI28" s="13">
        <f>IF('Données projet'!$A$62&gt;35,AI27+AH28-AQ27,IF(A28&lt;'Données projet'!$A$62,$AF$205^A28,IF(A28='Données projet'!$A$62,'Données projet'!$B$62,AI27+AH28-AQ27)))</f>
        <v>124.99999999999997</v>
      </c>
      <c r="AJ28" s="13">
        <f>AI28*VLOOKUP('Données projet'!$B$10,Paramètres!$A$1:$I$89,3,0)*VLOOKUP('Données projet'!$B$10,Paramètres!$A$1:$I$89,5,0)</f>
        <v>83.84999999999998</v>
      </c>
      <c r="AK28" s="13">
        <f t="shared" si="35"/>
        <v>23.075938604999987</v>
      </c>
      <c r="AL28" s="20">
        <f t="shared" si="4"/>
        <v>186.22934307037494</v>
      </c>
      <c r="AM28" s="59">
        <f t="shared" si="5"/>
        <v>473.45156529259714</v>
      </c>
      <c r="AN28" s="59">
        <f ca="1">AVERAGE(OFFSET($AM$3,0,0,'Données projet'!$E$10+1,1))-AVERAGE(OFFSET($H$3,0,0,'Données projet'!$E$10+1,1))</f>
        <v>269.67260882504996</v>
      </c>
      <c r="AO28" s="59">
        <f t="shared" si="36"/>
        <v>272.13858200810074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20</v>
      </c>
      <c r="AR28" s="16">
        <f>IF(ISNA(VLOOKUP(A28,'Données projet'!$A$61:$I$81,5,0)),0%,VLOOKUP(A28,'Données projet'!$A$61:$I$81,5,0)*VLOOKUP('Données projet'!$B$10,Paramètres!$A$1:$I$89,7,0))</f>
        <v>0.21200000000000002</v>
      </c>
      <c r="AS28" s="16">
        <f>IF(ISNA(VLOOKUP(A28,'Données projet'!$A$61:$I$81,6,0)),0%,VLOOKUP(A28,'Données projet'!$A$61:$I$81,6,0)*VLOOKUP('Données projet'!$B$10,Paramètres!$A$1:$I$89,7,0))</f>
        <v>4.24E-2</v>
      </c>
      <c r="AT28" s="16">
        <f>IF(ISNA(VLOOKUP(A28,'Données projet'!$A$61:$I$81,7,0)),0%,VLOOKUP(A28,'Données projet'!$A$61:$I$81,7,0))</f>
        <v>0.12</v>
      </c>
      <c r="AU28" s="21">
        <f>EXP(-LN(2)/35)*AU27+(1-EXP(-LN(2)/35))/(LN(2)/35)*AQ28*AR28*VLOOKUP('Données projet'!$B$10,Paramètres!$A$1:$I$89,3,0)*0.475*44/12</f>
        <v>3.1441700097045806</v>
      </c>
      <c r="AV28" s="21">
        <f>EXP(-LN(2)/25)*AV27+(1-EXP(-LN(2)/25))/(LN(2)/25)*Calculateur!AQ28*Calculateur!AS28*VLOOKUP('Données projet'!$B$10,Paramètres!$A$1:$I$89,3,0)*0.475*44/12</f>
        <v>0.62635804287073527</v>
      </c>
      <c r="AW28" s="21">
        <f>EXP(-LN(2)/2)*AW27+(1-EXP(-LN(2)/2))/(LN(2)/2)*AQ28*AT28*VLOOKUP('Données projet'!$B$10,Paramètres!$A$1:$I$89,3,0)*0.475*44/12</f>
        <v>1.5190028503615067</v>
      </c>
      <c r="AX28" s="21">
        <f t="shared" si="6"/>
        <v>5.2895309029368223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10.214285714285714</v>
      </c>
      <c r="BD28" s="12">
        <f>IF('Données projet'!$A$88&gt;35,BD27+BC28-BL27,IF(A28&lt;'Données projet'!$A$88,$BA$205^A28,IF(A28='Données projet'!$A$88,'Données projet'!$B$88,BD27+BC28-BL27)))</f>
        <v>156.02132369050406</v>
      </c>
      <c r="BE28" s="13">
        <f>BD28*VLOOKUP('Données projet'!$B$11,Paramètres!$A$1:$I$89,3,0)*VLOOKUP('Données projet'!$B$11,Paramètres!$A$1:$I$89,5,0)</f>
        <v>87.215919942991775</v>
      </c>
      <c r="BF28" s="13">
        <f t="shared" si="37"/>
        <v>23.892548911219123</v>
      </c>
      <c r="BG28" s="20">
        <f t="shared" si="7"/>
        <v>193.51391658775063</v>
      </c>
      <c r="BH28" s="59">
        <f t="shared" si="8"/>
        <v>480.73613880997289</v>
      </c>
      <c r="BI28" s="59">
        <f ca="1">AVERAGE(OFFSET($BH$3,0,0,'Données projet'!$E$11+1,1))-AVERAGE(OFFSET($H$3,0,0,'Données projet'!$E$11+1,1))</f>
        <v>330.33728077846268</v>
      </c>
      <c r="BJ28" s="59">
        <f t="shared" si="38"/>
        <v>358.38872754175208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131</v>
      </c>
      <c r="BW28" s="12">
        <f>VLOOKUP(A28,'Données projet'!$A$113:$I$133,9,0)</f>
        <v>10.199999999999999</v>
      </c>
      <c r="BX28" s="12">
        <f t="array" ref="BX28">INDEX(BW:BW,MIN(IF(ISNUMBER(BW28:BW224),ROW(BW28:BW224),"")))</f>
        <v>10.199999999999999</v>
      </c>
      <c r="BY28" s="12">
        <f>IF('Données projet'!$A$114&gt;35,BY27+BX28-CG27,IF(A28&lt;'Données projet'!$A$114,$BV$205^A28,IF(A28='Données projet'!$A$114,'Données projet'!$B$114,BY27+BX28-CG27)))</f>
        <v>131</v>
      </c>
      <c r="BZ28" s="13">
        <f>BY28*VLOOKUP('Données projet'!$B$12,Paramètres!$A$1:$I$89,3,0)*VLOOKUP('Données projet'!$B$12,Paramètres!$A$1:$I$89,5,0)</f>
        <v>124.6596</v>
      </c>
      <c r="CA28" s="13">
        <f t="shared" si="39"/>
        <v>32.759353242305195</v>
      </c>
      <c r="CB28" s="20">
        <f t="shared" si="10"/>
        <v>274.17134356368149</v>
      </c>
      <c r="CC28" s="59">
        <f t="shared" si="11"/>
        <v>561.39356578590377</v>
      </c>
      <c r="CD28" s="59">
        <f ca="1">AVERAGE(OFFSET($CC$3,0,0,'Données projet'!$E$12+1,1))-AVERAGE(OFFSET($H$3,0,0,'Données projet'!$E$12+1,1))</f>
        <v>367.39143258674738</v>
      </c>
      <c r="CE28" s="59">
        <f t="shared" si="40"/>
        <v>376.02790658970292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19</v>
      </c>
      <c r="CH28" s="16">
        <f>IF(ISNA(VLOOKUP(A28,'Données projet'!$A$113:$I$133,5,0)),0%,VLOOKUP(A28,'Données projet'!$A$113:$I$133,5,0)*VLOOKUP('Données projet'!$B$12,Paramètres!$A$1:$I$89,7,0))</f>
        <v>0.17200000000000001</v>
      </c>
      <c r="CI28" s="16">
        <f>IF(ISNA(VLOOKUP(A28,'Données projet'!$A$113:$I$133,6,0)),0%,VLOOKUP(A28,'Données projet'!$A$113:$I$133,6,0)*VLOOKUP('Données projet'!$B$12,Paramètres!$A$1:$I$89,7,0))</f>
        <v>3.44E-2</v>
      </c>
      <c r="CJ28" s="16">
        <f>IF(ISNA(VLOOKUP(A28,'Données projet'!$A$113:$I$133,7,0)),0%,VLOOKUP(A28,'Données projet'!$A$113:$I$133,7,0))</f>
        <v>0.12</v>
      </c>
      <c r="CK28" s="21">
        <f>EXP(-LN(2)/35)*CK27+(1-EXP(-LN(2)/35))/(LN(2)/35)*CG28*CH28*VLOOKUP('Données projet'!$B$12,Paramètres!$A$1:$I$89,3,0)*0.475*44/12</f>
        <v>3.4378236238184989</v>
      </c>
      <c r="CL28" s="21">
        <f>EXP(-LN(2)/25)*CL27+(1-EXP(-LN(2)/25))/(LN(2)/25)*Calculateur!CG28*Calculateur!CI28*VLOOKUP('Données projet'!$B$12,Paramètres!$A$1:$I$89,3,0)*0.475*44/12</f>
        <v>0.6848575204596058</v>
      </c>
      <c r="CM28" s="21">
        <f>EXP(-LN(2)/2)*CM27+(1-EXP(-LN(2)/2))/(LN(2)/2)*CG28*CJ28*VLOOKUP('Données projet'!$B$12,Paramètres!$A$1:$I$89,3,0)*0.475*44/12</f>
        <v>2.0471212832197514</v>
      </c>
      <c r="CN28" s="22">
        <f t="shared" si="12"/>
        <v>6.1698024274978565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292</v>
      </c>
      <c r="CR28" s="12">
        <f>VLOOKUP(A28,'Données projet'!$A$139:$I$159,9,0)</f>
        <v>34</v>
      </c>
      <c r="CS28" s="12">
        <f t="array" ref="CS28">INDEX(CR:CR,MIN(IF(ISNUMBER(CR28:CR224),ROW(CR28:CR224),"")))</f>
        <v>34</v>
      </c>
      <c r="CT28" s="12">
        <f>IF('Données projet'!$A$140&gt;35,CT27+CS28-DB27,IF(A28&lt;'Données projet'!$A$140,$CQ$205^A28,IF(A28='Données projet'!$A$140,'Données projet'!$B$140,CT27+CS28-DB27)))</f>
        <v>292</v>
      </c>
      <c r="CU28" s="17">
        <f>CT28*VLOOKUP('Données projet'!$B$13,Paramètres!$A$1:$I$89,3,0)*VLOOKUP('Données projet'!$B$13,Paramètres!$A$1:$I$89,5,0)</f>
        <v>129.06399999999999</v>
      </c>
      <c r="CV28" s="13">
        <f t="shared" si="41"/>
        <v>33.779986339365287</v>
      </c>
      <c r="CW28" s="20">
        <f t="shared" si="13"/>
        <v>283.61994287439455</v>
      </c>
      <c r="CX28" s="59">
        <f t="shared" si="14"/>
        <v>570.84216509661678</v>
      </c>
      <c r="CY28" s="59">
        <f ca="1">AVERAGE(OFFSET($CX$3,0,0,'Données projet'!$E$13+1,1))-AVERAGE(OFFSET($H$3,0,0,'Données projet'!$E$13+1,1))</f>
        <v>500.13646131618248</v>
      </c>
      <c r="CZ28" s="59">
        <f t="shared" si="42"/>
        <v>417.58036817539306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84</v>
      </c>
      <c r="DC28" s="16">
        <f>IF(ISNA(VLOOKUP(A28,'Données projet'!$A$139:$I$159,5,0)),0%,VLOOKUP(A28,'Données projet'!$A$139:$I$159,5,0)*VLOOKUP('Données projet'!$B$13,Paramètres!$A$1:$I$89,7,0))</f>
        <v>0.16500000000000001</v>
      </c>
      <c r="DD28" s="16">
        <f>IF(ISNA(VLOOKUP(A28,'Données projet'!$A$139:$I$159,6,0)),0%,VLOOKUP(A28,'Données projet'!$A$139:$I$159,6,0)*VLOOKUP('Données projet'!$B$13,Paramètres!$A$1:$I$89,7,0))</f>
        <v>0.23100000000000001</v>
      </c>
      <c r="DE28" s="16">
        <f>IF(ISNA(VLOOKUP(A28,'Données projet'!$A$139:$I$159,7,0)),0%,VLOOKUP(A28,'Données projet'!$A$139:$I$159,7,0))</f>
        <v>0.28000000000000003</v>
      </c>
      <c r="DF28" s="21">
        <f>EXP(-LN(2)/35)*DF27+(1-EXP(-LN(2)/35))/(LN(2)/35)*DB28*DC28*VLOOKUP('Données projet'!$B$13,Paramètres!$A$1:$I$89,3,0)*0.475*44/12</f>
        <v>8.1266930417572762</v>
      </c>
      <c r="DG28" s="21">
        <f>EXP(-LN(2)/25)*DG27+(1-EXP(-LN(2)/25))/(LN(2)/25)*Calculateur!DB28*Calculateur!DD28*VLOOKUP('Données projet'!$B$13,Paramètres!$A$1:$I$89,3,0)*0.475*44/12</f>
        <v>23.74843668266967</v>
      </c>
      <c r="DH28" s="21">
        <f>EXP(-LN(2)/2)*DH27+(1-EXP(-LN(2)/2))/(LN(2)/2)*DB28*DE28*VLOOKUP('Données projet'!$B$13,Paramètres!$A$1:$I$89,3,0)*0.475*44/12</f>
        <v>14.389138168178107</v>
      </c>
      <c r="DI28" s="22">
        <f t="shared" si="15"/>
        <v>46.264267892605055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371.7282125501186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10.8</v>
      </c>
      <c r="AI29" s="13">
        <f>IF('Données projet'!$A$62&gt;35,AI28+AH29-AQ28,IF(A29&lt;'Données projet'!$A$62,$AF$205^A29,IF(A29='Données projet'!$A$62,'Données projet'!$B$62,AI28+AH29-AQ28)))</f>
        <v>115.79999999999998</v>
      </c>
      <c r="AJ29" s="13">
        <f>AI29*VLOOKUP('Données projet'!$B$10,Paramètres!$A$1:$I$89,3,0)*VLOOKUP('Données projet'!$B$10,Paramètres!$A$1:$I$89,5,0)</f>
        <v>77.678639999999987</v>
      </c>
      <c r="AK29" s="13">
        <f t="shared" si="35"/>
        <v>21.56863049752678</v>
      </c>
      <c r="AL29" s="20">
        <f t="shared" si="4"/>
        <v>172.85566278319246</v>
      </c>
      <c r="AM29" s="59">
        <f t="shared" si="5"/>
        <v>461.30010722763689</v>
      </c>
      <c r="AN29" s="59">
        <f ca="1">AVERAGE(OFFSET($AM$3,0,0,'Données projet'!$E$10+1,1))-AVERAGE(OFFSET($H$3,0,0,'Données projet'!$E$10+1,1))</f>
        <v>269.67260882504996</v>
      </c>
      <c r="AO29" s="59">
        <f t="shared" si="36"/>
        <v>272.13858200810074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3.082514753568617</v>
      </c>
      <c r="AV29" s="21">
        <f>EXP(-LN(2)/25)*AV28+(1-EXP(-LN(2)/25))/(LN(2)/25)*Calculateur!AQ29*Calculateur!AS29*VLOOKUP('Données projet'!$B$10,Paramètres!$A$1:$I$89,3,0)*0.475*44/12</f>
        <v>0.60923024924969704</v>
      </c>
      <c r="AW29" s="21">
        <f>EXP(-LN(2)/2)*AW28+(1-EXP(-LN(2)/2))/(LN(2)/2)*AQ29*AT29*VLOOKUP('Données projet'!$B$10,Paramètres!$A$1:$I$89,3,0)*0.475*44/12</f>
        <v>1.0740972161323159</v>
      </c>
      <c r="AX29" s="21">
        <f t="shared" si="6"/>
        <v>4.7658422189506302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10.214285714285714</v>
      </c>
      <c r="BD29" s="12">
        <f>IF('Données projet'!$A$88&gt;35,BD28+BC29-BL28,IF(A29&lt;'Données projet'!$A$88,$BA$205^A29,IF(A29='Données projet'!$A$88,'Données projet'!$B$88,BD28+BC29-BL28)))</f>
        <v>190.94633037530204</v>
      </c>
      <c r="BE29" s="13">
        <f>BD29*VLOOKUP('Données projet'!$B$11,Paramètres!$A$1:$I$89,3,0)*VLOOKUP('Données projet'!$B$11,Paramètres!$A$1:$I$89,5,0)</f>
        <v>106.73899867979384</v>
      </c>
      <c r="BF29" s="13">
        <f t="shared" si="37"/>
        <v>28.561326739763082</v>
      </c>
      <c r="BG29" s="20">
        <f t="shared" si="7"/>
        <v>235.64806677239497</v>
      </c>
      <c r="BH29" s="59">
        <f t="shared" si="8"/>
        <v>524.0925112168394</v>
      </c>
      <c r="BI29" s="59">
        <f ca="1">AVERAGE(OFFSET($BH$3,0,0,'Données projet'!$E$11+1,1))-AVERAGE(OFFSET($H$3,0,0,'Données projet'!$E$11+1,1))</f>
        <v>330.33728077846268</v>
      </c>
      <c r="BJ29" s="59">
        <f t="shared" si="38"/>
        <v>358.38872754175208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10.199999999999999</v>
      </c>
      <c r="BY29" s="12">
        <f>IF('Données projet'!$A$114&gt;35,BY28+BX29-CG28,IF(A29&lt;'Données projet'!$A$114,$BV$205^A29,IF(A29='Données projet'!$A$114,'Données projet'!$B$114,BY28+BX29-CG28)))</f>
        <v>122.19999999999999</v>
      </c>
      <c r="BZ29" s="13">
        <f>BY29*VLOOKUP('Données projet'!$B$12,Paramètres!$A$1:$I$89,3,0)*VLOOKUP('Données projet'!$B$12,Paramètres!$A$1:$I$89,5,0)</f>
        <v>116.28551999999999</v>
      </c>
      <c r="CA29" s="13">
        <f t="shared" si="39"/>
        <v>30.807078820551457</v>
      </c>
      <c r="CB29" s="20">
        <f t="shared" si="10"/>
        <v>256.18627627912707</v>
      </c>
      <c r="CC29" s="59">
        <f t="shared" si="11"/>
        <v>544.63072072357159</v>
      </c>
      <c r="CD29" s="59">
        <f ca="1">AVERAGE(OFFSET($CC$3,0,0,'Données projet'!$E$12+1,1))-AVERAGE(OFFSET($H$3,0,0,'Données projet'!$E$12+1,1))</f>
        <v>367.39143258674738</v>
      </c>
      <c r="CE29" s="59">
        <f t="shared" si="40"/>
        <v>376.02790658970292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3.3704099994207803</v>
      </c>
      <c r="CL29" s="21">
        <f>EXP(-LN(2)/25)*CL28+(1-EXP(-LN(2)/25))/(LN(2)/25)*Calculateur!CG29*Calculateur!CI29*VLOOKUP('Données projet'!$B$12,Paramètres!$A$1:$I$89,3,0)*0.475*44/12</f>
        <v>0.66613005554754612</v>
      </c>
      <c r="CM29" s="21">
        <f>EXP(-LN(2)/2)*CM28+(1-EXP(-LN(2)/2))/(LN(2)/2)*CG29*CJ29*VLOOKUP('Données projet'!$B$12,Paramètres!$A$1:$I$89,3,0)*0.475*44/12</f>
        <v>1.4475333412759932</v>
      </c>
      <c r="CN29" s="22">
        <f t="shared" si="12"/>
        <v>5.4840733962443196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37.4</v>
      </c>
      <c r="CT29" s="12">
        <f>IF('Données projet'!$A$140&gt;35,CT28+CS29-DB28,IF(A29&lt;'Données projet'!$A$140,$CQ$205^A29,IF(A29='Données projet'!$A$140,'Données projet'!$B$140,CT28+CS29-DB28)))</f>
        <v>245.39999999999998</v>
      </c>
      <c r="CU29" s="17">
        <f>CT29*VLOOKUP('Données projet'!$B$13,Paramètres!$A$1:$I$89,3,0)*VLOOKUP('Données projet'!$B$13,Paramètres!$A$1:$I$89,5,0)</f>
        <v>108.46679999999999</v>
      </c>
      <c r="CV29" s="13">
        <f t="shared" si="41"/>
        <v>28.969456129097562</v>
      </c>
      <c r="CW29" s="20">
        <f t="shared" si="13"/>
        <v>239.36814609151156</v>
      </c>
      <c r="CX29" s="59">
        <f t="shared" si="14"/>
        <v>527.81259053595602</v>
      </c>
      <c r="CY29" s="59">
        <f ca="1">AVERAGE(OFFSET($CX$3,0,0,'Données projet'!$E$13+1,1))-AVERAGE(OFFSET($H$3,0,0,'Données projet'!$E$13+1,1))</f>
        <v>500.13646131618248</v>
      </c>
      <c r="CZ29" s="59">
        <f t="shared" si="42"/>
        <v>417.58036817539306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7.9673335480017284</v>
      </c>
      <c r="DG29" s="21">
        <f>EXP(-LN(2)/25)*DG28+(1-EXP(-LN(2)/25))/(LN(2)/25)*Calculateur!DB29*Calculateur!DD29*VLOOKUP('Données projet'!$B$13,Paramètres!$A$1:$I$89,3,0)*0.475*44/12</f>
        <v>23.099034432706059</v>
      </c>
      <c r="DH29" s="21">
        <f>EXP(-LN(2)/2)*DH28+(1-EXP(-LN(2)/2))/(LN(2)/2)*DB29*DE29*VLOOKUP('Données projet'!$B$13,Paramètres!$A$1:$I$89,3,0)*0.475*44/12</f>
        <v>10.174657174148917</v>
      </c>
      <c r="DI29" s="22">
        <f t="shared" si="15"/>
        <v>41.241025154856708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371.7282125501186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10.8</v>
      </c>
      <c r="AI30" s="13">
        <f>IF('Données projet'!$A$62&gt;35,AI29+AH30-AQ29,IF(A30&lt;'Données projet'!$A$62,$AF$205^A30,IF(A30='Données projet'!$A$62,'Données projet'!$B$62,AI29+AH30-AQ29)))</f>
        <v>126.59999999999998</v>
      </c>
      <c r="AJ30" s="13">
        <f>AI30*VLOOKUP('Données projet'!$B$10,Paramètres!$A$1:$I$89,3,0)*VLOOKUP('Données projet'!$B$10,Paramètres!$A$1:$I$89,5,0)</f>
        <v>84.923279999999991</v>
      </c>
      <c r="AK30" s="13">
        <f t="shared" si="35"/>
        <v>23.336735808953005</v>
      </c>
      <c r="AL30" s="20">
        <f t="shared" si="4"/>
        <v>188.5528608672598</v>
      </c>
      <c r="AM30" s="59">
        <f t="shared" si="5"/>
        <v>478.21952753392645</v>
      </c>
      <c r="AN30" s="59">
        <f ca="1">AVERAGE(OFFSET($AM$3,0,0,'Données projet'!$E$10+1,1))-AVERAGE(OFFSET($H$3,0,0,'Données projet'!$E$10+1,1))</f>
        <v>269.67260882504996</v>
      </c>
      <c r="AO30" s="59">
        <f t="shared" si="36"/>
        <v>272.13858200810074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3.022068519399487</v>
      </c>
      <c r="AV30" s="21">
        <f>EXP(-LN(2)/25)*AV29+(1-EXP(-LN(2)/25))/(LN(2)/25)*Calculateur!AQ30*Calculateur!AS30*VLOOKUP('Données projet'!$B$10,Paramètres!$A$1:$I$89,3,0)*0.475*44/12</f>
        <v>0.59257081604593764</v>
      </c>
      <c r="AW30" s="21">
        <f>EXP(-LN(2)/2)*AW29+(1-EXP(-LN(2)/2))/(LN(2)/2)*AQ30*AT30*VLOOKUP('Données projet'!$B$10,Paramètres!$A$1:$I$89,3,0)*0.475*44/12</f>
        <v>0.75950142518075336</v>
      </c>
      <c r="AX30" s="21">
        <f t="shared" si="6"/>
        <v>4.3741407606261777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10.214285714285714</v>
      </c>
      <c r="BD30" s="12">
        <f>IF('Données projet'!$A$88&gt;35,BD29+BC30-BL29,IF(A30&lt;'Données projet'!$A$88,$BA$205^A30,IF(A30='Données projet'!$A$88,'Données projet'!$B$88,BD29+BC30-BL29)))</f>
        <v>233.68921773872302</v>
      </c>
      <c r="BE30" s="13">
        <f>BD30*VLOOKUP('Données projet'!$B$11,Paramètres!$A$1:$I$89,3,0)*VLOOKUP('Données projet'!$B$11,Paramètres!$A$1:$I$89,5,0)</f>
        <v>130.63227271594616</v>
      </c>
      <c r="BF30" s="13">
        <f t="shared" si="37"/>
        <v>34.142417712178798</v>
      </c>
      <c r="BG30" s="20">
        <f t="shared" si="7"/>
        <v>286.98258582898427</v>
      </c>
      <c r="BH30" s="59">
        <f t="shared" si="8"/>
        <v>576.6492524956509</v>
      </c>
      <c r="BI30" s="59">
        <f ca="1">AVERAGE(OFFSET($BH$3,0,0,'Données projet'!$E$11+1,1))-AVERAGE(OFFSET($H$3,0,0,'Données projet'!$E$11+1,1))</f>
        <v>330.33728077846268</v>
      </c>
      <c r="BJ30" s="59">
        <f t="shared" si="38"/>
        <v>358.38872754175208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10.199999999999999</v>
      </c>
      <c r="BY30" s="12">
        <f>IF('Données projet'!$A$114&gt;35,BY29+BX30-CG29,IF(A30&lt;'Données projet'!$A$114,$BV$205^A30,IF(A30='Données projet'!$A$114,'Données projet'!$B$114,BY29+BX30-CG29)))</f>
        <v>132.39999999999998</v>
      </c>
      <c r="BZ30" s="13">
        <f>BY30*VLOOKUP('Données projet'!$B$12,Paramètres!$A$1:$I$89,3,0)*VLOOKUP('Données projet'!$B$12,Paramètres!$A$1:$I$89,5,0)</f>
        <v>125.99183999999998</v>
      </c>
      <c r="CA30" s="13">
        <f t="shared" si="39"/>
        <v>33.0685099164535</v>
      </c>
      <c r="CB30" s="20">
        <f t="shared" si="10"/>
        <v>277.03010943782311</v>
      </c>
      <c r="CC30" s="59">
        <f t="shared" si="11"/>
        <v>566.6967761044898</v>
      </c>
      <c r="CD30" s="59">
        <f ca="1">AVERAGE(OFFSET($CC$3,0,0,'Données projet'!$E$12+1,1))-AVERAGE(OFFSET($H$3,0,0,'Données projet'!$E$12+1,1))</f>
        <v>367.39143258674738</v>
      </c>
      <c r="CE30" s="59">
        <f t="shared" si="40"/>
        <v>376.02790658970292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3.3043183150792501</v>
      </c>
      <c r="CL30" s="21">
        <f>EXP(-LN(2)/25)*CL29+(1-EXP(-LN(2)/25))/(LN(2)/25)*Calculateur!CG30*Calculateur!CI30*VLOOKUP('Données projet'!$B$12,Paramètres!$A$1:$I$89,3,0)*0.475*44/12</f>
        <v>0.64791469414834135</v>
      </c>
      <c r="CM30" s="21">
        <f>EXP(-LN(2)/2)*CM29+(1-EXP(-LN(2)/2))/(LN(2)/2)*CG30*CJ30*VLOOKUP('Données projet'!$B$12,Paramètres!$A$1:$I$89,3,0)*0.475*44/12</f>
        <v>1.0235606416098759</v>
      </c>
      <c r="CN30" s="22">
        <f t="shared" si="12"/>
        <v>4.9757936508374678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37.4</v>
      </c>
      <c r="CT30" s="12">
        <f>IF('Données projet'!$A$140&gt;35,CT29+CS30-DB29,IF(A30&lt;'Données projet'!$A$140,$CQ$205^A30,IF(A30='Données projet'!$A$140,'Données projet'!$B$140,CT29+CS30-DB29)))</f>
        <v>282.79999999999995</v>
      </c>
      <c r="CU30" s="17">
        <f>CT30*VLOOKUP('Données projet'!$B$13,Paramètres!$A$1:$I$89,3,0)*VLOOKUP('Données projet'!$B$13,Paramètres!$A$1:$I$89,5,0)</f>
        <v>124.99759999999999</v>
      </c>
      <c r="CV30" s="13">
        <f t="shared" si="41"/>
        <v>32.837825026716871</v>
      </c>
      <c r="CW30" s="20">
        <f t="shared" si="13"/>
        <v>274.89669858819849</v>
      </c>
      <c r="CX30" s="59">
        <f t="shared" si="14"/>
        <v>564.56336525486518</v>
      </c>
      <c r="CY30" s="59">
        <f ca="1">AVERAGE(OFFSET($CX$3,0,0,'Données projet'!$E$13+1,1))-AVERAGE(OFFSET($H$3,0,0,'Données projet'!$E$13+1,1))</f>
        <v>500.13646131618248</v>
      </c>
      <c r="CZ30" s="59">
        <f t="shared" si="42"/>
        <v>417.58036817539306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7.8110989967190338</v>
      </c>
      <c r="DG30" s="21">
        <f>EXP(-LN(2)/25)*DG29+(1-EXP(-LN(2)/25))/(LN(2)/25)*Calculateur!DB30*Calculateur!DD30*VLOOKUP('Données projet'!$B$13,Paramètres!$A$1:$I$89,3,0)*0.475*44/12</f>
        <v>22.467390121418283</v>
      </c>
      <c r="DH30" s="21">
        <f>EXP(-LN(2)/2)*DH29+(1-EXP(-LN(2)/2))/(LN(2)/2)*DB30*DE30*VLOOKUP('Données projet'!$B$13,Paramètres!$A$1:$I$89,3,0)*0.475*44/12</f>
        <v>7.1945690840890553</v>
      </c>
      <c r="DI30" s="22">
        <f t="shared" si="15"/>
        <v>37.473058202226369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371.7282125501186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10.8</v>
      </c>
      <c r="AI31" s="13">
        <f>IF('Données projet'!$A$62&gt;35,AI30+AH31-AQ30,IF(A31&lt;'Données projet'!$A$62,$AF$205^A31,IF(A31='Données projet'!$A$62,'Données projet'!$B$62,AI30+AH31-AQ30)))</f>
        <v>137.39999999999998</v>
      </c>
      <c r="AJ31" s="13">
        <f>AI31*VLOOKUP('Données projet'!$B$10,Paramètres!$A$1:$I$89,3,0)*VLOOKUP('Données projet'!$B$10,Paramètres!$A$1:$I$89,5,0)</f>
        <v>92.167919999999981</v>
      </c>
      <c r="AK31" s="13">
        <f t="shared" si="35"/>
        <v>25.087348587680737</v>
      </c>
      <c r="AL31" s="20">
        <f t="shared" si="4"/>
        <v>204.21959279021056</v>
      </c>
      <c r="AM31" s="59">
        <f t="shared" si="5"/>
        <v>495.10848167909944</v>
      </c>
      <c r="AN31" s="59">
        <f ca="1">AVERAGE(OFFSET($AM$3,0,0,'Données projet'!$E$10+1,1))-AVERAGE(OFFSET($H$3,0,0,'Données projet'!$E$10+1,1))</f>
        <v>269.67260882504996</v>
      </c>
      <c r="AO31" s="59">
        <f t="shared" si="36"/>
        <v>272.13858200810074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2.9628075990138512</v>
      </c>
      <c r="AV31" s="21">
        <f>EXP(-LN(2)/25)*AV30+(1-EXP(-LN(2)/25))/(LN(2)/25)*Calculateur!AQ31*Calculateur!AS31*VLOOKUP('Données projet'!$B$10,Paramètres!$A$1:$I$89,3,0)*0.475*44/12</f>
        <v>0.57636693591921662</v>
      </c>
      <c r="AW31" s="21">
        <f>EXP(-LN(2)/2)*AW30+(1-EXP(-LN(2)/2))/(LN(2)/2)*AQ31*AT31*VLOOKUP('Données projet'!$B$10,Paramètres!$A$1:$I$89,3,0)*0.475*44/12</f>
        <v>0.53704860806615795</v>
      </c>
      <c r="AX31" s="21">
        <f t="shared" si="6"/>
        <v>4.0762231429992255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286</v>
      </c>
      <c r="BB31" s="12">
        <f>VLOOKUP(A31,'Données projet'!$A$87:$I$107,9,0)</f>
        <v>10.214285714285714</v>
      </c>
      <c r="BC31" s="12">
        <f t="array" ref="BC31">INDEX(BB:BB,MIN(IF(ISNUMBER(BB31:BB227),ROW(BB31:BB227),"")))</f>
        <v>10.214285714285714</v>
      </c>
      <c r="BD31" s="12">
        <f>IF('Données projet'!$A$88&gt;35,BD30+BC31-BL30,IF(A31&lt;'Données projet'!$A$88,$BA$205^A31,IF(A31='Données projet'!$A$88,'Données projet'!$B$88,BD30+BC31-BL30)))</f>
        <v>286</v>
      </c>
      <c r="BE31" s="13">
        <f>BD31*VLOOKUP('Données projet'!$B$11,Paramètres!$A$1:$I$89,3,0)*VLOOKUP('Données projet'!$B$11,Paramètres!$A$1:$I$89,5,0)</f>
        <v>159.87400000000002</v>
      </c>
      <c r="BF31" s="13">
        <f t="shared" si="37"/>
        <v>40.81409445206225</v>
      </c>
      <c r="BG31" s="20">
        <f t="shared" si="7"/>
        <v>349.53176450400844</v>
      </c>
      <c r="BH31" s="59">
        <f t="shared" si="8"/>
        <v>640.42065339289729</v>
      </c>
      <c r="BI31" s="59">
        <f ca="1">AVERAGE(OFFSET($BH$3,0,0,'Données projet'!$E$11+1,1))-AVERAGE(OFFSET($H$3,0,0,'Données projet'!$E$11+1,1))</f>
        <v>330.33728077846268</v>
      </c>
      <c r="BJ31" s="59">
        <f t="shared" si="38"/>
        <v>358.38872754175208</v>
      </c>
      <c r="BK31" s="15">
        <f>IF(ISNA(VLOOKUP(A31,'Données projet'!$A$87:$I$107,3,0)),0,VLOOKUP(A31,'Données projet'!$A$87:$I$107,3,0))</f>
        <v>1</v>
      </c>
      <c r="BL31" s="15">
        <f>IF(ISNA(VLOOKUP(A31,'Données projet'!$A$87:$I$107,4,0)),0,VLOOKUP(A31,'Données projet'!$A$87:$I$107,4,0))</f>
        <v>63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0.22000000000000003</v>
      </c>
      <c r="BO31" s="16">
        <f>IF(ISNA(VLOOKUP(A31,'Données projet'!$A$87:$I$107,7,0)),0%,VLOOKUP(A31,'Données projet'!$A$87:$I$107,7,0))</f>
        <v>0.6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10.237408578052351</v>
      </c>
      <c r="BR31" s="21">
        <f>EXP(-LN(2)/2)*BR30+(1-EXP(-LN(2)/2))/(LN(2)/2)*BL31*BO31*VLOOKUP('Données projet'!$B$11,Paramètres!$A$1:$I$89,3,0)*0.475*44/12</f>
        <v>23.924294893193728</v>
      </c>
      <c r="BS31" s="22">
        <f t="shared" si="9"/>
        <v>34.161703471246078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10.199999999999999</v>
      </c>
      <c r="BY31" s="12">
        <f>IF('Données projet'!$A$114&gt;35,BY30+BX31-CG30,IF(A31&lt;'Données projet'!$A$114,$BV$205^A31,IF(A31='Données projet'!$A$114,'Données projet'!$B$114,BY30+BX31-CG30)))</f>
        <v>142.59999999999997</v>
      </c>
      <c r="BZ31" s="13">
        <f>BY31*VLOOKUP('Données projet'!$B$12,Paramètres!$A$1:$I$89,3,0)*VLOOKUP('Données projet'!$B$12,Paramètres!$A$1:$I$89,5,0)</f>
        <v>135.69815999999997</v>
      </c>
      <c r="CA31" s="13">
        <f t="shared" si="39"/>
        <v>35.309731483374598</v>
      </c>
      <c r="CB31" s="20">
        <f t="shared" si="10"/>
        <v>297.83874433354407</v>
      </c>
      <c r="CC31" s="59">
        <f t="shared" si="11"/>
        <v>588.72763322243293</v>
      </c>
      <c r="CD31" s="59">
        <f ca="1">AVERAGE(OFFSET($CC$3,0,0,'Données projet'!$E$12+1,1))-AVERAGE(OFFSET($H$3,0,0,'Données projet'!$E$12+1,1))</f>
        <v>367.39143258674738</v>
      </c>
      <c r="CE31" s="59">
        <f t="shared" si="40"/>
        <v>376.02790658970292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3.2395226483557105</v>
      </c>
      <c r="CL31" s="21">
        <f>EXP(-LN(2)/25)*CL30+(1-EXP(-LN(2)/25))/(LN(2)/25)*Calculateur!CG31*Calculateur!CI31*VLOOKUP('Données projet'!$B$12,Paramètres!$A$1:$I$89,3,0)*0.475*44/12</f>
        <v>0.63019743276450202</v>
      </c>
      <c r="CM31" s="21">
        <f>EXP(-LN(2)/2)*CM30+(1-EXP(-LN(2)/2))/(LN(2)/2)*CG31*CJ31*VLOOKUP('Données projet'!$B$12,Paramètres!$A$1:$I$89,3,0)*0.475*44/12</f>
        <v>0.72376667063799682</v>
      </c>
      <c r="CN31" s="22">
        <f t="shared" si="12"/>
        <v>4.593486751758209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37.4</v>
      </c>
      <c r="CT31" s="12">
        <f>IF('Données projet'!$A$140&gt;35,CT30+CS31-DB30,IF(A31&lt;'Données projet'!$A$140,$CQ$205^A31,IF(A31='Données projet'!$A$140,'Données projet'!$B$140,CT30+CS31-DB30)))</f>
        <v>320.19999999999993</v>
      </c>
      <c r="CU31" s="17">
        <f>CT31*VLOOKUP('Données projet'!$B$13,Paramètres!$A$1:$I$89,3,0)*VLOOKUP('Données projet'!$B$13,Paramètres!$A$1:$I$89,5,0)</f>
        <v>141.52839999999998</v>
      </c>
      <c r="CV31" s="13">
        <f t="shared" si="41"/>
        <v>36.646918903168391</v>
      </c>
      <c r="CW31" s="20">
        <f t="shared" si="13"/>
        <v>310.32201375635157</v>
      </c>
      <c r="CX31" s="59">
        <f t="shared" si="14"/>
        <v>601.21090264524037</v>
      </c>
      <c r="CY31" s="59">
        <f ca="1">AVERAGE(OFFSET($CX$3,0,0,'Données projet'!$E$13+1,1))-AVERAGE(OFFSET($H$3,0,0,'Données projet'!$E$13+1,1))</f>
        <v>500.13646131618248</v>
      </c>
      <c r="CZ31" s="59">
        <f t="shared" si="42"/>
        <v>417.58036817539306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7.6579281096933265</v>
      </c>
      <c r="DG31" s="21">
        <f>EXP(-LN(2)/25)*DG30+(1-EXP(-LN(2)/25))/(LN(2)/25)*Calculateur!DB31*Calculateur!DD31*VLOOKUP('Données projet'!$B$13,Paramètres!$A$1:$I$89,3,0)*0.475*44/12</f>
        <v>21.853018157039404</v>
      </c>
      <c r="DH31" s="21">
        <f>EXP(-LN(2)/2)*DH30+(1-EXP(-LN(2)/2))/(LN(2)/2)*DB31*DE31*VLOOKUP('Données projet'!$B$13,Paramètres!$A$1:$I$89,3,0)*0.475*44/12</f>
        <v>5.0873285870744596</v>
      </c>
      <c r="DI31" s="22">
        <f t="shared" si="15"/>
        <v>34.59827485380719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371.7282125501186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10.8</v>
      </c>
      <c r="AI32" s="13">
        <f>IF('Données projet'!$A$62&gt;35,AI31+AH32-AQ31,IF(A32&lt;'Données projet'!$A$62,$AF$205^A32,IF(A32='Données projet'!$A$62,'Données projet'!$B$62,AI31+AH32-AQ31)))</f>
        <v>148.19999999999999</v>
      </c>
      <c r="AJ32" s="13">
        <f>AI32*VLOOKUP('Données projet'!$B$10,Paramètres!$A$1:$I$89,3,0)*VLOOKUP('Données projet'!$B$10,Paramètres!$A$1:$I$89,5,0)</f>
        <v>99.412559999999985</v>
      </c>
      <c r="AK32" s="13">
        <f t="shared" si="35"/>
        <v>26.822000116688319</v>
      </c>
      <c r="AL32" s="20">
        <f t="shared" si="4"/>
        <v>219.85852553656545</v>
      </c>
      <c r="AM32" s="59">
        <f t="shared" si="5"/>
        <v>511.96963664767657</v>
      </c>
      <c r="AN32" s="59">
        <f ca="1">AVERAGE(OFFSET($AM$3,0,0,'Données projet'!$E$10+1,1))-AVERAGE(OFFSET($H$3,0,0,'Données projet'!$E$10+1,1))</f>
        <v>269.67260882504996</v>
      </c>
      <c r="AO32" s="59">
        <f t="shared" si="36"/>
        <v>272.13858200810074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2.9047087491313852</v>
      </c>
      <c r="AV32" s="21">
        <f>EXP(-LN(2)/25)*AV31+(1-EXP(-LN(2)/25))/(LN(2)/25)*Calculateur!AQ32*Calculateur!AS32*VLOOKUP('Données projet'!$B$10,Paramètres!$A$1:$I$89,3,0)*0.475*44/12</f>
        <v>0.56060615174668582</v>
      </c>
      <c r="AW32" s="21">
        <f>EXP(-LN(2)/2)*AW31+(1-EXP(-LN(2)/2))/(LN(2)/2)*AQ32*AT32*VLOOKUP('Données projet'!$B$10,Paramètres!$A$1:$I$89,3,0)*0.475*44/12</f>
        <v>0.37975071259037668</v>
      </c>
      <c r="AX32" s="21">
        <f t="shared" si="6"/>
        <v>3.8450656134684476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19.857142857142858</v>
      </c>
      <c r="BD32" s="12">
        <f>IF('Données projet'!$A$88&gt;35,BD31+BC32-BL31,IF(A32&lt;'Données projet'!$A$88,$BA$205^A32,IF(A32='Données projet'!$A$88,'Données projet'!$B$88,BD31+BC32-BL31)))</f>
        <v>242.85714285714283</v>
      </c>
      <c r="BE32" s="13">
        <f>BD32*VLOOKUP('Données projet'!$B$11,Paramètres!$A$1:$I$89,3,0)*VLOOKUP('Données projet'!$B$11,Paramètres!$A$1:$I$89,5,0)</f>
        <v>135.75714285714284</v>
      </c>
      <c r="BF32" s="13">
        <f t="shared" si="37"/>
        <v>35.32329246053262</v>
      </c>
      <c r="BG32" s="20">
        <f t="shared" si="7"/>
        <v>297.96509151161808</v>
      </c>
      <c r="BH32" s="59">
        <f t="shared" si="8"/>
        <v>590.07620262272917</v>
      </c>
      <c r="BI32" s="59">
        <f ca="1">AVERAGE(OFFSET($BH$3,0,0,'Données projet'!$E$11+1,1))-AVERAGE(OFFSET($H$3,0,0,'Données projet'!$E$11+1,1))</f>
        <v>330.33728077846268</v>
      </c>
      <c r="BJ32" s="59">
        <f t="shared" si="38"/>
        <v>358.38872754175208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9.9574661021235897</v>
      </c>
      <c r="BR32" s="21">
        <f>EXP(-LN(2)/2)*BR31+(1-EXP(-LN(2)/2))/(LN(2)/2)*BL32*BO32*VLOOKUP('Données projet'!$B$11,Paramètres!$A$1:$I$89,3,0)*0.475*44/12</f>
        <v>16.917031154083976</v>
      </c>
      <c r="BS32" s="22">
        <f t="shared" si="9"/>
        <v>26.874497256207565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10.199999999999999</v>
      </c>
      <c r="BY32" s="12">
        <f>IF('Données projet'!$A$114&gt;35,BY31+BX32-CG31,IF(A32&lt;'Données projet'!$A$114,$BV$205^A32,IF(A32='Données projet'!$A$114,'Données projet'!$B$114,BY31+BX32-CG31)))</f>
        <v>152.79999999999995</v>
      </c>
      <c r="BZ32" s="13">
        <f>BY32*VLOOKUP('Données projet'!$B$12,Paramètres!$A$1:$I$89,3,0)*VLOOKUP('Données projet'!$B$12,Paramètres!$A$1:$I$89,5,0)</f>
        <v>145.40447999999995</v>
      </c>
      <c r="CA32" s="13">
        <f t="shared" si="39"/>
        <v>37.532353491703653</v>
      </c>
      <c r="CB32" s="20">
        <f t="shared" si="10"/>
        <v>318.61498499805043</v>
      </c>
      <c r="CC32" s="59">
        <f t="shared" si="11"/>
        <v>610.72609610916152</v>
      </c>
      <c r="CD32" s="59">
        <f ca="1">AVERAGE(OFFSET($CC$3,0,0,'Données projet'!$E$12+1,1))-AVERAGE(OFFSET($H$3,0,0,'Données projet'!$E$12+1,1))</f>
        <v>367.39143258674738</v>
      </c>
      <c r="CE32" s="59">
        <f t="shared" si="40"/>
        <v>376.02790658970292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3.1759975851351654</v>
      </c>
      <c r="CL32" s="21">
        <f>EXP(-LN(2)/25)*CL31+(1-EXP(-LN(2)/25))/(LN(2)/25)*Calculateur!CG32*Calculateur!CI32*VLOOKUP('Données projet'!$B$12,Paramètres!$A$1:$I$89,3,0)*0.475*44/12</f>
        <v>0.61296465082491403</v>
      </c>
      <c r="CM32" s="21">
        <f>EXP(-LN(2)/2)*CM31+(1-EXP(-LN(2)/2))/(LN(2)/2)*CG32*CJ32*VLOOKUP('Données projet'!$B$12,Paramètres!$A$1:$I$89,3,0)*0.475*44/12</f>
        <v>0.51178032080493807</v>
      </c>
      <c r="CN32" s="22">
        <f t="shared" si="12"/>
        <v>4.3007425567650177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37.4</v>
      </c>
      <c r="CT32" s="12">
        <f>IF('Données projet'!$A$140&gt;35,CT31+CS32-DB31,IF(A32&lt;'Données projet'!$A$140,$CQ$205^A32,IF(A32='Données projet'!$A$140,'Données projet'!$B$140,CT31+CS32-DB31)))</f>
        <v>357.59999999999991</v>
      </c>
      <c r="CU32" s="17">
        <f>CT32*VLOOKUP('Données projet'!$B$13,Paramètres!$A$1:$I$89,3,0)*VLOOKUP('Données projet'!$B$13,Paramètres!$A$1:$I$89,5,0)</f>
        <v>158.05919999999998</v>
      </c>
      <c r="CV32" s="13">
        <f t="shared" si="41"/>
        <v>40.404452106627382</v>
      </c>
      <c r="CW32" s="20">
        <f t="shared" si="13"/>
        <v>345.65752741904265</v>
      </c>
      <c r="CX32" s="59">
        <f t="shared" si="14"/>
        <v>637.76863853015379</v>
      </c>
      <c r="CY32" s="59">
        <f ca="1">AVERAGE(OFFSET($CX$3,0,0,'Données projet'!$E$13+1,1))-AVERAGE(OFFSET($H$3,0,0,'Données projet'!$E$13+1,1))</f>
        <v>500.13646131618248</v>
      </c>
      <c r="CZ32" s="59">
        <f t="shared" si="42"/>
        <v>417.58036817539306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7.5077608103371762</v>
      </c>
      <c r="DG32" s="21">
        <f>EXP(-LN(2)/25)*DG31+(1-EXP(-LN(2)/25))/(LN(2)/25)*Calculateur!DB32*Calculateur!DD32*VLOOKUP('Données projet'!$B$13,Paramètres!$A$1:$I$89,3,0)*0.475*44/12</f>
        <v>21.255446226334882</v>
      </c>
      <c r="DH32" s="21">
        <f>EXP(-LN(2)/2)*DH31+(1-EXP(-LN(2)/2))/(LN(2)/2)*DB32*DE32*VLOOKUP('Données projet'!$B$13,Paramètres!$A$1:$I$89,3,0)*0.475*44/12</f>
        <v>3.5972845420445281</v>
      </c>
      <c r="DI32" s="22">
        <f t="shared" si="15"/>
        <v>32.360491578716584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371.7282125501186</v>
      </c>
      <c r="T33" s="59">
        <f t="shared" si="34"/>
        <v>231.36959598460686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159</v>
      </c>
      <c r="AG33" s="12">
        <f>VLOOKUP(A33,'Données projet'!$A$61:$I$81,9,0)</f>
        <v>10.8</v>
      </c>
      <c r="AH33" s="12">
        <f t="array" ref="AH33">INDEX(AG:AG,MIN(IF(ISNUMBER(AG33:AG229),ROW(AG33:AG229),"")))</f>
        <v>10.8</v>
      </c>
      <c r="AI33" s="13">
        <f>IF('Données projet'!$A$62&gt;35,AI32+AH33-AQ32,IF(A33&lt;'Données projet'!$A$62,$AF$205^A33,IF(A33='Données projet'!$A$62,'Données projet'!$B$62,AI32+AH33-AQ32)))</f>
        <v>159</v>
      </c>
      <c r="AJ33" s="13">
        <f>AI33*VLOOKUP('Données projet'!$B$10,Paramètres!$A$1:$I$89,3,0)*VLOOKUP('Données projet'!$B$10,Paramètres!$A$1:$I$89,5,0)</f>
        <v>106.65720000000002</v>
      </c>
      <c r="AK33" s="13">
        <f t="shared" si="35"/>
        <v>28.541985841971758</v>
      </c>
      <c r="AL33" s="20">
        <f t="shared" si="4"/>
        <v>235.47191534143417</v>
      </c>
      <c r="AM33" s="59">
        <f t="shared" si="5"/>
        <v>528.80524867476743</v>
      </c>
      <c r="AN33" s="59">
        <f ca="1">AVERAGE(OFFSET($AM$3,0,0,'Données projet'!$E$10+1,1))-AVERAGE(OFFSET($H$3,0,0,'Données projet'!$E$10+1,1))</f>
        <v>269.67260882504996</v>
      </c>
      <c r="AO33" s="59">
        <f t="shared" si="36"/>
        <v>272.13858200810074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0.21200000000000002</v>
      </c>
      <c r="AS33" s="16">
        <f>IF(ISNA(VLOOKUP(A33,'Données projet'!$A$61:$I$81,6,0)),0%,VLOOKUP(A33,'Données projet'!$A$61:$I$81,6,0)*VLOOKUP('Données projet'!$B$10,Paramètres!$A$1:$I$89,7,0))</f>
        <v>4.24E-2</v>
      </c>
      <c r="AT33" s="16">
        <f>IF(ISNA(VLOOKUP(A33,'Données projet'!$A$61:$I$81,7,0)),0%,VLOOKUP(A33,'Données projet'!$A$61:$I$81,7,0))</f>
        <v>0.12</v>
      </c>
      <c r="AU33" s="21">
        <f>EXP(-LN(2)/35)*AU32+(1-EXP(-LN(2)/35))/(LN(2)/35)*AQ33*AR33*VLOOKUP('Données projet'!$B$10,Paramètres!$A$1:$I$89,3,0)*0.475*44/12</f>
        <v>6.1491276924481255</v>
      </c>
      <c r="AV33" s="21">
        <f>EXP(-LN(2)/25)*AV32+(1-EXP(-LN(2)/25))/(LN(2)/25)*Calculateur!AQ33*Calculateur!AS33*VLOOKUP('Données projet'!$B$10,Paramètres!$A$1:$I$89,3,0)*0.475*44/12</f>
        <v>1.2029522920604485</v>
      </c>
      <c r="AW33" s="21">
        <f>EXP(-LN(2)/2)*AW32+(1-EXP(-LN(2)/2))/(LN(2)/2)*AQ33*AT33*VLOOKUP('Données projet'!$B$10,Paramètres!$A$1:$I$89,3,0)*0.475*44/12</f>
        <v>1.863477296912661</v>
      </c>
      <c r="AX33" s="21">
        <f t="shared" si="6"/>
        <v>9.2155572814212352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19.857142857142858</v>
      </c>
      <c r="BD33" s="12">
        <f>IF('Données projet'!$A$88&gt;35,BD32+BC33-BL32,IF(A33&lt;'Données projet'!$A$88,$BA$205^A33,IF(A33='Données projet'!$A$88,'Données projet'!$B$88,BD32+BC33-BL32)))</f>
        <v>262.71428571428567</v>
      </c>
      <c r="BE33" s="13">
        <f>BD33*VLOOKUP('Données projet'!$B$11,Paramètres!$A$1:$I$89,3,0)*VLOOKUP('Données projet'!$B$11,Paramètres!$A$1:$I$89,5,0)</f>
        <v>146.85728571428569</v>
      </c>
      <c r="BF33" s="13">
        <f t="shared" si="37"/>
        <v>37.863514788155719</v>
      </c>
      <c r="BG33" s="20">
        <f t="shared" si="7"/>
        <v>321.72206087508545</v>
      </c>
      <c r="BH33" s="59">
        <f t="shared" si="8"/>
        <v>615.05539420841876</v>
      </c>
      <c r="BI33" s="59">
        <f ca="1">AVERAGE(OFFSET($BH$3,0,0,'Données projet'!$E$11+1,1))-AVERAGE(OFFSET($H$3,0,0,'Données projet'!$E$11+1,1))</f>
        <v>330.33728077846268</v>
      </c>
      <c r="BJ33" s="59">
        <f t="shared" si="38"/>
        <v>358.38872754175208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9.6851786679206366</v>
      </c>
      <c r="BR33" s="21">
        <f>EXP(-LN(2)/2)*BR32+(1-EXP(-LN(2)/2))/(LN(2)/2)*BL33*BO33*VLOOKUP('Données projet'!$B$11,Paramètres!$A$1:$I$89,3,0)*0.475*44/12</f>
        <v>11.962147446596866</v>
      </c>
      <c r="BS33" s="22">
        <f t="shared" si="9"/>
        <v>21.647326114517504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163</v>
      </c>
      <c r="BW33" s="12">
        <f>VLOOKUP(A33,'Données projet'!$A$113:$I$133,9,0)</f>
        <v>10.199999999999999</v>
      </c>
      <c r="BX33" s="12">
        <f t="array" ref="BX33">INDEX(BW:BW,MIN(IF(ISNUMBER(BW33:BW229),ROW(BW33:BW229),"")))</f>
        <v>10.199999999999999</v>
      </c>
      <c r="BY33" s="12">
        <f>IF('Données projet'!$A$114&gt;35,BY32+BX33-CG32,IF(A33&lt;'Données projet'!$A$114,$BV$205^A33,IF(A33='Données projet'!$A$114,'Données projet'!$B$114,BY32+BX33-CG32)))</f>
        <v>162.99999999999994</v>
      </c>
      <c r="BZ33" s="13">
        <f>BY33*VLOOKUP('Données projet'!$B$12,Paramètres!$A$1:$I$89,3,0)*VLOOKUP('Données projet'!$B$12,Paramètres!$A$1:$I$89,5,0)</f>
        <v>155.11079999999995</v>
      </c>
      <c r="CA33" s="13">
        <f t="shared" si="39"/>
        <v>39.737758807484994</v>
      </c>
      <c r="CB33" s="20">
        <f t="shared" si="10"/>
        <v>339.36123992303629</v>
      </c>
      <c r="CC33" s="59">
        <f t="shared" si="11"/>
        <v>632.69457325636961</v>
      </c>
      <c r="CD33" s="59">
        <f ca="1">AVERAGE(OFFSET($CC$3,0,0,'Données projet'!$E$12+1,1))-AVERAGE(OFFSET($H$3,0,0,'Données projet'!$E$12+1,1))</f>
        <v>367.39143258674738</v>
      </c>
      <c r="CE33" s="59">
        <f t="shared" si="40"/>
        <v>376.02790658970292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0.17200000000000001</v>
      </c>
      <c r="CI33" s="16">
        <f>IF(ISNA(VLOOKUP(A33,'Données projet'!$A$113:$I$133,6,0)),0%,VLOOKUP(A33,'Données projet'!$A$113:$I$133,6,0)*VLOOKUP('Données projet'!$B$12,Paramètres!$A$1:$I$89,7,0))</f>
        <v>3.44E-2</v>
      </c>
      <c r="CJ33" s="16">
        <f>IF(ISNA(VLOOKUP(A33,'Données projet'!$A$113:$I$133,7,0)),0%,VLOOKUP(A33,'Données projet'!$A$113:$I$133,7,0))</f>
        <v>0.12</v>
      </c>
      <c r="CK33" s="21">
        <f>EXP(-LN(2)/35)*CK32+(1-EXP(-LN(2)/35))/(LN(2)/35)*CG33*CH33*VLOOKUP('Données projet'!$B$12,Paramètres!$A$1:$I$89,3,0)*0.475*44/12</f>
        <v>6.9134180044046749</v>
      </c>
      <c r="CL33" s="21">
        <f>EXP(-LN(2)/25)*CL32+(1-EXP(-LN(2)/25))/(LN(2)/25)*Calculateur!CG33*Calculateur!CI33*VLOOKUP('Données projet'!$B$12,Paramètres!$A$1:$I$89,3,0)*0.475*44/12</f>
        <v>1.35315088598484</v>
      </c>
      <c r="CM33" s="21">
        <f>EXP(-LN(2)/2)*CM32+(1-EXP(-LN(2)/2))/(LN(2)/2)*CG33*CJ33*VLOOKUP('Données projet'!$B$12,Paramètres!$A$1:$I$89,3,0)*0.475*44/12</f>
        <v>2.6244910694039865</v>
      </c>
      <c r="CN33" s="22">
        <f t="shared" si="12"/>
        <v>10.891059959793502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395</v>
      </c>
      <c r="CR33" s="12">
        <f>VLOOKUP(A33,'Données projet'!$A$139:$I$159,9,0)</f>
        <v>37.4</v>
      </c>
      <c r="CS33" s="12">
        <f t="array" ref="CS33">INDEX(CR:CR,MIN(IF(ISNUMBER(CR33:CR229),ROW(CR33:CR229),"")))</f>
        <v>37.4</v>
      </c>
      <c r="CT33" s="12">
        <f>IF('Données projet'!$A$140&gt;35,CT32+CS33-DB32,IF(A33&lt;'Données projet'!$A$140,$CQ$205^A33,IF(A33='Données projet'!$A$140,'Données projet'!$B$140,CT32+CS33-DB32)))</f>
        <v>394.99999999999989</v>
      </c>
      <c r="CU33" s="17">
        <f>CT33*VLOOKUP('Données projet'!$B$13,Paramètres!$A$1:$I$89,3,0)*VLOOKUP('Données projet'!$B$13,Paramètres!$A$1:$I$89,5,0)</f>
        <v>174.58999999999997</v>
      </c>
      <c r="CV33" s="13">
        <f t="shared" si="41"/>
        <v>44.116431488264027</v>
      </c>
      <c r="CW33" s="20">
        <f t="shared" si="13"/>
        <v>380.91370150872643</v>
      </c>
      <c r="CX33" s="59">
        <f t="shared" si="14"/>
        <v>674.24703484205975</v>
      </c>
      <c r="CY33" s="59">
        <f ca="1">AVERAGE(OFFSET($CX$3,0,0,'Données projet'!$E$13+1,1))-AVERAGE(OFFSET($H$3,0,0,'Données projet'!$E$13+1,1))</f>
        <v>500.13646131618248</v>
      </c>
      <c r="CZ33" s="59">
        <f t="shared" si="42"/>
        <v>417.58036817539306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84</v>
      </c>
      <c r="DC33" s="16">
        <f>IF(ISNA(VLOOKUP(A33,'Données projet'!$A$139:$I$159,5,0)),0%,VLOOKUP(A33,'Données projet'!$A$139:$I$159,5,0)*VLOOKUP('Données projet'!$B$13,Paramètres!$A$1:$I$89,7,0))</f>
        <v>0.27500000000000002</v>
      </c>
      <c r="DD33" s="16">
        <f>IF(ISNA(VLOOKUP(A33,'Données projet'!$A$139:$I$159,6,0)),0%,VLOOKUP(A33,'Données projet'!$A$139:$I$159,6,0)*VLOOKUP('Données projet'!$B$13,Paramètres!$A$1:$I$89,7,0))</f>
        <v>0.16500000000000001</v>
      </c>
      <c r="DE33" s="16">
        <f>IF(ISNA(VLOOKUP(A33,'Données projet'!$A$139:$I$159,7,0)),0%,VLOOKUP(A33,'Données projet'!$A$139:$I$159,7,0))</f>
        <v>0.2</v>
      </c>
      <c r="DF33" s="21">
        <f>EXP(-LN(2)/35)*DF32+(1-EXP(-LN(2)/35))/(LN(2)/35)*DB33*DC33*VLOOKUP('Données projet'!$B$13,Paramètres!$A$1:$I$89,3,0)*0.475*44/12</f>
        <v>20.905026603057188</v>
      </c>
      <c r="DG33" s="21">
        <f>EXP(-LN(2)/25)*DG32+(1-EXP(-LN(2)/25))/(LN(2)/25)*Calculateur!DB33*Calculateur!DD33*VLOOKUP('Données projet'!$B$13,Paramètres!$A$1:$I$89,3,0)*0.475*44/12</f>
        <v>28.768910086239487</v>
      </c>
      <c r="DH33" s="21">
        <f>EXP(-LN(2)/2)*DH32+(1-EXP(-LN(2)/2))/(LN(2)/2)*DB33*DE33*VLOOKUP('Données projet'!$B$13,Paramètres!$A$1:$I$89,3,0)*0.475*44/12</f>
        <v>10.951168442049754</v>
      </c>
      <c r="DI33" s="22">
        <f t="shared" si="15"/>
        <v>60.62510513134643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462.55410206940076</v>
      </c>
      <c r="S34" s="59">
        <f ca="1">AVERAGE(OFFSET($R$3,0,0,'Données projet'!$E$9+1,1))-AVERAGE(OFFSET($H$3,0,0,'Données projet'!$E$9+1,1))</f>
        <v>371.7282125501186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10.199999999999999</v>
      </c>
      <c r="AI34" s="13">
        <f>IF('Données projet'!$A$62&gt;35,AI33+AH34-AQ33,IF(A34&lt;'Données projet'!$A$62,$AF$205^A34,IF(A34='Données projet'!$A$62,'Données projet'!$B$62,AI33+AH34-AQ33)))</f>
        <v>148.19999999999999</v>
      </c>
      <c r="AJ34" s="13">
        <f>AI34*VLOOKUP('Données projet'!$B$10,Paramètres!$A$1:$I$89,3,0)*VLOOKUP('Données projet'!$B$10,Paramètres!$A$1:$I$89,5,0)</f>
        <v>99.412559999999985</v>
      </c>
      <c r="AK34" s="13">
        <f t="shared" si="35"/>
        <v>26.822000116688319</v>
      </c>
      <c r="AL34" s="20">
        <f t="shared" si="4"/>
        <v>219.85852553656545</v>
      </c>
      <c r="AM34" s="59">
        <f t="shared" si="5"/>
        <v>513.19185886989874</v>
      </c>
      <c r="AN34" s="59">
        <f ca="1">AVERAGE(OFFSET($AM$3,0,0,'Données projet'!$E$10+1,1))-AVERAGE(OFFSET($H$3,0,0,'Données projet'!$E$10+1,1))</f>
        <v>269.67260882504996</v>
      </c>
      <c r="AO34" s="59">
        <f t="shared" si="36"/>
        <v>272.13858200810074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6.0285470489967699</v>
      </c>
      <c r="AV34" s="21">
        <f>EXP(-LN(2)/25)*AV33+(1-EXP(-LN(2)/25))/(LN(2)/25)*Calculateur!AQ34*Calculateur!AS34*VLOOKUP('Données projet'!$B$10,Paramètres!$A$1:$I$89,3,0)*0.475*44/12</f>
        <v>1.1700574983735439</v>
      </c>
      <c r="AW34" s="21">
        <f>EXP(-LN(2)/2)*AW33+(1-EXP(-LN(2)/2))/(LN(2)/2)*AQ34*AT34*VLOOKUP('Données projet'!$B$10,Paramètres!$A$1:$I$89,3,0)*0.475*44/12</f>
        <v>1.3176774332341201</v>
      </c>
      <c r="AX34" s="21">
        <f t="shared" si="6"/>
        <v>8.5162819806044343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19.857142857142858</v>
      </c>
      <c r="BD34" s="12">
        <f>IF('Données projet'!$A$88&gt;35,BD33+BC34-BL33,IF(A34&lt;'Données projet'!$A$88,$BA$205^A34,IF(A34='Données projet'!$A$88,'Données projet'!$B$88,BD33+BC34-BL33)))</f>
        <v>282.5714285714285</v>
      </c>
      <c r="BE34" s="13">
        <f>BD34*VLOOKUP('Données projet'!$B$11,Paramètres!$A$1:$I$89,3,0)*VLOOKUP('Données projet'!$B$11,Paramètres!$A$1:$I$89,5,0)</f>
        <v>157.95742857142852</v>
      </c>
      <c r="BF34" s="13">
        <f t="shared" si="37"/>
        <v>40.381463783192373</v>
      </c>
      <c r="BG34" s="20">
        <f t="shared" si="7"/>
        <v>345.44023751763137</v>
      </c>
      <c r="BH34" s="59">
        <f t="shared" si="8"/>
        <v>638.77357085096469</v>
      </c>
      <c r="BI34" s="59">
        <f ca="1">AVERAGE(OFFSET($BH$3,0,0,'Données projet'!$E$11+1,1))-AVERAGE(OFFSET($H$3,0,0,'Données projet'!$E$11+1,1))</f>
        <v>330.33728077846268</v>
      </c>
      <c r="BJ34" s="59">
        <f t="shared" si="38"/>
        <v>358.38872754175208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9.4203369479249357</v>
      </c>
      <c r="BR34" s="21">
        <f>EXP(-LN(2)/2)*BR33+(1-EXP(-LN(2)/2))/(LN(2)/2)*BL34*BO34*VLOOKUP('Données projet'!$B$11,Paramètres!$A$1:$I$89,3,0)*0.475*44/12</f>
        <v>8.4585155770419895</v>
      </c>
      <c r="BS34" s="22">
        <f t="shared" si="9"/>
        <v>17.878852524966923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</v>
      </c>
      <c r="BY34" s="12">
        <f>IF('Données projet'!$A$114&gt;35,BY33+BX34-CG33,IF(A34&lt;'Données projet'!$A$114,$BV$205^A34,IF(A34='Données projet'!$A$114,'Données projet'!$B$114,BY33+BX34-CG33)))</f>
        <v>151.99999999999994</v>
      </c>
      <c r="BZ34" s="13">
        <f>BY34*VLOOKUP('Données projet'!$B$12,Paramètres!$A$1:$I$89,3,0)*VLOOKUP('Données projet'!$B$12,Paramètres!$A$1:$I$89,5,0)</f>
        <v>144.64319999999995</v>
      </c>
      <c r="CA34" s="13">
        <f t="shared" si="39"/>
        <v>37.358669132367886</v>
      </c>
      <c r="CB34" s="20">
        <f t="shared" si="10"/>
        <v>316.98658873887399</v>
      </c>
      <c r="CC34" s="59">
        <f t="shared" si="11"/>
        <v>610.31992207220731</v>
      </c>
      <c r="CD34" s="59">
        <f ca="1">AVERAGE(OFFSET($CC$3,0,0,'Données projet'!$E$12+1,1))-AVERAGE(OFFSET($H$3,0,0,'Données projet'!$E$12+1,1))</f>
        <v>367.39143258674738</v>
      </c>
      <c r="CE34" s="59">
        <f t="shared" si="40"/>
        <v>376.02790658970292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6.7778500941069106</v>
      </c>
      <c r="CL34" s="21">
        <f>EXP(-LN(2)/25)*CL33+(1-EXP(-LN(2)/25))/(LN(2)/25)*Calculateur!CG34*Calculateur!CI34*VLOOKUP('Données projet'!$B$12,Paramètres!$A$1:$I$89,3,0)*0.475*44/12</f>
        <v>1.3161489038484722</v>
      </c>
      <c r="CM34" s="21">
        <f>EXP(-LN(2)/2)*CM33+(1-EXP(-LN(2)/2))/(LN(2)/2)*CG34*CJ34*VLOOKUP('Données projet'!$B$12,Paramètres!$A$1:$I$89,3,0)*0.475*44/12</f>
        <v>1.8557954323390928</v>
      </c>
      <c r="CN34" s="22">
        <f t="shared" si="12"/>
        <v>9.9497944302944763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37</v>
      </c>
      <c r="CT34" s="12">
        <f>IF('Données projet'!$A$140&gt;35,CT33+CS34-DB33,IF(A34&lt;'Données projet'!$A$140,$CQ$205^A34,IF(A34='Données projet'!$A$140,'Données projet'!$B$140,CT33+CS34-DB33)))</f>
        <v>347.99999999999989</v>
      </c>
      <c r="CU34" s="17">
        <f>CT34*VLOOKUP('Données projet'!$B$13,Paramètres!$A$1:$I$89,3,0)*VLOOKUP('Données projet'!$B$13,Paramètres!$A$1:$I$89,5,0)</f>
        <v>153.81599999999995</v>
      </c>
      <c r="CV34" s="13">
        <f t="shared" si="41"/>
        <v>39.444513325737027</v>
      </c>
      <c r="CW34" s="20">
        <f t="shared" si="13"/>
        <v>336.59539404232521</v>
      </c>
      <c r="CX34" s="59">
        <f t="shared" si="14"/>
        <v>629.92872737565858</v>
      </c>
      <c r="CY34" s="59">
        <f ca="1">AVERAGE(OFFSET($CX$3,0,0,'Données projet'!$E$13+1,1))-AVERAGE(OFFSET($H$3,0,0,'Données projet'!$E$13+1,1))</f>
        <v>500.13646131618248</v>
      </c>
      <c r="CZ34" s="59">
        <f t="shared" si="42"/>
        <v>417.58036817539306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20.495091782178427</v>
      </c>
      <c r="DG34" s="21">
        <f>EXP(-LN(2)/25)*DG33+(1-EXP(-LN(2)/25))/(LN(2)/25)*Calculateur!DB34*Calculateur!DD34*VLOOKUP('Données projet'!$B$13,Paramètres!$A$1:$I$89,3,0)*0.475*44/12</f>
        <v>27.982222727040039</v>
      </c>
      <c r="DH34" s="21">
        <f>EXP(-LN(2)/2)*DH33+(1-EXP(-LN(2)/2))/(LN(2)/2)*DB34*DE34*VLOOKUP('Données projet'!$B$13,Paramètres!$A$1:$I$89,3,0)*0.475*44/12</f>
        <v>7.7436454672895003</v>
      </c>
      <c r="DI34" s="22">
        <f t="shared" si="15"/>
        <v>56.22095997650797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478.24526587136597</v>
      </c>
      <c r="S35" s="59">
        <f ca="1">AVERAGE(OFFSET($R$3,0,0,'Données projet'!$E$9+1,1))-AVERAGE(OFFSET($H$3,0,0,'Données projet'!$E$9+1,1))</f>
        <v>371.7282125501186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10.199999999999999</v>
      </c>
      <c r="AI35" s="13">
        <f>IF('Données projet'!$A$62&gt;35,AI34+AH35-AQ34,IF(A35&lt;'Données projet'!$A$62,$AF$205^A35,IF(A35='Données projet'!$A$62,'Données projet'!$B$62,AI34+AH35-AQ34)))</f>
        <v>158.39999999999998</v>
      </c>
      <c r="AJ35" s="13">
        <f>AI35*VLOOKUP('Données projet'!$B$10,Paramètres!$A$1:$I$89,3,0)*VLOOKUP('Données projet'!$B$10,Paramètres!$A$1:$I$89,5,0)</f>
        <v>106.25471999999999</v>
      </c>
      <c r="AK35" s="13">
        <f t="shared" si="35"/>
        <v>28.446796237064529</v>
      </c>
      <c r="AL35" s="20">
        <f t="shared" si="4"/>
        <v>234.60514077955398</v>
      </c>
      <c r="AM35" s="59">
        <f t="shared" si="5"/>
        <v>527.93847411288732</v>
      </c>
      <c r="AN35" s="59">
        <f ca="1">AVERAGE(OFFSET($AM$3,0,0,'Données projet'!$E$10+1,1))-AVERAGE(OFFSET($H$3,0,0,'Données projet'!$E$10+1,1))</f>
        <v>269.67260882504996</v>
      </c>
      <c r="AO35" s="59">
        <f t="shared" si="36"/>
        <v>272.13858200810074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5.9103309184165642</v>
      </c>
      <c r="AV35" s="21">
        <f>EXP(-LN(2)/25)*AV34+(1-EXP(-LN(2)/25))/(LN(2)/25)*Calculateur!AQ35*Calculateur!AS35*VLOOKUP('Données projet'!$B$10,Paramètres!$A$1:$I$89,3,0)*0.475*44/12</f>
        <v>1.1380622145498698</v>
      </c>
      <c r="AW35" s="21">
        <f>EXP(-LN(2)/2)*AW34+(1-EXP(-LN(2)/2))/(LN(2)/2)*AQ35*AT35*VLOOKUP('Données projet'!$B$10,Paramètres!$A$1:$I$89,3,0)*0.475*44/12</f>
        <v>0.93173864845633059</v>
      </c>
      <c r="AX35" s="21">
        <f t="shared" si="6"/>
        <v>7.9801317814227648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19.857142857142858</v>
      </c>
      <c r="BD35" s="12">
        <f>IF('Données projet'!$A$88&gt;35,BD34+BC35-BL34,IF(A35&lt;'Données projet'!$A$88,$BA$205^A35,IF(A35='Données projet'!$A$88,'Données projet'!$B$88,BD34+BC35-BL34)))</f>
        <v>302.42857142857133</v>
      </c>
      <c r="BE35" s="13">
        <f>BD35*VLOOKUP('Données projet'!$B$11,Paramètres!$A$1:$I$89,3,0)*VLOOKUP('Données projet'!$B$11,Paramètres!$A$1:$I$89,5,0)</f>
        <v>169.05757142857138</v>
      </c>
      <c r="BF35" s="13">
        <f t="shared" si="37"/>
        <v>42.878882693748956</v>
      </c>
      <c r="BG35" s="20">
        <f t="shared" si="7"/>
        <v>369.12265759637449</v>
      </c>
      <c r="BH35" s="59">
        <f t="shared" si="8"/>
        <v>662.45599092970781</v>
      </c>
      <c r="BI35" s="59">
        <f ca="1">AVERAGE(OFFSET($BH$3,0,0,'Données projet'!$E$11+1,1))-AVERAGE(OFFSET($H$3,0,0,'Données projet'!$E$11+1,1))</f>
        <v>330.33728077846268</v>
      </c>
      <c r="BJ35" s="59">
        <f t="shared" si="38"/>
        <v>358.38872754175208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9.1627373386899382</v>
      </c>
      <c r="BR35" s="21">
        <f>EXP(-LN(2)/2)*BR34+(1-EXP(-LN(2)/2))/(LN(2)/2)*BL35*BO35*VLOOKUP('Données projet'!$B$11,Paramètres!$A$1:$I$89,3,0)*0.475*44/12</f>
        <v>5.9810737232984339</v>
      </c>
      <c r="BS35" s="22">
        <f t="shared" si="9"/>
        <v>15.143811061988373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</v>
      </c>
      <c r="BY35" s="12">
        <f>IF('Données projet'!$A$114&gt;35,BY34+BX35-CG34,IF(A35&lt;'Données projet'!$A$114,$BV$205^A35,IF(A35='Données projet'!$A$114,'Données projet'!$B$114,BY34+BX35-CG34)))</f>
        <v>161.99999999999994</v>
      </c>
      <c r="BZ35" s="13">
        <f>BY35*VLOOKUP('Données projet'!$B$12,Paramètres!$A$1:$I$89,3,0)*VLOOKUP('Données projet'!$B$12,Paramètres!$A$1:$I$89,5,0)</f>
        <v>154.15919999999994</v>
      </c>
      <c r="CA35" s="13">
        <f t="shared" si="39"/>
        <v>39.522268933730984</v>
      </c>
      <c r="CB35" s="20">
        <f t="shared" si="10"/>
        <v>337.32855839291466</v>
      </c>
      <c r="CC35" s="59">
        <f t="shared" si="11"/>
        <v>630.66189172624797</v>
      </c>
      <c r="CD35" s="59">
        <f ca="1">AVERAGE(OFFSET($CC$3,0,0,'Données projet'!$E$12+1,1))-AVERAGE(OFFSET($H$3,0,0,'Données projet'!$E$12+1,1))</f>
        <v>367.39143258674738</v>
      </c>
      <c r="CE35" s="59">
        <f t="shared" si="40"/>
        <v>376.02790658970292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6.6449405878418251</v>
      </c>
      <c r="CL35" s="21">
        <f>EXP(-LN(2)/25)*CL34+(1-EXP(-LN(2)/25))/(LN(2)/25)*Calculateur!CG35*Calculateur!CI35*VLOOKUP('Données projet'!$B$12,Paramètres!$A$1:$I$89,3,0)*0.475*44/12</f>
        <v>1.280158742859473</v>
      </c>
      <c r="CM35" s="21">
        <f>EXP(-LN(2)/2)*CM34+(1-EXP(-LN(2)/2))/(LN(2)/2)*CG35*CJ35*VLOOKUP('Données projet'!$B$12,Paramètres!$A$1:$I$89,3,0)*0.475*44/12</f>
        <v>1.3122455347019935</v>
      </c>
      <c r="CN35" s="22">
        <f t="shared" si="12"/>
        <v>9.2373448654032906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37</v>
      </c>
      <c r="CT35" s="12">
        <f>IF('Données projet'!$A$140&gt;35,CT34+CS35-DB34,IF(A35&lt;'Données projet'!$A$140,$CQ$205^A35,IF(A35='Données projet'!$A$140,'Données projet'!$B$140,CT34+CS35-DB34)))</f>
        <v>384.99999999999989</v>
      </c>
      <c r="CU35" s="17">
        <f>CT35*VLOOKUP('Données projet'!$B$13,Paramètres!$A$1:$I$89,3,0)*VLOOKUP('Données projet'!$B$13,Paramètres!$A$1:$I$89,5,0)</f>
        <v>170.17</v>
      </c>
      <c r="CV35" s="13">
        <f t="shared" si="41"/>
        <v>43.128095715049412</v>
      </c>
      <c r="CW35" s="20">
        <f t="shared" si="13"/>
        <v>371.4941833703777</v>
      </c>
      <c r="CX35" s="59">
        <f t="shared" si="14"/>
        <v>664.82751670371101</v>
      </c>
      <c r="CY35" s="59">
        <f ca="1">AVERAGE(OFFSET($CX$3,0,0,'Données projet'!$E$13+1,1))-AVERAGE(OFFSET($H$3,0,0,'Données projet'!$E$13+1,1))</f>
        <v>500.13646131618248</v>
      </c>
      <c r="CZ35" s="59">
        <f t="shared" si="42"/>
        <v>417.58036817539306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20.093195533101547</v>
      </c>
      <c r="DG35" s="21">
        <f>EXP(-LN(2)/25)*DG34+(1-EXP(-LN(2)/25))/(LN(2)/25)*Calculateur!DB35*Calculateur!DD35*VLOOKUP('Données projet'!$B$13,Paramètres!$A$1:$I$89,3,0)*0.475*44/12</f>
        <v>27.21704737504799</v>
      </c>
      <c r="DH35" s="21">
        <f>EXP(-LN(2)/2)*DH34+(1-EXP(-LN(2)/2))/(LN(2)/2)*DB35*DE35*VLOOKUP('Données projet'!$B$13,Paramètres!$A$1:$I$89,3,0)*0.475*44/12</f>
        <v>5.475584221024878</v>
      </c>
      <c r="DI35" s="22">
        <f t="shared" si="15"/>
        <v>52.785827129174407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371.7282125501186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10.199999999999999</v>
      </c>
      <c r="AI36" s="13">
        <f>IF('Données projet'!$A$62&gt;35,AI35+AH36-AQ35,IF(A36&lt;'Données projet'!$A$62,$AF$205^A36,IF(A36='Données projet'!$A$62,'Données projet'!$B$62,AI35+AH36-AQ35)))</f>
        <v>168.59999999999997</v>
      </c>
      <c r="AJ36" s="13">
        <f>AI36*VLOOKUP('Données projet'!$B$10,Paramètres!$A$1:$I$89,3,0)*VLOOKUP('Données projet'!$B$10,Paramètres!$A$1:$I$89,5,0)</f>
        <v>113.09687999999998</v>
      </c>
      <c r="AK36" s="13">
        <f t="shared" si="35"/>
        <v>30.059450444893351</v>
      </c>
      <c r="AL36" s="20">
        <f t="shared" si="4"/>
        <v>249.33060885818921</v>
      </c>
      <c r="AM36" s="59">
        <f t="shared" si="5"/>
        <v>542.66394219152255</v>
      </c>
      <c r="AN36" s="59">
        <f ca="1">AVERAGE(OFFSET($AM$3,0,0,'Données projet'!$E$10+1,1))-AVERAGE(OFFSET($H$3,0,0,'Données projet'!$E$10+1,1))</f>
        <v>269.67260882504996</v>
      </c>
      <c r="AO36" s="59">
        <f t="shared" si="36"/>
        <v>272.13858200810074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5.7944329340523169</v>
      </c>
      <c r="AV36" s="21">
        <f>EXP(-LN(2)/25)*AV35+(1-EXP(-LN(2)/25))/(LN(2)/25)*Calculateur!AQ36*Calculateur!AS36*VLOOKUP('Données projet'!$B$10,Paramètres!$A$1:$I$89,3,0)*0.475*44/12</f>
        <v>1.1069418434449128</v>
      </c>
      <c r="AW36" s="21">
        <f>EXP(-LN(2)/2)*AW35+(1-EXP(-LN(2)/2))/(LN(2)/2)*AQ36*AT36*VLOOKUP('Données projet'!$B$10,Paramètres!$A$1:$I$89,3,0)*0.475*44/12</f>
        <v>0.65883871661706017</v>
      </c>
      <c r="AX36" s="21">
        <f t="shared" si="6"/>
        <v>7.56021349411429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19.857142857142858</v>
      </c>
      <c r="BD36" s="12">
        <f>IF('Données projet'!$A$88&gt;35,BD35+BC36-BL35,IF(A36&lt;'Données projet'!$A$88,$BA$205^A36,IF(A36='Données projet'!$A$88,'Données projet'!$B$88,BD35+BC36-BL35)))</f>
        <v>322.28571428571416</v>
      </c>
      <c r="BE36" s="13">
        <f>BD36*VLOOKUP('Données projet'!$B$11,Paramètres!$A$1:$I$89,3,0)*VLOOKUP('Données projet'!$B$11,Paramètres!$A$1:$I$89,5,0)</f>
        <v>180.15771428571421</v>
      </c>
      <c r="BF36" s="13">
        <f t="shared" si="37"/>
        <v>45.357272900691115</v>
      </c>
      <c r="BG36" s="20">
        <f t="shared" si="7"/>
        <v>392.77193601632257</v>
      </c>
      <c r="BH36" s="59">
        <f t="shared" si="8"/>
        <v>686.10526934965583</v>
      </c>
      <c r="BI36" s="59">
        <f ca="1">AVERAGE(OFFSET($BH$3,0,0,'Données projet'!$E$11+1,1))-AVERAGE(OFFSET($H$3,0,0,'Données projet'!$E$11+1,1))</f>
        <v>330.33728077846268</v>
      </c>
      <c r="BJ36" s="59">
        <f t="shared" si="38"/>
        <v>358.38872754175208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8.912181804316047</v>
      </c>
      <c r="BR36" s="21">
        <f>EXP(-LN(2)/2)*BR35+(1-EXP(-LN(2)/2))/(LN(2)/2)*BL36*BO36*VLOOKUP('Données projet'!$B$11,Paramètres!$A$1:$I$89,3,0)*0.475*44/12</f>
        <v>4.2292577885209948</v>
      </c>
      <c r="BS36" s="22">
        <f t="shared" si="9"/>
        <v>13.141439592837042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</v>
      </c>
      <c r="BY36" s="12">
        <f>IF('Données projet'!$A$114&gt;35,BY35+BX36-CG35,IF(A36&lt;'Données projet'!$A$114,$BV$205^A36,IF(A36='Données projet'!$A$114,'Données projet'!$B$114,BY35+BX36-CG35)))</f>
        <v>171.99999999999994</v>
      </c>
      <c r="BZ36" s="13">
        <f>BY36*VLOOKUP('Données projet'!$B$12,Paramètres!$A$1:$I$89,3,0)*VLOOKUP('Données projet'!$B$12,Paramètres!$A$1:$I$89,5,0)</f>
        <v>163.67519999999993</v>
      </c>
      <c r="CA36" s="13">
        <f t="shared" si="39"/>
        <v>41.670368197291587</v>
      </c>
      <c r="CB36" s="20">
        <f t="shared" si="10"/>
        <v>357.64353127694943</v>
      </c>
      <c r="CC36" s="59">
        <f t="shared" si="11"/>
        <v>650.97686461028275</v>
      </c>
      <c r="CD36" s="59">
        <f ca="1">AVERAGE(OFFSET($CC$3,0,0,'Données projet'!$E$12+1,1))-AVERAGE(OFFSET($H$3,0,0,'Données projet'!$E$12+1,1))</f>
        <v>367.39143258674738</v>
      </c>
      <c r="CE36" s="59">
        <f t="shared" si="40"/>
        <v>376.02790658970292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6.5146373559278032</v>
      </c>
      <c r="CL36" s="21">
        <f>EXP(-LN(2)/25)*CL35+(1-EXP(-LN(2)/25))/(LN(2)/25)*Calculateur!CG36*Calculateur!CI36*VLOOKUP('Données projet'!$B$12,Paramètres!$A$1:$I$89,3,0)*0.475*44/12</f>
        <v>1.2451527347153581</v>
      </c>
      <c r="CM36" s="21">
        <f>EXP(-LN(2)/2)*CM35+(1-EXP(-LN(2)/2))/(LN(2)/2)*CG36*CJ36*VLOOKUP('Données projet'!$B$12,Paramètres!$A$1:$I$89,3,0)*0.475*44/12</f>
        <v>0.92789771616954664</v>
      </c>
      <c r="CN36" s="22">
        <f t="shared" si="12"/>
        <v>8.6876878068127077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37</v>
      </c>
      <c r="CT36" s="12">
        <f>IF('Données projet'!$A$140&gt;35,CT35+CS36-DB35,IF(A36&lt;'Données projet'!$A$140,$CQ$205^A36,IF(A36='Données projet'!$A$140,'Données projet'!$B$140,CT35+CS36-DB35)))</f>
        <v>421.99999999999989</v>
      </c>
      <c r="CU36" s="17">
        <f>CT36*VLOOKUP('Données projet'!$B$13,Paramètres!$A$1:$I$89,3,0)*VLOOKUP('Données projet'!$B$13,Paramètres!$A$1:$I$89,5,0)</f>
        <v>186.52399999999994</v>
      </c>
      <c r="CV36" s="13">
        <f t="shared" si="41"/>
        <v>46.770634721831932</v>
      </c>
      <c r="CW36" s="20">
        <f t="shared" si="13"/>
        <v>406.32148880719052</v>
      </c>
      <c r="CX36" s="59">
        <f t="shared" si="14"/>
        <v>699.65482214052383</v>
      </c>
      <c r="CY36" s="59">
        <f ca="1">AVERAGE(OFFSET($CX$3,0,0,'Données projet'!$E$13+1,1))-AVERAGE(OFFSET($H$3,0,0,'Données projet'!$E$13+1,1))</f>
        <v>500.13646131618248</v>
      </c>
      <c r="CZ36" s="59">
        <f t="shared" si="42"/>
        <v>417.58036817539306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19.699180224336558</v>
      </c>
      <c r="DG36" s="21">
        <f>EXP(-LN(2)/25)*DG35+(1-EXP(-LN(2)/25))/(LN(2)/25)*Calculateur!DB36*Calculateur!DD36*VLOOKUP('Données projet'!$B$13,Paramètres!$A$1:$I$89,3,0)*0.475*44/12</f>
        <v>26.472795783294988</v>
      </c>
      <c r="DH36" s="21">
        <f>EXP(-LN(2)/2)*DH35+(1-EXP(-LN(2)/2))/(LN(2)/2)*DB36*DE36*VLOOKUP('Données projet'!$B$13,Paramètres!$A$1:$I$89,3,0)*0.475*44/12</f>
        <v>3.871822733644751</v>
      </c>
      <c r="DI36" s="22">
        <f t="shared" si="15"/>
        <v>50.043798741276291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509.537057935093</v>
      </c>
      <c r="S37" s="59">
        <f ca="1">AVERAGE(OFFSET($R$3,0,0,'Données projet'!$E$9+1,1))-AVERAGE(OFFSET($H$3,0,0,'Données projet'!$E$9+1,1))</f>
        <v>371.7282125501186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10.199999999999999</v>
      </c>
      <c r="AI37" s="13">
        <f>IF('Données projet'!$A$62&gt;35,AI36+AH37-AQ36,IF(A37&lt;'Données projet'!$A$62,$AF$205^A37,IF(A37='Données projet'!$A$62,'Données projet'!$B$62,AI36+AH37-AQ36)))</f>
        <v>178.79999999999995</v>
      </c>
      <c r="AJ37" s="13">
        <f>AI37*VLOOKUP('Données projet'!$B$10,Paramètres!$A$1:$I$89,3,0)*VLOOKUP('Données projet'!$B$10,Paramètres!$A$1:$I$89,5,0)</f>
        <v>119.93903999999998</v>
      </c>
      <c r="AK37" s="13">
        <f t="shared" si="35"/>
        <v>31.660780954759097</v>
      </c>
      <c r="AL37" s="20">
        <f t="shared" si="4"/>
        <v>264.03635482953871</v>
      </c>
      <c r="AM37" s="59">
        <f t="shared" si="5"/>
        <v>557.36968816287208</v>
      </c>
      <c r="AN37" s="59">
        <f ca="1">AVERAGE(OFFSET($AM$3,0,0,'Données projet'!$E$10+1,1))-AVERAGE(OFFSET($H$3,0,0,'Données projet'!$E$10+1,1))</f>
        <v>269.67260882504996</v>
      </c>
      <c r="AO37" s="59">
        <f t="shared" si="36"/>
        <v>272.13858200810074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5.6808076384706618</v>
      </c>
      <c r="AV37" s="21">
        <f>EXP(-LN(2)/25)*AV36+(1-EXP(-LN(2)/25))/(LN(2)/25)*Calculateur!AQ37*Calculateur!AS37*VLOOKUP('Données projet'!$B$10,Paramètres!$A$1:$I$89,3,0)*0.475*44/12</f>
        <v>1.07667246052437</v>
      </c>
      <c r="AW37" s="21">
        <f>EXP(-LN(2)/2)*AW36+(1-EXP(-LN(2)/2))/(LN(2)/2)*AQ37*AT37*VLOOKUP('Données projet'!$B$10,Paramètres!$A$1:$I$89,3,0)*0.475*44/12</f>
        <v>0.4658693242281654</v>
      </c>
      <c r="AX37" s="21">
        <f t="shared" si="6"/>
        <v>7.2233494232231976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19.857142857142858</v>
      </c>
      <c r="BD37" s="12">
        <f>IF('Données projet'!$A$88&gt;35,BD36+BC37-BL36,IF(A37&lt;'Données projet'!$A$88,$BA$205^A37,IF(A37='Données projet'!$A$88,'Données projet'!$B$88,BD36+BC37-BL36)))</f>
        <v>342.142857142857</v>
      </c>
      <c r="BE37" s="13">
        <f>BD37*VLOOKUP('Données projet'!$B$11,Paramètres!$A$1:$I$89,3,0)*VLOOKUP('Données projet'!$B$11,Paramètres!$A$1:$I$89,5,0)</f>
        <v>191.25785714285706</v>
      </c>
      <c r="BF37" s="13">
        <f t="shared" si="37"/>
        <v>47.81794031907372</v>
      </c>
      <c r="BG37" s="20">
        <f t="shared" si="7"/>
        <v>416.39034724619609</v>
      </c>
      <c r="BH37" s="59">
        <f t="shared" si="8"/>
        <v>709.7236805795294</v>
      </c>
      <c r="BI37" s="59">
        <f ca="1">AVERAGE(OFFSET($BH$3,0,0,'Données projet'!$E$11+1,1))-AVERAGE(OFFSET($H$3,0,0,'Données projet'!$E$11+1,1))</f>
        <v>330.33728077846268</v>
      </c>
      <c r="BJ37" s="59">
        <f t="shared" si="38"/>
        <v>358.38872754175208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8.6684777242057525</v>
      </c>
      <c r="BR37" s="21">
        <f>EXP(-LN(2)/2)*BR36+(1-EXP(-LN(2)/2))/(LN(2)/2)*BL37*BO37*VLOOKUP('Données projet'!$B$11,Paramètres!$A$1:$I$89,3,0)*0.475*44/12</f>
        <v>2.9905368616492169</v>
      </c>
      <c r="BS37" s="22">
        <f t="shared" si="9"/>
        <v>11.659014585854969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</v>
      </c>
      <c r="BY37" s="12">
        <f>IF('Données projet'!$A$114&gt;35,BY36+BX37-CG36,IF(A37&lt;'Données projet'!$A$114,$BV$205^A37,IF(A37='Données projet'!$A$114,'Données projet'!$B$114,BY36+BX37-CG36)))</f>
        <v>181.99999999999994</v>
      </c>
      <c r="BZ37" s="13">
        <f>BY37*VLOOKUP('Données projet'!$B$12,Paramètres!$A$1:$I$89,3,0)*VLOOKUP('Données projet'!$B$12,Paramètres!$A$1:$I$89,5,0)</f>
        <v>173.19119999999995</v>
      </c>
      <c r="CA37" s="13">
        <f t="shared" si="39"/>
        <v>43.803970782681198</v>
      </c>
      <c r="CB37" s="20">
        <f t="shared" si="10"/>
        <v>377.93325577983637</v>
      </c>
      <c r="CC37" s="59">
        <f t="shared" si="11"/>
        <v>671.26658911316963</v>
      </c>
      <c r="CD37" s="59">
        <f ca="1">AVERAGE(OFFSET($CC$3,0,0,'Données projet'!$E$12+1,1))-AVERAGE(OFFSET($H$3,0,0,'Données projet'!$E$12+1,1))</f>
        <v>367.39143258674738</v>
      </c>
      <c r="CE37" s="59">
        <f t="shared" si="40"/>
        <v>376.02790658970292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6.3868892909144916</v>
      </c>
      <c r="CL37" s="21">
        <f>EXP(-LN(2)/25)*CL36+(1-EXP(-LN(2)/25))/(LN(2)/25)*Calculateur!CG37*Calculateur!CI37*VLOOKUP('Données projet'!$B$12,Paramètres!$A$1:$I$89,3,0)*0.475*44/12</f>
        <v>1.2111039677048301</v>
      </c>
      <c r="CM37" s="21">
        <f>EXP(-LN(2)/2)*CM36+(1-EXP(-LN(2)/2))/(LN(2)/2)*CG37*CJ37*VLOOKUP('Données projet'!$B$12,Paramètres!$A$1:$I$89,3,0)*0.475*44/12</f>
        <v>0.65612276735099684</v>
      </c>
      <c r="CN37" s="22">
        <f t="shared" si="12"/>
        <v>8.254116025970319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37</v>
      </c>
      <c r="CT37" s="12">
        <f>IF('Données projet'!$A$140&gt;35,CT36+CS37-DB36,IF(A37&lt;'Données projet'!$A$140,$CQ$205^A37,IF(A37='Données projet'!$A$140,'Données projet'!$B$140,CT36+CS37-DB36)))</f>
        <v>458.99999999999989</v>
      </c>
      <c r="CU37" s="17">
        <f>CT37*VLOOKUP('Données projet'!$B$13,Paramètres!$A$1:$I$89,3,0)*VLOOKUP('Données projet'!$B$13,Paramètres!$A$1:$I$89,5,0)</f>
        <v>202.87799999999999</v>
      </c>
      <c r="CV37" s="13">
        <f t="shared" si="41"/>
        <v>50.376138116990127</v>
      </c>
      <c r="CW37" s="20">
        <f t="shared" si="13"/>
        <v>441.08429055375774</v>
      </c>
      <c r="CX37" s="59">
        <f t="shared" si="14"/>
        <v>734.41762388709105</v>
      </c>
      <c r="CY37" s="59">
        <f ca="1">AVERAGE(OFFSET($CX$3,0,0,'Données projet'!$E$13+1,1))-AVERAGE(OFFSET($H$3,0,0,'Données projet'!$E$13+1,1))</f>
        <v>500.13646131618248</v>
      </c>
      <c r="CZ37" s="59">
        <f t="shared" si="42"/>
        <v>417.58036817539306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19.312891315450841</v>
      </c>
      <c r="DG37" s="21">
        <f>EXP(-LN(2)/25)*DG36+(1-EXP(-LN(2)/25))/(LN(2)/25)*Calculateur!DB37*Calculateur!DD37*VLOOKUP('Données projet'!$B$13,Paramètres!$A$1:$I$89,3,0)*0.475*44/12</f>
        <v>25.74889579045696</v>
      </c>
      <c r="DH37" s="21">
        <f>EXP(-LN(2)/2)*DH36+(1-EXP(-LN(2)/2))/(LN(2)/2)*DB37*DE37*VLOOKUP('Données projet'!$B$13,Paramètres!$A$1:$I$89,3,0)*0.475*44/12</f>
        <v>2.7377921105124394</v>
      </c>
      <c r="DI37" s="22">
        <f t="shared" si="15"/>
        <v>47.799579216420234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371.7282125501186</v>
      </c>
      <c r="T38" s="59">
        <f t="shared" si="34"/>
        <v>231.36959598460686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0.17200000000000001</v>
      </c>
      <c r="X38" s="16">
        <f>IF(ISNA(VLOOKUP(A38,'Données projet'!$A$35:$I$55,6,0)),0%,VLOOKUP(A38,'Données projet'!$A$35:$I$55,6,0)*VLOOKUP('Données projet'!$B$9,Paramètres!$A$1:$I$89,7,0))</f>
        <v>3.44E-2</v>
      </c>
      <c r="Y38" s="16">
        <f>IF(ISNA(VLOOKUP(A38,'Données projet'!$A$35:$I$55,7,0)),0%,VLOOKUP(A38,'Données projet'!$A$35:$I$55,7,0))</f>
        <v>0.12</v>
      </c>
      <c r="Z38" s="21">
        <f>EXP(-LN(2)/35)*Z37+(1-EXP(-LN(2)/35))/(LN(2)/35)*V38*W38*VLOOKUP('Données projet'!$B$9,Paramètres!$A$1:$I$89,3,0)*0.475*44/12</f>
        <v>3.6128293130379046</v>
      </c>
      <c r="AA38" s="21">
        <f>EXP(-LN(2)/25)*AA37+(1-EXP(-LN(2)/25))/(LN(2)/25)*Calculateur!V38*Calculateur!X38*VLOOKUP('Données projet'!$B$9,Paramètres!$A$1:$I$89,3,0)*0.475*44/12</f>
        <v>0.71972084548731663</v>
      </c>
      <c r="AB38" s="21">
        <f>EXP(-LN(2)/2)*AB37+(1-EXP(-LN(2)/2))/(LN(2)/2)*V38*Y38*VLOOKUP('Données projet'!$B$9,Paramètres!$A$1:$I$89,3,0)*0.475*44/12</f>
        <v>2.1513319438840868</v>
      </c>
      <c r="AC38" s="22">
        <f t="shared" si="3"/>
        <v>6.4838821024093072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189</v>
      </c>
      <c r="AG38" s="12">
        <f>VLOOKUP(A38,'Données projet'!$A$61:$I$81,9,0)</f>
        <v>10.199999999999999</v>
      </c>
      <c r="AH38" s="12">
        <f t="array" ref="AH38">INDEX(AG:AG,MIN(IF(ISNUMBER(AG38:AG234),ROW(AG38:AG234),"")))</f>
        <v>10.199999999999999</v>
      </c>
      <c r="AI38" s="13">
        <f>IF('Données projet'!$A$62&gt;35,AI37+AH38-AQ37,IF(A38&lt;'Données projet'!$A$62,$AF$205^A38,IF(A38='Données projet'!$A$62,'Données projet'!$B$62,AI37+AH38-AQ37)))</f>
        <v>188.99999999999994</v>
      </c>
      <c r="AJ38" s="13">
        <f>AI38*VLOOKUP('Données projet'!$B$10,Paramètres!$A$1:$I$89,3,0)*VLOOKUP('Données projet'!$B$10,Paramètres!$A$1:$I$89,5,0)</f>
        <v>126.78119999999996</v>
      </c>
      <c r="AK38" s="13">
        <f t="shared" si="35"/>
        <v>33.251507355059708</v>
      </c>
      <c r="AL38" s="20">
        <f t="shared" si="4"/>
        <v>278.72363197672894</v>
      </c>
      <c r="AM38" s="59">
        <f t="shared" si="5"/>
        <v>572.0569653100622</v>
      </c>
      <c r="AN38" s="59">
        <f ca="1">AVERAGE(OFFSET($AM$3,0,0,'Données projet'!$E$10+1,1))-AVERAGE(OFFSET($H$3,0,0,'Données projet'!$E$10+1,1))</f>
        <v>269.67260882504996</v>
      </c>
      <c r="AO38" s="59">
        <f t="shared" si="36"/>
        <v>272.13858200810074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22</v>
      </c>
      <c r="AR38" s="16">
        <f>IF(ISNA(VLOOKUP(A38,'Données projet'!$A$61:$I$81,5,0)),0%,VLOOKUP(A38,'Données projet'!$A$61:$I$81,5,0)*VLOOKUP('Données projet'!$B$10,Paramètres!$A$1:$I$89,7,0))</f>
        <v>0.21200000000000002</v>
      </c>
      <c r="AS38" s="16">
        <f>IF(ISNA(VLOOKUP(A38,'Données projet'!$A$61:$I$81,6,0)),0%,VLOOKUP(A38,'Données projet'!$A$61:$I$81,6,0)*VLOOKUP('Données projet'!$B$10,Paramètres!$A$1:$I$89,7,0))</f>
        <v>4.24E-2</v>
      </c>
      <c r="AT38" s="16">
        <f>IF(ISNA(VLOOKUP(A38,'Données projet'!$A$61:$I$81,7,0)),0%,VLOOKUP(A38,'Données projet'!$A$61:$I$81,7,0))</f>
        <v>0.12</v>
      </c>
      <c r="AU38" s="21">
        <f>EXP(-LN(2)/35)*AU37+(1-EXP(-LN(2)/35))/(LN(2)/35)*AQ38*AR38*VLOOKUP('Données projet'!$B$10,Paramètres!$A$1:$I$89,3,0)*0.475*44/12</f>
        <v>9.0279974763058153</v>
      </c>
      <c r="AV38" s="21">
        <f>EXP(-LN(2)/25)*AV37+(1-EXP(-LN(2)/25))/(LN(2)/25)*Calculateur!AQ38*Calculateur!AS38*VLOOKUP('Données projet'!$B$10,Paramètres!$A$1:$I$89,3,0)*0.475*44/12</f>
        <v>1.7362246426293959</v>
      </c>
      <c r="AW38" s="21">
        <f>EXP(-LN(2)/2)*AW37+(1-EXP(-LN(2)/2))/(LN(2)/2)*AQ38*AT38*VLOOKUP('Données projet'!$B$10,Paramètres!$A$1:$I$89,3,0)*0.475*44/12</f>
        <v>2.0003224937061872</v>
      </c>
      <c r="AX38" s="21">
        <f t="shared" si="6"/>
        <v>12.7645446126414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362</v>
      </c>
      <c r="BB38" s="12">
        <f>VLOOKUP(A38,'Données projet'!$A$87:$I$107,9,0)</f>
        <v>19.857142857142858</v>
      </c>
      <c r="BC38" s="12">
        <f t="array" ref="BC38">INDEX(BB:BB,MIN(IF(ISNUMBER(BB38:BB234),ROW(BB38:BB234),"")))</f>
        <v>19.857142857142858</v>
      </c>
      <c r="BD38" s="12">
        <f>IF('Données projet'!$A$88&gt;35,BD37+BC38-BL37,IF(A38&lt;'Données projet'!$A$88,$BA$205^A38,IF(A38='Données projet'!$A$88,'Données projet'!$B$88,BD37+BC38-BL37)))</f>
        <v>361.99999999999983</v>
      </c>
      <c r="BE38" s="13">
        <f>BD38*VLOOKUP('Données projet'!$B$11,Paramètres!$A$1:$I$89,3,0)*VLOOKUP('Données projet'!$B$11,Paramètres!$A$1:$I$89,5,0)</f>
        <v>202.35799999999989</v>
      </c>
      <c r="BF38" s="13">
        <f t="shared" si="37"/>
        <v>50.262030717165921</v>
      </c>
      <c r="BG38" s="20">
        <f t="shared" si="7"/>
        <v>439.97988683239709</v>
      </c>
      <c r="BH38" s="59">
        <f t="shared" si="8"/>
        <v>733.3132201657304</v>
      </c>
      <c r="BI38" s="59">
        <f ca="1">AVERAGE(OFFSET($BH$3,0,0,'Données projet'!$E$11+1,1))-AVERAGE(OFFSET($H$3,0,0,'Données projet'!$E$11+1,1))</f>
        <v>330.33728077846268</v>
      </c>
      <c r="BJ38" s="59">
        <f t="shared" si="38"/>
        <v>358.38872754175208</v>
      </c>
      <c r="BK38" s="15">
        <f>IF(ISNA(VLOOKUP(A38,'Données projet'!$A$87:$I$107,3,0)),0,VLOOKUP(A38,'Données projet'!$A$87:$I$107,3,0))</f>
        <v>2</v>
      </c>
      <c r="BL38" s="15">
        <f>IF(ISNA(VLOOKUP(A38,'Données projet'!$A$87:$I$107,4,0)),0,VLOOKUP(A38,'Données projet'!$A$87:$I$107,4,0))</f>
        <v>72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0.22000000000000003</v>
      </c>
      <c r="BO38" s="16">
        <f>IF(ISNA(VLOOKUP(A38,'Données projet'!$A$87:$I$107,7,0)),0%,VLOOKUP(A38,'Données projet'!$A$87:$I$107,7,0))</f>
        <v>0.6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20.13133326275603</v>
      </c>
      <c r="BR38" s="21">
        <f>EXP(-LN(2)/2)*BR37+(1-EXP(-LN(2)/2))/(LN(2)/2)*BL38*BO38*VLOOKUP('Données projet'!$B$11,Paramètres!$A$1:$I$89,3,0)*0.475*44/12</f>
        <v>29.456680200767615</v>
      </c>
      <c r="BS38" s="22">
        <f t="shared" si="9"/>
        <v>49.588013463523644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192</v>
      </c>
      <c r="BW38" s="12">
        <f>VLOOKUP(A38,'Données projet'!$A$113:$I$133,9,0)</f>
        <v>10</v>
      </c>
      <c r="BX38" s="12">
        <f t="array" ref="BX38">INDEX(BW:BW,MIN(IF(ISNUMBER(BW38:BW234),ROW(BW38:BW234),"")))</f>
        <v>10</v>
      </c>
      <c r="BY38" s="12">
        <f>IF('Données projet'!$A$114&gt;35,BY37+BX38-CG37,IF(A38&lt;'Données projet'!$A$114,$BV$205^A38,IF(A38='Données projet'!$A$114,'Données projet'!$B$114,BY37+BX38-CG37)))</f>
        <v>191.99999999999994</v>
      </c>
      <c r="BZ38" s="13">
        <f>BY38*VLOOKUP('Données projet'!$B$12,Paramètres!$A$1:$I$89,3,0)*VLOOKUP('Données projet'!$B$12,Paramètres!$A$1:$I$89,5,0)</f>
        <v>182.70719999999994</v>
      </c>
      <c r="CA38" s="13">
        <f t="shared" si="39"/>
        <v>45.923964004932436</v>
      </c>
      <c r="CB38" s="20">
        <f t="shared" si="10"/>
        <v>398.19927730859052</v>
      </c>
      <c r="CC38" s="59">
        <f t="shared" si="11"/>
        <v>691.53261064192384</v>
      </c>
      <c r="CD38" s="59">
        <f ca="1">AVERAGE(OFFSET($CC$3,0,0,'Données projet'!$E$12+1,1))-AVERAGE(OFFSET($H$3,0,0,'Données projet'!$E$12+1,1))</f>
        <v>367.39143258674738</v>
      </c>
      <c r="CE38" s="59">
        <f t="shared" si="40"/>
        <v>376.02790658970292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22</v>
      </c>
      <c r="CH38" s="16">
        <f>IF(ISNA(VLOOKUP(A38,'Données projet'!$A$113:$I$133,5,0)),0%,VLOOKUP(A38,'Données projet'!$A$113:$I$133,5,0)*VLOOKUP('Données projet'!$B$12,Paramètres!$A$1:$I$89,7,0))</f>
        <v>0.17200000000000001</v>
      </c>
      <c r="CI38" s="16">
        <f>IF(ISNA(VLOOKUP(A38,'Données projet'!$A$113:$I$133,6,0)),0%,VLOOKUP(A38,'Données projet'!$A$113:$I$133,6,0)*VLOOKUP('Données projet'!$B$12,Paramètres!$A$1:$I$89,7,0))</f>
        <v>3.44E-2</v>
      </c>
      <c r="CJ38" s="16">
        <f>IF(ISNA(VLOOKUP(A38,'Données projet'!$A$113:$I$133,7,0)),0%,VLOOKUP(A38,'Données projet'!$A$113:$I$133,7,0))</f>
        <v>0.12</v>
      </c>
      <c r="CK38" s="21">
        <f>EXP(-LN(2)/35)*CK37+(1-EXP(-LN(2)/35))/(LN(2)/35)*CG38*CH38*VLOOKUP('Données projet'!$B$12,Paramètres!$A$1:$I$89,3,0)*0.475*44/12</f>
        <v>10.242284167748359</v>
      </c>
      <c r="CL38" s="21">
        <f>EXP(-LN(2)/25)*CL37+(1-EXP(-LN(2)/25))/(LN(2)/25)*Calculateur!CG38*Calculateur!CI38*VLOOKUP('Données projet'!$B$12,Paramètres!$A$1:$I$89,3,0)*0.475*44/12</f>
        <v>1.9709791844456639</v>
      </c>
      <c r="CM38" s="21">
        <f>EXP(-LN(2)/2)*CM37+(1-EXP(-LN(2)/2))/(LN(2)/2)*CG38*CJ38*VLOOKUP('Données projet'!$B$12,Paramètres!$A$1:$I$89,3,0)*0.475*44/12</f>
        <v>2.8342998176023797</v>
      </c>
      <c r="CN38" s="22">
        <f t="shared" si="12"/>
        <v>15.047563169796403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496</v>
      </c>
      <c r="CR38" s="12">
        <f>VLOOKUP(A38,'Données projet'!$A$139:$I$159,9,0)</f>
        <v>37</v>
      </c>
      <c r="CS38" s="12">
        <f t="array" ref="CS38">INDEX(CR:CR,MIN(IF(ISNUMBER(CR38:CR234),ROW(CR38:CR234),"")))</f>
        <v>37</v>
      </c>
      <c r="CT38" s="12">
        <f>IF('Données projet'!$A$140&gt;35,CT37+CS38-DB37,IF(A38&lt;'Données projet'!$A$140,$CQ$205^A38,IF(A38='Données projet'!$A$140,'Données projet'!$B$140,CT37+CS38-DB37)))</f>
        <v>495.99999999999989</v>
      </c>
      <c r="CU38" s="17">
        <f>CT38*VLOOKUP('Données projet'!$B$13,Paramètres!$A$1:$I$89,3,0)*VLOOKUP('Données projet'!$B$13,Paramètres!$A$1:$I$89,5,0)</f>
        <v>219.232</v>
      </c>
      <c r="CV38" s="13">
        <f t="shared" si="41"/>
        <v>53.947930757504459</v>
      </c>
      <c r="CW38" s="20">
        <f t="shared" si="13"/>
        <v>475.78837940265356</v>
      </c>
      <c r="CX38" s="59">
        <f t="shared" si="14"/>
        <v>769.12171273598688</v>
      </c>
      <c r="CY38" s="59">
        <f ca="1">AVERAGE(OFFSET($CX$3,0,0,'Données projet'!$E$13+1,1))-AVERAGE(OFFSET($H$3,0,0,'Données projet'!$E$13+1,1))</f>
        <v>500.13646131618248</v>
      </c>
      <c r="CZ38" s="59">
        <f t="shared" si="42"/>
        <v>417.58036817539306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84</v>
      </c>
      <c r="DC38" s="16">
        <f>IF(ISNA(VLOOKUP(A38,'Données projet'!$A$139:$I$159,5,0)),0%,VLOOKUP(A38,'Données projet'!$A$139:$I$159,5,0)*VLOOKUP('Données projet'!$B$13,Paramètres!$A$1:$I$89,7,0))</f>
        <v>0.27500000000000002</v>
      </c>
      <c r="DD38" s="16">
        <f>IF(ISNA(VLOOKUP(A38,'Données projet'!$A$139:$I$159,6,0)),0%,VLOOKUP(A38,'Données projet'!$A$139:$I$159,6,0)*VLOOKUP('Données projet'!$B$13,Paramètres!$A$1:$I$89,7,0))</f>
        <v>0.16500000000000001</v>
      </c>
      <c r="DE38" s="16">
        <f>IF(ISNA(VLOOKUP(A38,'Données projet'!$A$139:$I$159,7,0)),0%,VLOOKUP(A38,'Données projet'!$A$139:$I$159,7,0))</f>
        <v>0.2</v>
      </c>
      <c r="DF38" s="21">
        <f>EXP(-LN(2)/35)*DF37+(1-EXP(-LN(2)/35))/(LN(2)/35)*DB38*DC38*VLOOKUP('Données projet'!$B$13,Paramètres!$A$1:$I$89,3,0)*0.475*44/12</f>
        <v>32.478665699384194</v>
      </c>
      <c r="DG38" s="21">
        <f>EXP(-LN(2)/25)*DG37+(1-EXP(-LN(2)/25))/(LN(2)/25)*Calculateur!DB38*Calculateur!DD38*VLOOKUP('Données projet'!$B$13,Paramètres!$A$1:$I$89,3,0)*0.475*44/12</f>
        <v>33.1394860357304</v>
      </c>
      <c r="DH38" s="21">
        <f>EXP(-LN(2)/2)*DH37+(1-EXP(-LN(2)/2))/(LN(2)/2)*DB38*DE38*VLOOKUP('Données projet'!$B$13,Paramètres!$A$1:$I$89,3,0)*0.475*44/12</f>
        <v>10.3434155153349</v>
      </c>
      <c r="DI38" s="22">
        <f t="shared" si="15"/>
        <v>75.961567250449491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371.7282125501186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3.5419839338175239</v>
      </c>
      <c r="AA39" s="21">
        <f>EXP(-LN(2)/25)*AA38+(1-EXP(-LN(2)/25))/(LN(2)/25)*Calculateur!V39*Calculateur!X39*VLOOKUP('Données projet'!$B$9,Paramètres!$A$1:$I$89,3,0)*0.475*44/12</f>
        <v>0.70004004111899165</v>
      </c>
      <c r="AB39" s="21">
        <f>EXP(-LN(2)/2)*AB38+(1-EXP(-LN(2)/2))/(LN(2)/2)*V39*Y39*VLOOKUP('Données projet'!$B$9,Paramètres!$A$1:$I$89,3,0)*0.475*44/12</f>
        <v>1.5212214061036751</v>
      </c>
      <c r="AC39" s="22">
        <f t="shared" si="3"/>
        <v>5.76324538104019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9.8000000000000007</v>
      </c>
      <c r="AI39" s="13">
        <f>IF('Données projet'!$A$62&gt;35,AI38+AH39-AQ38,IF(A39&lt;'Données projet'!$A$62,$AF$205^A39,IF(A39='Données projet'!$A$62,'Données projet'!$B$62,AI38+AH39-AQ38)))</f>
        <v>176.79999999999995</v>
      </c>
      <c r="AJ39" s="13">
        <f>AI39*VLOOKUP('Données projet'!$B$10,Paramètres!$A$1:$I$89,3,0)*VLOOKUP('Données projet'!$B$10,Paramètres!$A$1:$I$89,5,0)</f>
        <v>118.59743999999996</v>
      </c>
      <c r="AK39" s="13">
        <f t="shared" si="35"/>
        <v>31.347651709466724</v>
      </c>
      <c r="AL39" s="20">
        <f t="shared" si="4"/>
        <v>261.15436806065446</v>
      </c>
      <c r="AM39" s="59">
        <f t="shared" si="5"/>
        <v>554.48770139398778</v>
      </c>
      <c r="AN39" s="59">
        <f ca="1">AVERAGE(OFFSET($AM$3,0,0,'Données projet'!$E$10+1,1))-AVERAGE(OFFSET($H$3,0,0,'Données projet'!$E$10+1,1))</f>
        <v>269.67260882504996</v>
      </c>
      <c r="AO39" s="59">
        <f t="shared" si="36"/>
        <v>272.13858200810074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8.8509639523301935</v>
      </c>
      <c r="AV39" s="21">
        <f>EXP(-LN(2)/25)*AV38+(1-EXP(-LN(2)/25))/(LN(2)/25)*Calculateur!AQ39*Calculateur!AS39*VLOOKUP('Données projet'!$B$10,Paramètres!$A$1:$I$89,3,0)*0.475*44/12</f>
        <v>1.6887474884726092</v>
      </c>
      <c r="AW39" s="21">
        <f>EXP(-LN(2)/2)*AW38+(1-EXP(-LN(2)/2))/(LN(2)/2)*AQ39*AT39*VLOOKUP('Données projet'!$B$10,Paramètres!$A$1:$I$89,3,0)*0.475*44/12</f>
        <v>1.41444159985963</v>
      </c>
      <c r="AX39" s="21">
        <f t="shared" si="6"/>
        <v>11.954153040662433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19.714285714285715</v>
      </c>
      <c r="BD39" s="12">
        <f>IF('Données projet'!$A$88&gt;35,BD38+BC39-BL38,IF(A39&lt;'Données projet'!$A$88,$BA$205^A39,IF(A39='Données projet'!$A$88,'Données projet'!$B$88,BD38+BC39-BL38)))</f>
        <v>309.71428571428555</v>
      </c>
      <c r="BE39" s="13">
        <f>BD39*VLOOKUP('Données projet'!$B$11,Paramètres!$A$1:$I$89,3,0)*VLOOKUP('Données projet'!$B$11,Paramètres!$A$1:$I$89,5,0)</f>
        <v>173.13028571428563</v>
      </c>
      <c r="BF39" s="13">
        <f t="shared" si="37"/>
        <v>43.790357231968137</v>
      </c>
      <c r="BG39" s="20">
        <f t="shared" si="7"/>
        <v>377.80345313139196</v>
      </c>
      <c r="BH39" s="59">
        <f t="shared" si="8"/>
        <v>671.13678646472522</v>
      </c>
      <c r="BI39" s="59">
        <f ca="1">AVERAGE(OFFSET($BH$3,0,0,'Données projet'!$E$11+1,1))-AVERAGE(OFFSET($H$3,0,0,'Données projet'!$E$11+1,1))</f>
        <v>330.33728077846268</v>
      </c>
      <c r="BJ39" s="59">
        <f t="shared" si="38"/>
        <v>358.38872754175208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19.580840896025162</v>
      </c>
      <c r="BR39" s="21">
        <f>EXP(-LN(2)/2)*BR38+(1-EXP(-LN(2)/2))/(LN(2)/2)*BL39*BO39*VLOOKUP('Données projet'!$B$11,Paramètres!$A$1:$I$89,3,0)*0.475*44/12</f>
        <v>20.829018321206295</v>
      </c>
      <c r="BS39" s="22">
        <f t="shared" si="9"/>
        <v>40.409859217231457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9.1999999999999993</v>
      </c>
      <c r="BY39" s="12">
        <f>IF('Données projet'!$A$114&gt;35,BY38+BX39-CG38,IF(A39&lt;'Données projet'!$A$114,$BV$205^A39,IF(A39='Données projet'!$A$114,'Données projet'!$B$114,BY38+BX39-CG38)))</f>
        <v>179.19999999999993</v>
      </c>
      <c r="BZ39" s="13">
        <f>BY39*VLOOKUP('Données projet'!$B$12,Paramètres!$A$1:$I$89,3,0)*VLOOKUP('Données projet'!$B$12,Paramètres!$A$1:$I$89,5,0)</f>
        <v>170.52671999999993</v>
      </c>
      <c r="CA39" s="13">
        <f t="shared" si="39"/>
        <v>43.207970095682747</v>
      </c>
      <c r="CB39" s="20">
        <f t="shared" si="10"/>
        <v>372.25458524998066</v>
      </c>
      <c r="CC39" s="59">
        <f t="shared" si="11"/>
        <v>665.58791858331392</v>
      </c>
      <c r="CD39" s="59">
        <f ca="1">AVERAGE(OFFSET($CC$3,0,0,'Données projet'!$E$12+1,1))-AVERAGE(OFFSET($H$3,0,0,'Données projet'!$E$12+1,1))</f>
        <v>367.39143258674738</v>
      </c>
      <c r="CE39" s="59">
        <f t="shared" si="40"/>
        <v>376.02790658970292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10.041439222395299</v>
      </c>
      <c r="CL39" s="21">
        <f>EXP(-LN(2)/25)*CL38+(1-EXP(-LN(2)/25))/(LN(2)/25)*Calculateur!CG39*Calculateur!CI39*VLOOKUP('Données projet'!$B$12,Paramètres!$A$1:$I$89,3,0)*0.475*44/12</f>
        <v>1.9170826549977067</v>
      </c>
      <c r="CM39" s="21">
        <f>EXP(-LN(2)/2)*CM38+(1-EXP(-LN(2)/2))/(LN(2)/2)*CG39*CJ39*VLOOKUP('Données projet'!$B$12,Paramètres!$A$1:$I$89,3,0)*0.475*44/12</f>
        <v>2.0041526209424374</v>
      </c>
      <c r="CN39" s="22">
        <f t="shared" si="12"/>
        <v>13.962674498335442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34</v>
      </c>
      <c r="CT39" s="12">
        <f>IF('Données projet'!$A$140&gt;35,CT38+CS39-DB38,IF(A39&lt;'Données projet'!$A$140,$CQ$205^A39,IF(A39='Données projet'!$A$140,'Données projet'!$B$140,CT38+CS39-DB38)))</f>
        <v>445.99999999999989</v>
      </c>
      <c r="CU39" s="17">
        <f>CT39*VLOOKUP('Données projet'!$B$13,Paramètres!$A$1:$I$89,3,0)*VLOOKUP('Données projet'!$B$13,Paramètres!$A$1:$I$89,5,0)</f>
        <v>197.13199999999998</v>
      </c>
      <c r="CV39" s="13">
        <f t="shared" si="41"/>
        <v>49.113339261981388</v>
      </c>
      <c r="CW39" s="20">
        <f t="shared" si="13"/>
        <v>428.87729921461749</v>
      </c>
      <c r="CX39" s="59">
        <f t="shared" si="14"/>
        <v>722.21063254795081</v>
      </c>
      <c r="CY39" s="59">
        <f ca="1">AVERAGE(OFFSET($CX$3,0,0,'Données projet'!$E$13+1,1))-AVERAGE(OFFSET($H$3,0,0,'Données projet'!$E$13+1,1))</f>
        <v>500.13646131618248</v>
      </c>
      <c r="CZ39" s="59">
        <f t="shared" si="42"/>
        <v>417.58036817539306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31.841778875049268</v>
      </c>
      <c r="DG39" s="21">
        <f>EXP(-LN(2)/25)*DG38+(1-EXP(-LN(2)/25))/(LN(2)/25)*Calculateur!DB39*Calculateur!DD39*VLOOKUP('Données projet'!$B$13,Paramètres!$A$1:$I$89,3,0)*0.475*44/12</f>
        <v>32.233285047353526</v>
      </c>
      <c r="DH39" s="21">
        <f>EXP(-LN(2)/2)*DH38+(1-EXP(-LN(2)/2))/(LN(2)/2)*DB39*DE39*VLOOKUP('Données projet'!$B$13,Paramètres!$A$1:$I$89,3,0)*0.475*44/12</f>
        <v>7.3138992515234564</v>
      </c>
      <c r="DI39" s="22">
        <f t="shared" si="15"/>
        <v>71.388963173926243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371.7282125501186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3.4725277892722404</v>
      </c>
      <c r="AA40" s="21">
        <f>EXP(-LN(2)/25)*AA39+(1-EXP(-LN(2)/25))/(LN(2)/25)*Calculateur!V40*Calculateur!X40*VLOOKUP('Données projet'!$B$9,Paramètres!$A$1:$I$89,3,0)*0.475*44/12</f>
        <v>0.680897409381087</v>
      </c>
      <c r="AB40" s="21">
        <f>EXP(-LN(2)/2)*AB39+(1-EXP(-LN(2)/2))/(LN(2)/2)*V40*Y40*VLOOKUP('Données projet'!$B$9,Paramètres!$A$1:$I$89,3,0)*0.475*44/12</f>
        <v>1.0756659719420436</v>
      </c>
      <c r="AC40" s="22">
        <f t="shared" si="3"/>
        <v>5.2290911705953711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9.8000000000000007</v>
      </c>
      <c r="AI40" s="13">
        <f>IF('Données projet'!$A$62&gt;35,AI39+AH40-AQ39,IF(A40&lt;'Données projet'!$A$62,$AF$205^A40,IF(A40='Données projet'!$A$62,'Données projet'!$B$62,AI39+AH40-AQ39)))</f>
        <v>186.59999999999997</v>
      </c>
      <c r="AJ40" s="13">
        <f>AI40*VLOOKUP('Données projet'!$B$10,Paramètres!$A$1:$I$89,3,0)*VLOOKUP('Données projet'!$B$10,Paramètres!$A$1:$I$89,5,0)</f>
        <v>125.17127999999998</v>
      </c>
      <c r="AK40" s="13">
        <f t="shared" si="35"/>
        <v>32.878137841599553</v>
      </c>
      <c r="AL40" s="20">
        <f t="shared" si="4"/>
        <v>275.26940274078589</v>
      </c>
      <c r="AM40" s="59">
        <f t="shared" si="5"/>
        <v>568.60273607411921</v>
      </c>
      <c r="AN40" s="59">
        <f ca="1">AVERAGE(OFFSET($AM$3,0,0,'Données projet'!$E$10+1,1))-AVERAGE(OFFSET($H$3,0,0,'Données projet'!$E$10+1,1))</f>
        <v>269.67260882504996</v>
      </c>
      <c r="AO40" s="59">
        <f t="shared" si="36"/>
        <v>272.13858200810074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8.6774019477799467</v>
      </c>
      <c r="AV40" s="21">
        <f>EXP(-LN(2)/25)*AV39+(1-EXP(-LN(2)/25))/(LN(2)/25)*Calculateur!AQ40*Calculateur!AS40*VLOOKUP('Données projet'!$B$10,Paramètres!$A$1:$I$89,3,0)*0.475*44/12</f>
        <v>1.6425685995929551</v>
      </c>
      <c r="AW40" s="21">
        <f>EXP(-LN(2)/2)*AW39+(1-EXP(-LN(2)/2))/(LN(2)/2)*AQ40*AT40*VLOOKUP('Données projet'!$B$10,Paramètres!$A$1:$I$89,3,0)*0.475*44/12</f>
        <v>1.0001612468530936</v>
      </c>
      <c r="AX40" s="21">
        <f t="shared" si="6"/>
        <v>11.320131794225995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19.714285714285715</v>
      </c>
      <c r="BD40" s="12">
        <f>IF('Données projet'!$A$88&gt;35,BD39+BC40-BL39,IF(A40&lt;'Données projet'!$A$88,$BA$205^A40,IF(A40='Données projet'!$A$88,'Données projet'!$B$88,BD39+BC40-BL39)))</f>
        <v>329.42857142857127</v>
      </c>
      <c r="BE40" s="13">
        <f>BD40*VLOOKUP('Données projet'!$B$11,Paramètres!$A$1:$I$89,3,0)*VLOOKUP('Données projet'!$B$11,Paramètres!$A$1:$I$89,5,0)</f>
        <v>184.15057142857134</v>
      </c>
      <c r="BF40" s="13">
        <f t="shared" si="37"/>
        <v>46.244383091756276</v>
      </c>
      <c r="BG40" s="20">
        <f t="shared" si="7"/>
        <v>401.27121245623721</v>
      </c>
      <c r="BH40" s="59">
        <f t="shared" si="8"/>
        <v>694.60454578957047</v>
      </c>
      <c r="BI40" s="59">
        <f ca="1">AVERAGE(OFFSET($BH$3,0,0,'Données projet'!$E$11+1,1))-AVERAGE(OFFSET($H$3,0,0,'Données projet'!$E$11+1,1))</f>
        <v>330.33728077846268</v>
      </c>
      <c r="BJ40" s="59">
        <f t="shared" si="38"/>
        <v>358.38872754175208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19.045401772011683</v>
      </c>
      <c r="BR40" s="21">
        <f>EXP(-LN(2)/2)*BR39+(1-EXP(-LN(2)/2))/(LN(2)/2)*BL40*BO40*VLOOKUP('Données projet'!$B$11,Paramètres!$A$1:$I$89,3,0)*0.475*44/12</f>
        <v>14.728340100383811</v>
      </c>
      <c r="BS40" s="22">
        <f t="shared" si="9"/>
        <v>33.77374187239549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9.1999999999999993</v>
      </c>
      <c r="BY40" s="12">
        <f>IF('Données projet'!$A$114&gt;35,BY39+BX40-CG39,IF(A40&lt;'Données projet'!$A$114,$BV$205^A40,IF(A40='Données projet'!$A$114,'Données projet'!$B$114,BY39+BX40-CG39)))</f>
        <v>188.39999999999992</v>
      </c>
      <c r="BZ40" s="13">
        <f>BY40*VLOOKUP('Données projet'!$B$12,Paramètres!$A$1:$I$89,3,0)*VLOOKUP('Données projet'!$B$12,Paramètres!$A$1:$I$89,5,0)</f>
        <v>179.28143999999992</v>
      </c>
      <c r="CA40" s="13">
        <f t="shared" si="39"/>
        <v>45.162282607497268</v>
      </c>
      <c r="CB40" s="20">
        <f t="shared" si="10"/>
        <v>390.90615020805762</v>
      </c>
      <c r="CC40" s="59">
        <f t="shared" si="11"/>
        <v>684.23948354139088</v>
      </c>
      <c r="CD40" s="59">
        <f ca="1">AVERAGE(OFFSET($CC$3,0,0,'Données projet'!$E$12+1,1))-AVERAGE(OFFSET($H$3,0,0,'Données projet'!$E$12+1,1))</f>
        <v>367.39143258674738</v>
      </c>
      <c r="CE40" s="59">
        <f t="shared" si="40"/>
        <v>376.02790658970292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9.8445327239172915</v>
      </c>
      <c r="CL40" s="21">
        <f>EXP(-LN(2)/25)*CL39+(1-EXP(-LN(2)/25))/(LN(2)/25)*Calculateur!CG40*Calculateur!CI40*VLOOKUP('Données projet'!$B$12,Paramètres!$A$1:$I$89,3,0)*0.475*44/12</f>
        <v>1.8646599289817991</v>
      </c>
      <c r="CM40" s="21">
        <f>EXP(-LN(2)/2)*CM39+(1-EXP(-LN(2)/2))/(LN(2)/2)*CG40*CJ40*VLOOKUP('Données projet'!$B$12,Paramètres!$A$1:$I$89,3,0)*0.475*44/12</f>
        <v>1.4171499088011899</v>
      </c>
      <c r="CN40" s="22">
        <f t="shared" si="12"/>
        <v>13.12634256170028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34</v>
      </c>
      <c r="CT40" s="12">
        <f>IF('Données projet'!$A$140&gt;35,CT39+CS40-DB39,IF(A40&lt;'Données projet'!$A$140,$CQ$205^A40,IF(A40='Données projet'!$A$140,'Données projet'!$B$140,CT39+CS40-DB39)))</f>
        <v>479.99999999999989</v>
      </c>
      <c r="CU40" s="17">
        <f>CT40*VLOOKUP('Données projet'!$B$13,Paramètres!$A$1:$I$89,3,0)*VLOOKUP('Données projet'!$B$13,Paramètres!$A$1:$I$89,5,0)</f>
        <v>212.15999999999997</v>
      </c>
      <c r="CV40" s="13">
        <f t="shared" si="41"/>
        <v>52.407318557535369</v>
      </c>
      <c r="CW40" s="20">
        <f t="shared" si="13"/>
        <v>460.78807982104064</v>
      </c>
      <c r="CX40" s="59">
        <f t="shared" si="14"/>
        <v>754.12141315437395</v>
      </c>
      <c r="CY40" s="59">
        <f ca="1">AVERAGE(OFFSET($CX$3,0,0,'Données projet'!$E$13+1,1))-AVERAGE(OFFSET($H$3,0,0,'Données projet'!$E$13+1,1))</f>
        <v>500.13646131618248</v>
      </c>
      <c r="CZ40" s="59">
        <f t="shared" si="42"/>
        <v>417.58036817539306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31.217381012876945</v>
      </c>
      <c r="DG40" s="21">
        <f>EXP(-LN(2)/25)*DG39+(1-EXP(-LN(2)/25))/(LN(2)/25)*Calculateur!DB40*Calculateur!DD40*VLOOKUP('Données projet'!$B$13,Paramètres!$A$1:$I$89,3,0)*0.475*44/12</f>
        <v>31.351864172658853</v>
      </c>
      <c r="DH40" s="21">
        <f>EXP(-LN(2)/2)*DH39+(1-EXP(-LN(2)/2))/(LN(2)/2)*DB40*DE40*VLOOKUP('Données projet'!$B$13,Paramètres!$A$1:$I$89,3,0)*0.475*44/12</f>
        <v>5.1717077576674511</v>
      </c>
      <c r="DI40" s="22">
        <f t="shared" si="15"/>
        <v>67.740952943203254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371.7282125501186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3.4044336373574247</v>
      </c>
      <c r="AA41" s="21">
        <f>EXP(-LN(2)/25)*AA40+(1-EXP(-LN(2)/25))/(LN(2)/25)*Calculateur!V41*Calculateur!X41*VLOOKUP('Données projet'!$B$9,Paramètres!$A$1:$I$89,3,0)*0.475*44/12</f>
        <v>0.66227823391472262</v>
      </c>
      <c r="AB41" s="21">
        <f>EXP(-LN(2)/2)*AB40+(1-EXP(-LN(2)/2))/(LN(2)/2)*V41*Y41*VLOOKUP('Données projet'!$B$9,Paramètres!$A$1:$I$89,3,0)*0.475*44/12</f>
        <v>0.76061070305183764</v>
      </c>
      <c r="AC41" s="22">
        <f t="shared" si="3"/>
        <v>4.8273225743239854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9.8000000000000007</v>
      </c>
      <c r="AI41" s="13">
        <f>IF('Données projet'!$A$62&gt;35,AI40+AH41-AQ40,IF(A41&lt;'Données projet'!$A$62,$AF$205^A41,IF(A41='Données projet'!$A$62,'Données projet'!$B$62,AI40+AH41-AQ40)))</f>
        <v>196.39999999999998</v>
      </c>
      <c r="AJ41" s="13">
        <f>AI41*VLOOKUP('Données projet'!$B$10,Paramètres!$A$1:$I$89,3,0)*VLOOKUP('Données projet'!$B$10,Paramètres!$A$1:$I$89,5,0)</f>
        <v>131.74511999999999</v>
      </c>
      <c r="AK41" s="13">
        <f t="shared" si="35"/>
        <v>34.39929184236177</v>
      </c>
      <c r="AL41" s="20">
        <f t="shared" si="4"/>
        <v>289.36818395878009</v>
      </c>
      <c r="AM41" s="59">
        <f t="shared" si="5"/>
        <v>582.70151729211341</v>
      </c>
      <c r="AN41" s="59">
        <f ca="1">AVERAGE(OFFSET($AM$3,0,0,'Données projet'!$E$10+1,1))-AVERAGE(OFFSET($H$3,0,0,'Données projet'!$E$10+1,1))</f>
        <v>269.67260882504996</v>
      </c>
      <c r="AO41" s="59">
        <f t="shared" si="36"/>
        <v>272.13858200810074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8.5072433882765601</v>
      </c>
      <c r="AV41" s="21">
        <f>EXP(-LN(2)/25)*AV40+(1-EXP(-LN(2)/25))/(LN(2)/25)*Calculateur!AQ41*Calculateur!AS41*VLOOKUP('Données projet'!$B$10,Paramètres!$A$1:$I$89,3,0)*0.475*44/12</f>
        <v>1.5976524748581573</v>
      </c>
      <c r="AW41" s="21">
        <f>EXP(-LN(2)/2)*AW40+(1-EXP(-LN(2)/2))/(LN(2)/2)*AQ41*AT41*VLOOKUP('Données projet'!$B$10,Paramètres!$A$1:$I$89,3,0)*0.475*44/12</f>
        <v>0.70722079992981501</v>
      </c>
      <c r="AX41" s="21">
        <f t="shared" si="6"/>
        <v>10.812116663064533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19.714285714285715</v>
      </c>
      <c r="BD41" s="12">
        <f>IF('Données projet'!$A$88&gt;35,BD40+BC41-BL40,IF(A41&lt;'Données projet'!$A$88,$BA$205^A41,IF(A41='Données projet'!$A$88,'Données projet'!$B$88,BD40+BC41-BL40)))</f>
        <v>349.142857142857</v>
      </c>
      <c r="BE41" s="13">
        <f>BD41*VLOOKUP('Données projet'!$B$11,Paramètres!$A$1:$I$89,3,0)*VLOOKUP('Données projet'!$B$11,Paramètres!$A$1:$I$89,5,0)</f>
        <v>195.17085714285705</v>
      </c>
      <c r="BF41" s="13">
        <f t="shared" si="37"/>
        <v>48.681363290620283</v>
      </c>
      <c r="BG41" s="20">
        <f t="shared" si="7"/>
        <v>424.70928392163961</v>
      </c>
      <c r="BH41" s="59">
        <f t="shared" si="8"/>
        <v>718.04261725497292</v>
      </c>
      <c r="BI41" s="59">
        <f ca="1">AVERAGE(OFFSET($BH$3,0,0,'Données projet'!$E$11+1,1))-AVERAGE(OFFSET($H$3,0,0,'Données projet'!$E$11+1,1))</f>
        <v>330.33728077846268</v>
      </c>
      <c r="BJ41" s="59">
        <f t="shared" si="38"/>
        <v>358.38872754175208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18.524604259001872</v>
      </c>
      <c r="BR41" s="21">
        <f>EXP(-LN(2)/2)*BR40+(1-EXP(-LN(2)/2))/(LN(2)/2)*BL41*BO41*VLOOKUP('Données projet'!$B$11,Paramètres!$A$1:$I$89,3,0)*0.475*44/12</f>
        <v>10.414509160603149</v>
      </c>
      <c r="BS41" s="22">
        <f t="shared" si="9"/>
        <v>28.939113419605022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9.1999999999999993</v>
      </c>
      <c r="BY41" s="12">
        <f>IF('Données projet'!$A$114&gt;35,BY40+BX41-CG40,IF(A41&lt;'Données projet'!$A$114,$BV$205^A41,IF(A41='Données projet'!$A$114,'Données projet'!$B$114,BY40+BX41-CG40)))</f>
        <v>197.59999999999991</v>
      </c>
      <c r="BZ41" s="13">
        <f>BY41*VLOOKUP('Données projet'!$B$12,Paramètres!$A$1:$I$89,3,0)*VLOOKUP('Données projet'!$B$12,Paramètres!$A$1:$I$89,5,0)</f>
        <v>188.03615999999991</v>
      </c>
      <c r="CA41" s="13">
        <f t="shared" si="39"/>
        <v>47.105513518601285</v>
      </c>
      <c r="CB41" s="20">
        <f t="shared" si="10"/>
        <v>409.53841471156375</v>
      </c>
      <c r="CC41" s="59">
        <f t="shared" si="11"/>
        <v>702.871748044897</v>
      </c>
      <c r="CD41" s="59">
        <f ca="1">AVERAGE(OFFSET($CC$3,0,0,'Données projet'!$E$12+1,1))-AVERAGE(OFFSET($H$3,0,0,'Données projet'!$E$12+1,1))</f>
        <v>367.39143258674738</v>
      </c>
      <c r="CE41" s="59">
        <f t="shared" si="40"/>
        <v>376.02790658970292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9.6514874417733321</v>
      </c>
      <c r="CL41" s="21">
        <f>EXP(-LN(2)/25)*CL40+(1-EXP(-LN(2)/25))/(LN(2)/25)*Calculateur!CG41*Calculateur!CI41*VLOOKUP('Données projet'!$B$12,Paramètres!$A$1:$I$89,3,0)*0.475*44/12</f>
        <v>1.8136707051655878</v>
      </c>
      <c r="CM41" s="21">
        <f>EXP(-LN(2)/2)*CM40+(1-EXP(-LN(2)/2))/(LN(2)/2)*CG41*CJ41*VLOOKUP('Données projet'!$B$12,Paramètres!$A$1:$I$89,3,0)*0.475*44/12</f>
        <v>1.0020763104712187</v>
      </c>
      <c r="CN41" s="22">
        <f t="shared" si="12"/>
        <v>12.467234457410139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34</v>
      </c>
      <c r="CT41" s="12">
        <f>IF('Données projet'!$A$140&gt;35,CT40+CS41-DB40,IF(A41&lt;'Données projet'!$A$140,$CQ$205^A41,IF(A41='Données projet'!$A$140,'Données projet'!$B$140,CT40+CS41-DB40)))</f>
        <v>513.99999999999989</v>
      </c>
      <c r="CU41" s="17">
        <f>CT41*VLOOKUP('Données projet'!$B$13,Paramètres!$A$1:$I$89,3,0)*VLOOKUP('Données projet'!$B$13,Paramètres!$A$1:$I$89,5,0)</f>
        <v>227.18799999999996</v>
      </c>
      <c r="CV41" s="13">
        <f t="shared" si="41"/>
        <v>55.674226763576875</v>
      </c>
      <c r="CW41" s="20">
        <f t="shared" si="13"/>
        <v>492.65171161322957</v>
      </c>
      <c r="CX41" s="59">
        <f t="shared" si="14"/>
        <v>785.98504494656288</v>
      </c>
      <c r="CY41" s="59">
        <f ca="1">AVERAGE(OFFSET($CX$3,0,0,'Données projet'!$E$13+1,1))-AVERAGE(OFFSET($H$3,0,0,'Données projet'!$E$13+1,1))</f>
        <v>500.13646131618248</v>
      </c>
      <c r="CZ41" s="59">
        <f t="shared" si="42"/>
        <v>417.58036817539306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30.605227211936732</v>
      </c>
      <c r="DG41" s="21">
        <f>EXP(-LN(2)/25)*DG40+(1-EXP(-LN(2)/25))/(LN(2)/25)*Calculateur!DB41*Calculateur!DD41*VLOOKUP('Données projet'!$B$13,Paramètres!$A$1:$I$89,3,0)*0.475*44/12</f>
        <v>30.494545798134617</v>
      </c>
      <c r="DH41" s="21">
        <f>EXP(-LN(2)/2)*DH40+(1-EXP(-LN(2)/2))/(LN(2)/2)*DB41*DE41*VLOOKUP('Données projet'!$B$13,Paramètres!$A$1:$I$89,3,0)*0.475*44/12</f>
        <v>3.6569496257617291</v>
      </c>
      <c r="DI41" s="22">
        <f t="shared" si="15"/>
        <v>64.756722635833071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371.7282125501186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3.3376747702283271</v>
      </c>
      <c r="AA42" s="21">
        <f>EXP(-LN(2)/25)*AA41+(1-EXP(-LN(2)/25))/(LN(2)/25)*Calculateur!V42*Calculateur!X42*VLOOKUP('Données projet'!$B$9,Paramètres!$A$1:$I$89,3,0)*0.475*44/12</f>
        <v>0.64416820078062587</v>
      </c>
      <c r="AB42" s="21">
        <f>EXP(-LN(2)/2)*AB41+(1-EXP(-LN(2)/2))/(LN(2)/2)*V42*Y42*VLOOKUP('Données projet'!$B$9,Paramètres!$A$1:$I$89,3,0)*0.475*44/12</f>
        <v>0.53783298597102192</v>
      </c>
      <c r="AC42" s="22">
        <f t="shared" si="3"/>
        <v>4.5196759569799747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9.8000000000000007</v>
      </c>
      <c r="AI42" s="13">
        <f>IF('Données projet'!$A$62&gt;35,AI41+AH42-AQ41,IF(A42&lt;'Données projet'!$A$62,$AF$205^A42,IF(A42='Données projet'!$A$62,'Données projet'!$B$62,AI41+AH42-AQ41)))</f>
        <v>206.2</v>
      </c>
      <c r="AJ42" s="13">
        <f>AI42*VLOOKUP('Données projet'!$B$10,Paramètres!$A$1:$I$89,3,0)*VLOOKUP('Données projet'!$B$10,Paramètres!$A$1:$I$89,5,0)</f>
        <v>138.31896</v>
      </c>
      <c r="AK42" s="13">
        <f t="shared" si="35"/>
        <v>35.911632504521144</v>
      </c>
      <c r="AL42" s="20">
        <f t="shared" si="4"/>
        <v>303.45161527870766</v>
      </c>
      <c r="AM42" s="59">
        <f t="shared" si="5"/>
        <v>596.78494861204103</v>
      </c>
      <c r="AN42" s="59">
        <f ca="1">AVERAGE(OFFSET($AM$3,0,0,'Données projet'!$E$10+1,1))-AVERAGE(OFFSET($H$3,0,0,'Données projet'!$E$10+1,1))</f>
        <v>269.67260882504996</v>
      </c>
      <c r="AO42" s="59">
        <f t="shared" si="36"/>
        <v>272.13858200810074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8.3404215343385619</v>
      </c>
      <c r="AV42" s="21">
        <f>EXP(-LN(2)/25)*AV41+(1-EXP(-LN(2)/25))/(LN(2)/25)*Calculateur!AQ42*Calculateur!AS42*VLOOKUP('Données projet'!$B$10,Paramètres!$A$1:$I$89,3,0)*0.475*44/12</f>
        <v>1.5539645839162688</v>
      </c>
      <c r="AW42" s="21">
        <f>EXP(-LN(2)/2)*AW41+(1-EXP(-LN(2)/2))/(LN(2)/2)*AQ42*AT42*VLOOKUP('Données projet'!$B$10,Paramètres!$A$1:$I$89,3,0)*0.475*44/12</f>
        <v>0.5000806234265468</v>
      </c>
      <c r="AX42" s="21">
        <f t="shared" si="6"/>
        <v>10.394466741681377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19.714285714285715</v>
      </c>
      <c r="BD42" s="12">
        <f>IF('Données projet'!$A$88&gt;35,BD41+BC42-BL41,IF(A42&lt;'Données projet'!$A$88,$BA$205^A42,IF(A42='Données projet'!$A$88,'Données projet'!$B$88,BD41+BC42-BL41)))</f>
        <v>368.85714285714272</v>
      </c>
      <c r="BE42" s="13">
        <f>BD42*VLOOKUP('Données projet'!$B$11,Paramètres!$A$1:$I$89,3,0)*VLOOKUP('Données projet'!$B$11,Paramètres!$A$1:$I$89,5,0)</f>
        <v>206.19114285714278</v>
      </c>
      <c r="BF42" s="13">
        <f t="shared" si="37"/>
        <v>51.10236998870176</v>
      </c>
      <c r="BG42" s="20">
        <f t="shared" si="7"/>
        <v>448.11953487317919</v>
      </c>
      <c r="BH42" s="59">
        <f t="shared" si="8"/>
        <v>741.45286820651245</v>
      </c>
      <c r="BI42" s="59">
        <f ca="1">AVERAGE(OFFSET($BH$3,0,0,'Données projet'!$E$11+1,1))-AVERAGE(OFFSET($H$3,0,0,'Données projet'!$E$11+1,1))</f>
        <v>330.33728077846268</v>
      </c>
      <c r="BJ42" s="59">
        <f t="shared" si="38"/>
        <v>358.38872754175208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18.018047981372867</v>
      </c>
      <c r="BR42" s="21">
        <f>EXP(-LN(2)/2)*BR41+(1-EXP(-LN(2)/2))/(LN(2)/2)*BL42*BO42*VLOOKUP('Données projet'!$B$11,Paramètres!$A$1:$I$89,3,0)*0.475*44/12</f>
        <v>7.3641700501919063</v>
      </c>
      <c r="BS42" s="22">
        <f t="shared" si="9"/>
        <v>25.382218031564772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9.1999999999999993</v>
      </c>
      <c r="BY42" s="12">
        <f>IF('Données projet'!$A$114&gt;35,BY41+BX42-CG41,IF(A42&lt;'Données projet'!$A$114,$BV$205^A42,IF(A42='Données projet'!$A$114,'Données projet'!$B$114,BY41+BX42-CG41)))</f>
        <v>206.7999999999999</v>
      </c>
      <c r="BZ42" s="13">
        <f>BY42*VLOOKUP('Données projet'!$B$12,Paramètres!$A$1:$I$89,3,0)*VLOOKUP('Données projet'!$B$12,Paramètres!$A$1:$I$89,5,0)</f>
        <v>196.7908799999999</v>
      </c>
      <c r="CA42" s="13">
        <f t="shared" si="39"/>
        <v>49.038237696621778</v>
      </c>
      <c r="CB42" s="20">
        <f t="shared" si="10"/>
        <v>428.15237998828275</v>
      </c>
      <c r="CC42" s="59">
        <f t="shared" si="11"/>
        <v>721.485713321616</v>
      </c>
      <c r="CD42" s="59">
        <f ca="1">AVERAGE(OFFSET($CC$3,0,0,'Données projet'!$E$12+1,1))-AVERAGE(OFFSET($H$3,0,0,'Données projet'!$E$12+1,1))</f>
        <v>367.39143258674738</v>
      </c>
      <c r="CE42" s="59">
        <f t="shared" si="40"/>
        <v>376.02790658970292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9.4622276598662207</v>
      </c>
      <c r="CL42" s="21">
        <f>EXP(-LN(2)/25)*CL41+(1-EXP(-LN(2)/25))/(LN(2)/25)*Calculateur!CG42*Calculateur!CI42*VLOOKUP('Données projet'!$B$12,Paramètres!$A$1:$I$89,3,0)*0.475*44/12</f>
        <v>1.7640757843560377</v>
      </c>
      <c r="CM42" s="21">
        <f>EXP(-LN(2)/2)*CM41+(1-EXP(-LN(2)/2))/(LN(2)/2)*CG42*CJ42*VLOOKUP('Données projet'!$B$12,Paramètres!$A$1:$I$89,3,0)*0.475*44/12</f>
        <v>0.70857495440059493</v>
      </c>
      <c r="CN42" s="22">
        <f t="shared" si="12"/>
        <v>11.934878398622853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34</v>
      </c>
      <c r="CT42" s="12">
        <f>IF('Données projet'!$A$140&gt;35,CT41+CS42-DB41,IF(A42&lt;'Données projet'!$A$140,$CQ$205^A42,IF(A42='Données projet'!$A$140,'Données projet'!$B$140,CT41+CS42-DB41)))</f>
        <v>547.99999999999989</v>
      </c>
      <c r="CU42" s="17">
        <f>CT42*VLOOKUP('Données projet'!$B$13,Paramètres!$A$1:$I$89,3,0)*VLOOKUP('Données projet'!$B$13,Paramètres!$A$1:$I$89,5,0)</f>
        <v>242.21599999999995</v>
      </c>
      <c r="CV42" s="13">
        <f t="shared" si="41"/>
        <v>58.916058339548016</v>
      </c>
      <c r="CW42" s="20">
        <f t="shared" si="13"/>
        <v>524.47166827471267</v>
      </c>
      <c r="CX42" s="59">
        <f t="shared" si="14"/>
        <v>817.80500160804604</v>
      </c>
      <c r="CY42" s="59">
        <f ca="1">AVERAGE(OFFSET($CX$3,0,0,'Données projet'!$E$13+1,1))-AVERAGE(OFFSET($H$3,0,0,'Données projet'!$E$13+1,1))</f>
        <v>500.13646131618248</v>
      </c>
      <c r="CZ42" s="59">
        <f t="shared" si="42"/>
        <v>417.58036817539306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30.005077373656004</v>
      </c>
      <c r="DG42" s="21">
        <f>EXP(-LN(2)/25)*DG41+(1-EXP(-LN(2)/25))/(LN(2)/25)*Calculateur!DB42*Calculateur!DD42*VLOOKUP('Données projet'!$B$13,Paramètres!$A$1:$I$89,3,0)*0.475*44/12</f>
        <v>29.660670839646158</v>
      </c>
      <c r="DH42" s="21">
        <f>EXP(-LN(2)/2)*DH41+(1-EXP(-LN(2)/2))/(LN(2)/2)*DB42*DE42*VLOOKUP('Données projet'!$B$13,Paramètres!$A$1:$I$89,3,0)*0.475*44/12</f>
        <v>2.585853878833726</v>
      </c>
      <c r="DI42" s="22">
        <f t="shared" si="15"/>
        <v>62.25160209213589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371.7282125501186</v>
      </c>
      <c r="T43" s="59">
        <f t="shared" si="34"/>
        <v>231.36959598460686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0.17200000000000001</v>
      </c>
      <c r="X43" s="16">
        <f>IF(ISNA(VLOOKUP(A43,'Données projet'!$A$35:$I$55,6,0)),0%,VLOOKUP(A43,'Données projet'!$A$35:$I$55,6,0)*VLOOKUP('Données projet'!$B$9,Paramètres!$A$1:$I$89,7,0))</f>
        <v>3.44E-2</v>
      </c>
      <c r="Y43" s="16">
        <f>IF(ISNA(VLOOKUP(A43,'Données projet'!$A$35:$I$55,7,0)),0%,VLOOKUP(A43,'Données projet'!$A$35:$I$55,7,0))</f>
        <v>0.12</v>
      </c>
      <c r="Z43" s="21">
        <f>EXP(-LN(2)/35)*Z42+(1-EXP(-LN(2)/35))/(LN(2)/35)*V43*W43*VLOOKUP('Données projet'!$B$9,Paramètres!$A$1:$I$89,3,0)*0.475*44/12</f>
        <v>6.8850543168026475</v>
      </c>
      <c r="AA43" s="21">
        <f>EXP(-LN(2)/25)*AA42+(1-EXP(-LN(2)/25))/(LN(2)/25)*Calculateur!V43*Calculateur!X43*VLOOKUP('Données projet'!$B$9,Paramètres!$A$1:$I$89,3,0)*0.475*44/12</f>
        <v>1.346274232942263</v>
      </c>
      <c r="AB43" s="21">
        <f>EXP(-LN(2)/2)*AB42+(1-EXP(-LN(2)/2))/(LN(2)/2)*V43*Y43*VLOOKUP('Données projet'!$B$9,Paramètres!$A$1:$I$89,3,0)*0.475*44/12</f>
        <v>2.5316372954100057</v>
      </c>
      <c r="AC43" s="22">
        <f t="shared" si="3"/>
        <v>10.762965845154916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216</v>
      </c>
      <c r="AG43" s="12">
        <f>VLOOKUP(A43,'Données projet'!$A$61:$I$81,9,0)</f>
        <v>9.8000000000000007</v>
      </c>
      <c r="AH43" s="12">
        <f t="array" ref="AH43">INDEX(AG:AG,MIN(IF(ISNUMBER(AG43:AG239),ROW(AG43:AG239),"")))</f>
        <v>9.8000000000000007</v>
      </c>
      <c r="AI43" s="13">
        <f>IF('Données projet'!$A$62&gt;35,AI42+AH43-AQ42,IF(A43&lt;'Données projet'!$A$62,$AF$205^A43,IF(A43='Données projet'!$A$62,'Données projet'!$B$62,AI42+AH43-AQ42)))</f>
        <v>216</v>
      </c>
      <c r="AJ43" s="13">
        <f>AI43*VLOOKUP('Données projet'!$B$10,Paramètres!$A$1:$I$89,3,0)*VLOOKUP('Données projet'!$B$10,Paramètres!$A$1:$I$89,5,0)</f>
        <v>144.89279999999999</v>
      </c>
      <c r="AK43" s="13">
        <f t="shared" si="35"/>
        <v>37.41562652135768</v>
      </c>
      <c r="AL43" s="20">
        <f t="shared" si="4"/>
        <v>317.5205095246979</v>
      </c>
      <c r="AM43" s="59">
        <f t="shared" si="5"/>
        <v>610.85384285803116</v>
      </c>
      <c r="AN43" s="59">
        <f ca="1">AVERAGE(OFFSET($AM$3,0,0,'Données projet'!$E$10+1,1))-AVERAGE(OFFSET($H$3,0,0,'Données projet'!$E$10+1,1))</f>
        <v>269.67260882504996</v>
      </c>
      <c r="AO43" s="59">
        <f t="shared" si="36"/>
        <v>272.13858200810074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22</v>
      </c>
      <c r="AR43" s="16">
        <f>IF(ISNA(VLOOKUP(A43,'Données projet'!$A$61:$I$81,5,0)),0%,VLOOKUP(A43,'Données projet'!$A$61:$I$81,5,0)*VLOOKUP('Données projet'!$B$10,Paramètres!$A$1:$I$89,7,0))</f>
        <v>0.318</v>
      </c>
      <c r="AS43" s="16">
        <f>IF(ISNA(VLOOKUP(A43,'Données projet'!$A$61:$I$81,6,0)),0%,VLOOKUP(A43,'Données projet'!$A$61:$I$81,6,0)*VLOOKUP('Données projet'!$B$10,Paramètres!$A$1:$I$89,7,0))</f>
        <v>2.12E-2</v>
      </c>
      <c r="AT43" s="16">
        <f>IF(ISNA(VLOOKUP(A43,'Données projet'!$A$61:$I$81,7,0)),0%,VLOOKUP(A43,'Données projet'!$A$61:$I$81,7,0))</f>
        <v>0.06</v>
      </c>
      <c r="AU43" s="21">
        <f>EXP(-LN(2)/35)*AU42+(1-EXP(-LN(2)/35))/(LN(2)/35)*AQ43*AR43*VLOOKUP('Données projet'!$B$10,Paramètres!$A$1:$I$89,3,0)*0.475*44/12</f>
        <v>13.364751471217563</v>
      </c>
      <c r="AV43" s="21">
        <f>EXP(-LN(2)/25)*AV42+(1-EXP(-LN(2)/25))/(LN(2)/25)*Calculateur!AQ43*Calculateur!AS43*VLOOKUP('Données projet'!$B$10,Paramètres!$A$1:$I$89,3,0)*0.475*44/12</f>
        <v>1.8559682642285369</v>
      </c>
      <c r="AW43" s="21">
        <f>EXP(-LN(2)/2)*AW42+(1-EXP(-LN(2)/2))/(LN(2)/2)*AQ43*AT43*VLOOKUP('Données projet'!$B$10,Paramètres!$A$1:$I$89,3,0)*0.475*44/12</f>
        <v>1.189061967663736</v>
      </c>
      <c r="AX43" s="21">
        <f t="shared" si="6"/>
        <v>16.409781703109836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19.714285714285715</v>
      </c>
      <c r="BD43" s="12">
        <f>IF('Données projet'!$A$88&gt;35,BD42+BC43-BL42,IF(A43&lt;'Données projet'!$A$88,$BA$205^A43,IF(A43='Données projet'!$A$88,'Données projet'!$B$88,BD42+BC43-BL42)))</f>
        <v>388.57142857142844</v>
      </c>
      <c r="BE43" s="13">
        <f>BD43*VLOOKUP('Données projet'!$B$11,Paramètres!$A$1:$I$89,3,0)*VLOOKUP('Données projet'!$B$11,Paramètres!$A$1:$I$89,5,0)</f>
        <v>217.21142857142851</v>
      </c>
      <c r="BF43" s="13">
        <f t="shared" si="37"/>
        <v>53.508354265938365</v>
      </c>
      <c r="BG43" s="20">
        <f t="shared" si="7"/>
        <v>471.5036217750806</v>
      </c>
      <c r="BH43" s="59">
        <f t="shared" si="8"/>
        <v>764.83695510841392</v>
      </c>
      <c r="BI43" s="59">
        <f ca="1">AVERAGE(OFFSET($BH$3,0,0,'Données projet'!$E$11+1,1))-AVERAGE(OFFSET($H$3,0,0,'Données projet'!$E$11+1,1))</f>
        <v>330.33728077846268</v>
      </c>
      <c r="BJ43" s="59">
        <f t="shared" si="38"/>
        <v>358.38872754175208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17.525343511794262</v>
      </c>
      <c r="BR43" s="21">
        <f>EXP(-LN(2)/2)*BR42+(1-EXP(-LN(2)/2))/(LN(2)/2)*BL43*BO43*VLOOKUP('Données projet'!$B$11,Paramètres!$A$1:$I$89,3,0)*0.475*44/12</f>
        <v>5.2072545803015755</v>
      </c>
      <c r="BS43" s="22">
        <f t="shared" si="9"/>
        <v>22.732598092095838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216</v>
      </c>
      <c r="BW43" s="12">
        <f>VLOOKUP(A43,'Données projet'!$A$113:$I$133,9,0)</f>
        <v>9.1999999999999993</v>
      </c>
      <c r="BX43" s="12">
        <f t="array" ref="BX43">INDEX(BW:BW,MIN(IF(ISNUMBER(BW43:BW239),ROW(BW43:BW239),"")))</f>
        <v>9.1999999999999993</v>
      </c>
      <c r="BY43" s="12">
        <f>IF('Données projet'!$A$114&gt;35,BY42+BX43-CG42,IF(A43&lt;'Données projet'!$A$114,$BV$205^A43,IF(A43='Données projet'!$A$114,'Données projet'!$B$114,BY42+BX43-CG42)))</f>
        <v>215.99999999999989</v>
      </c>
      <c r="BZ43" s="13">
        <f>BY43*VLOOKUP('Données projet'!$B$12,Paramètres!$A$1:$I$89,3,0)*VLOOKUP('Données projet'!$B$12,Paramètres!$A$1:$I$89,5,0)</f>
        <v>205.54559999999989</v>
      </c>
      <c r="CA43" s="13">
        <f t="shared" si="39"/>
        <v>50.960975968608096</v>
      </c>
      <c r="CB43" s="20">
        <f t="shared" si="10"/>
        <v>446.74895314532552</v>
      </c>
      <c r="CC43" s="59">
        <f t="shared" si="11"/>
        <v>740.08228647865883</v>
      </c>
      <c r="CD43" s="59">
        <f ca="1">AVERAGE(OFFSET($CC$3,0,0,'Données projet'!$E$12+1,1))-AVERAGE(OFFSET($H$3,0,0,'Données projet'!$E$12+1,1))</f>
        <v>367.39143258674738</v>
      </c>
      <c r="CE43" s="59">
        <f t="shared" si="40"/>
        <v>376.02790658970292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23</v>
      </c>
      <c r="CH43" s="16">
        <f>IF(ISNA(VLOOKUP(A43,'Données projet'!$A$113:$I$133,5,0)),0%,VLOOKUP(A43,'Données projet'!$A$113:$I$133,5,0)*VLOOKUP('Données projet'!$B$12,Paramètres!$A$1:$I$89,7,0))</f>
        <v>0.25800000000000001</v>
      </c>
      <c r="CI43" s="16">
        <f>IF(ISNA(VLOOKUP(A43,'Données projet'!$A$113:$I$133,6,0)),0%,VLOOKUP(A43,'Données projet'!$A$113:$I$133,6,0)*VLOOKUP('Données projet'!$B$12,Paramètres!$A$1:$I$89,7,0))</f>
        <v>1.72E-2</v>
      </c>
      <c r="CJ43" s="16">
        <f>IF(ISNA(VLOOKUP(A43,'Données projet'!$A$113:$I$133,7,0)),0%,VLOOKUP(A43,'Données projet'!$A$113:$I$133,7,0))</f>
        <v>0.06</v>
      </c>
      <c r="CK43" s="21">
        <f>EXP(-LN(2)/35)*CK42+(1-EXP(-LN(2)/35))/(LN(2)/35)*CG43*CH43*VLOOKUP('Données projet'!$B$12,Paramètres!$A$1:$I$89,3,0)*0.475*44/12</f>
        <v>15.519043095357777</v>
      </c>
      <c r="CL43" s="21">
        <f>EXP(-LN(2)/25)*CL42+(1-EXP(-LN(2)/25))/(LN(2)/25)*Calculateur!CG43*Calculateur!CI43*VLOOKUP('Données projet'!$B$12,Paramètres!$A$1:$I$89,3,0)*0.475*44/12</f>
        <v>2.1303560648054489</v>
      </c>
      <c r="CM43" s="21">
        <f>EXP(-LN(2)/2)*CM42+(1-EXP(-LN(2)/2))/(LN(2)/2)*CG43*CJ43*VLOOKUP('Données projet'!$B$12,Paramètres!$A$1:$I$89,3,0)*0.475*44/12</f>
        <v>1.7400852477107218</v>
      </c>
      <c r="CN43" s="22">
        <f t="shared" si="12"/>
        <v>19.389484407873951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582</v>
      </c>
      <c r="CR43" s="12">
        <f>VLOOKUP(A43,'Données projet'!$A$139:$I$159,9,0)</f>
        <v>34</v>
      </c>
      <c r="CS43" s="12">
        <f t="array" ref="CS43">INDEX(CR:CR,MIN(IF(ISNUMBER(CR43:CR239),ROW(CR43:CR239),"")))</f>
        <v>34</v>
      </c>
      <c r="CT43" s="12">
        <f>IF('Données projet'!$A$140&gt;35,CT42+CS43-DB42,IF(A43&lt;'Données projet'!$A$140,$CQ$205^A43,IF(A43='Données projet'!$A$140,'Données projet'!$B$140,CT42+CS43-DB42)))</f>
        <v>581.99999999999989</v>
      </c>
      <c r="CU43" s="17">
        <f>CT43*VLOOKUP('Données projet'!$B$13,Paramètres!$A$1:$I$89,3,0)*VLOOKUP('Données projet'!$B$13,Paramètres!$A$1:$I$89,5,0)</f>
        <v>257.24399999999997</v>
      </c>
      <c r="CV43" s="13">
        <f t="shared" si="41"/>
        <v>62.134546270312008</v>
      </c>
      <c r="CW43" s="20">
        <f t="shared" si="13"/>
        <v>556.25096808745991</v>
      </c>
      <c r="CX43" s="59">
        <f t="shared" si="14"/>
        <v>849.58430142079328</v>
      </c>
      <c r="CY43" s="59">
        <f ca="1">AVERAGE(OFFSET($CX$3,0,0,'Données projet'!$E$13+1,1))-AVERAGE(OFFSET($H$3,0,0,'Données projet'!$E$13+1,1))</f>
        <v>500.13646131618248</v>
      </c>
      <c r="CZ43" s="59">
        <f t="shared" si="42"/>
        <v>417.58036817539306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84</v>
      </c>
      <c r="DC43" s="16">
        <f>IF(ISNA(VLOOKUP(A43,'Données projet'!$A$139:$I$159,5,0)),0%,VLOOKUP(A43,'Données projet'!$A$139:$I$159,5,0)*VLOOKUP('Données projet'!$B$13,Paramètres!$A$1:$I$89,7,0))</f>
        <v>0.27500000000000002</v>
      </c>
      <c r="DD43" s="16">
        <f>IF(ISNA(VLOOKUP(A43,'Données projet'!$A$139:$I$159,6,0)),0%,VLOOKUP(A43,'Données projet'!$A$139:$I$159,6,0)*VLOOKUP('Données projet'!$B$13,Paramètres!$A$1:$I$89,7,0))</f>
        <v>0.16500000000000001</v>
      </c>
      <c r="DE43" s="16">
        <f>IF(ISNA(VLOOKUP(A43,'Données projet'!$A$139:$I$159,7,0)),0%,VLOOKUP(A43,'Données projet'!$A$139:$I$159,7,0))</f>
        <v>0.2</v>
      </c>
      <c r="DF43" s="21">
        <f>EXP(-LN(2)/35)*DF42+(1-EXP(-LN(2)/35))/(LN(2)/35)*DB43*DC43*VLOOKUP('Données projet'!$B$13,Paramètres!$A$1:$I$89,3,0)*0.475*44/12</f>
        <v>42.961184510577496</v>
      </c>
      <c r="DG43" s="21">
        <f>EXP(-LN(2)/25)*DG42+(1-EXP(-LN(2)/25))/(LN(2)/25)*Calculateur!DB43*Calculateur!DD43*VLOOKUP('Données projet'!$B$13,Paramètres!$A$1:$I$89,3,0)*0.475*44/12</f>
        <v>36.944293390488212</v>
      </c>
      <c r="DH43" s="21">
        <f>EXP(-LN(2)/2)*DH42+(1-EXP(-LN(2)/2))/(LN(2)/2)*DB43*DE43*VLOOKUP('Données projet'!$B$13,Paramètres!$A$1:$I$89,3,0)*0.475*44/12</f>
        <v>10.235978961393389</v>
      </c>
      <c r="DI43" s="22">
        <f t="shared" si="15"/>
        <v>90.141456862459094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371.7282125501186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6.7500426011186176</v>
      </c>
      <c r="AA44" s="21">
        <f>EXP(-LN(2)/25)*AA43+(1-EXP(-LN(2)/25))/(LN(2)/25)*Calculateur!V44*Calculateur!X44*VLOOKUP('Données projet'!$B$9,Paramètres!$A$1:$I$89,3,0)*0.475*44/12</f>
        <v>1.3094602932449719</v>
      </c>
      <c r="AB44" s="21">
        <f>EXP(-LN(2)/2)*AB43+(1-EXP(-LN(2)/2))/(LN(2)/2)*V44*Y44*VLOOKUP('Données projet'!$B$9,Paramètres!$A$1:$I$89,3,0)*0.475*44/12</f>
        <v>1.7901378990891861</v>
      </c>
      <c r="AC44" s="22">
        <f t="shared" si="3"/>
        <v>9.8496407934527763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</v>
      </c>
      <c r="AI44" s="13">
        <f>IF('Données projet'!$A$62&gt;35,AI43+AH44-AQ43,IF(A44&lt;'Données projet'!$A$62,$AF$205^A44,IF(A44='Données projet'!$A$62,'Données projet'!$B$62,AI43+AH44-AQ43)))</f>
        <v>203</v>
      </c>
      <c r="AJ44" s="13">
        <f>AI44*VLOOKUP('Données projet'!$B$10,Paramètres!$A$1:$I$89,3,0)*VLOOKUP('Données projet'!$B$10,Paramètres!$A$1:$I$89,5,0)</f>
        <v>136.17239999999998</v>
      </c>
      <c r="AK44" s="13">
        <f t="shared" si="35"/>
        <v>35.418746447495963</v>
      </c>
      <c r="AL44" s="20">
        <f t="shared" si="4"/>
        <v>298.85458006272205</v>
      </c>
      <c r="AM44" s="59">
        <f t="shared" si="5"/>
        <v>592.18791339605536</v>
      </c>
      <c r="AN44" s="59">
        <f ca="1">AVERAGE(OFFSET($AM$3,0,0,'Données projet'!$E$10+1,1))-AVERAGE(OFFSET($H$3,0,0,'Données projet'!$E$10+1,1))</f>
        <v>269.67260882504996</v>
      </c>
      <c r="AO44" s="59">
        <f t="shared" si="36"/>
        <v>272.13858200810074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13.10267684656047</v>
      </c>
      <c r="AV44" s="21">
        <f>EXP(-LN(2)/25)*AV43+(1-EXP(-LN(2)/25))/(LN(2)/25)*Calculateur!AQ44*Calculateur!AS44*VLOOKUP('Données projet'!$B$10,Paramètres!$A$1:$I$89,3,0)*0.475*44/12</f>
        <v>1.8052167144420783</v>
      </c>
      <c r="AW44" s="21">
        <f>EXP(-LN(2)/2)*AW43+(1-EXP(-LN(2)/2))/(LN(2)/2)*AQ44*AT44*VLOOKUP('Données projet'!$B$10,Paramètres!$A$1:$I$89,3,0)*0.475*44/12</f>
        <v>0.84079378058604703</v>
      </c>
      <c r="AX44" s="21">
        <f t="shared" si="6"/>
        <v>15.748687341588596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19.714285714285715</v>
      </c>
      <c r="BD44" s="12">
        <f>IF('Données projet'!$A$88&gt;35,BD43+BC44-BL43,IF(A44&lt;'Données projet'!$A$88,$BA$205^A44,IF(A44='Données projet'!$A$88,'Données projet'!$B$88,BD43+BC44-BL43)))</f>
        <v>408.28571428571416</v>
      </c>
      <c r="BE44" s="13">
        <f>BD44*VLOOKUP('Données projet'!$B$11,Paramètres!$A$1:$I$89,3,0)*VLOOKUP('Données projet'!$B$11,Paramètres!$A$1:$I$89,5,0)</f>
        <v>228.23171428571425</v>
      </c>
      <c r="BF44" s="13">
        <f t="shared" si="37"/>
        <v>55.900165244361574</v>
      </c>
      <c r="BG44" s="20">
        <f t="shared" si="7"/>
        <v>494.86302351488195</v>
      </c>
      <c r="BH44" s="59">
        <f t="shared" si="8"/>
        <v>788.19635684821526</v>
      </c>
      <c r="BI44" s="59">
        <f ca="1">AVERAGE(OFFSET($BH$3,0,0,'Données projet'!$E$11+1,1))-AVERAGE(OFFSET($H$3,0,0,'Données projet'!$E$11+1,1))</f>
        <v>330.33728077846268</v>
      </c>
      <c r="BJ44" s="59">
        <f t="shared" si="38"/>
        <v>358.38872754175208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17.046112071846487</v>
      </c>
      <c r="BR44" s="21">
        <f>EXP(-LN(2)/2)*BR43+(1-EXP(-LN(2)/2))/(LN(2)/2)*BL44*BO44*VLOOKUP('Données projet'!$B$11,Paramètres!$A$1:$I$89,3,0)*0.475*44/12</f>
        <v>3.6820850250959536</v>
      </c>
      <c r="BS44" s="22">
        <f t="shared" si="9"/>
        <v>20.728197096942441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</v>
      </c>
      <c r="BY44" s="12">
        <f>IF('Données projet'!$A$114&gt;35,BY43+BX44-CG43,IF(A44&lt;'Données projet'!$A$114,$BV$205^A44,IF(A44='Données projet'!$A$114,'Données projet'!$B$114,BY43+BX44-CG43)))</f>
        <v>201.99999999999989</v>
      </c>
      <c r="BZ44" s="13">
        <f>BY44*VLOOKUP('Données projet'!$B$12,Paramètres!$A$1:$I$89,3,0)*VLOOKUP('Données projet'!$B$12,Paramètres!$A$1:$I$89,5,0)</f>
        <v>192.22319999999991</v>
      </c>
      <c r="CA44" s="13">
        <f t="shared" si="39"/>
        <v>48.031137529960169</v>
      </c>
      <c r="CB44" s="20">
        <f t="shared" si="10"/>
        <v>418.44297119801377</v>
      </c>
      <c r="CC44" s="59">
        <f t="shared" si="11"/>
        <v>711.77630453134702</v>
      </c>
      <c r="CD44" s="59">
        <f ca="1">AVERAGE(OFFSET($CC$3,0,0,'Données projet'!$E$12+1,1))-AVERAGE(OFFSET($H$3,0,0,'Données projet'!$E$12+1,1))</f>
        <v>367.39143258674738</v>
      </c>
      <c r="CE44" s="59">
        <f t="shared" si="40"/>
        <v>376.02790658970292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15.214724125939441</v>
      </c>
      <c r="CL44" s="21">
        <f>EXP(-LN(2)/25)*CL43+(1-EXP(-LN(2)/25))/(LN(2)/25)*Calculateur!CG44*Calculateur!CI44*VLOOKUP('Données projet'!$B$12,Paramètres!$A$1:$I$89,3,0)*0.475*44/12</f>
        <v>2.0721013661827876</v>
      </c>
      <c r="CM44" s="21">
        <f>EXP(-LN(2)/2)*CM43+(1-EXP(-LN(2)/2))/(LN(2)/2)*CG44*CJ44*VLOOKUP('Données projet'!$B$12,Paramètres!$A$1:$I$89,3,0)*0.475*44/12</f>
        <v>1.2304260784989247</v>
      </c>
      <c r="CN44" s="22">
        <f t="shared" si="12"/>
        <v>18.517251570621156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30.6</v>
      </c>
      <c r="CT44" s="12">
        <f>IF('Données projet'!$A$140&gt;35,CT43+CS44-DB43,IF(A44&lt;'Données projet'!$A$140,$CQ$205^A44,IF(A44='Données projet'!$A$140,'Données projet'!$B$140,CT43+CS44-DB43)))</f>
        <v>528.59999999999991</v>
      </c>
      <c r="CU44" s="17">
        <f>CT44*VLOOKUP('Données projet'!$B$13,Paramètres!$A$1:$I$89,3,0)*VLOOKUP('Données projet'!$B$13,Paramètres!$A$1:$I$89,5,0)</f>
        <v>233.6412</v>
      </c>
      <c r="CV44" s="13">
        <f t="shared" si="41"/>
        <v>57.0692729250814</v>
      </c>
      <c r="CW44" s="20">
        <f t="shared" si="13"/>
        <v>506.32074034451671</v>
      </c>
      <c r="CX44" s="59">
        <f t="shared" si="14"/>
        <v>799.65407367784996</v>
      </c>
      <c r="CY44" s="59">
        <f ca="1">AVERAGE(OFFSET($CX$3,0,0,'Données projet'!$E$13+1,1))-AVERAGE(OFFSET($H$3,0,0,'Données projet'!$E$13+1,1))</f>
        <v>500.13646131618248</v>
      </c>
      <c r="CZ44" s="59">
        <f t="shared" si="42"/>
        <v>417.58036817539306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42.118741886060221</v>
      </c>
      <c r="DG44" s="21">
        <f>EXP(-LN(2)/25)*DG43+(1-EXP(-LN(2)/25))/(LN(2)/25)*Calculateur!DB44*Calculateur!DD44*VLOOKUP('Données projet'!$B$13,Paramètres!$A$1:$I$89,3,0)*0.475*44/12</f>
        <v>35.934049744909359</v>
      </c>
      <c r="DH44" s="21">
        <f>EXP(-LN(2)/2)*DH43+(1-EXP(-LN(2)/2))/(LN(2)/2)*DB44*DE44*VLOOKUP('Données projet'!$B$13,Paramètres!$A$1:$I$89,3,0)*0.475*44/12</f>
        <v>7.2379301356840999</v>
      </c>
      <c r="DI44" s="22">
        <f t="shared" si="15"/>
        <v>85.290721766653675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371.7282125501186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6.6176783828301362</v>
      </c>
      <c r="AA45" s="21">
        <f>EXP(-LN(2)/25)*AA44+(1-EXP(-LN(2)/25))/(LN(2)/25)*Calculateur!V45*Calculateur!X45*VLOOKUP('Données projet'!$B$9,Paramètres!$A$1:$I$89,3,0)*0.475*44/12</f>
        <v>1.2736530326646642</v>
      </c>
      <c r="AB45" s="21">
        <f>EXP(-LN(2)/2)*AB44+(1-EXP(-LN(2)/2))/(LN(2)/2)*V45*Y45*VLOOKUP('Données projet'!$B$9,Paramètres!$A$1:$I$89,3,0)*0.475*44/12</f>
        <v>1.2658186477050031</v>
      </c>
      <c r="AC45" s="22">
        <f t="shared" si="3"/>
        <v>9.1571500631998042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</v>
      </c>
      <c r="AI45" s="13">
        <f>IF('Données projet'!$A$62&gt;35,AI44+AH45-AQ44,IF(A45&lt;'Données projet'!$A$62,$AF$205^A45,IF(A45='Données projet'!$A$62,'Données projet'!$B$62,AI44+AH45-AQ44)))</f>
        <v>212</v>
      </c>
      <c r="AJ45" s="13">
        <f>AI45*VLOOKUP('Données projet'!$B$10,Paramètres!$A$1:$I$89,3,0)*VLOOKUP('Données projet'!$B$10,Paramètres!$A$1:$I$89,5,0)</f>
        <v>142.20959999999999</v>
      </c>
      <c r="AK45" s="13">
        <f t="shared" si="35"/>
        <v>36.802731569585646</v>
      </c>
      <c r="AL45" s="20">
        <f t="shared" si="4"/>
        <v>311.77981081702825</v>
      </c>
      <c r="AM45" s="59">
        <f t="shared" si="5"/>
        <v>605.11314415036156</v>
      </c>
      <c r="AN45" s="59">
        <f ca="1">AVERAGE(OFFSET($AM$3,0,0,'Données projet'!$E$10+1,1))-AVERAGE(OFFSET($H$3,0,0,'Données projet'!$E$10+1,1))</f>
        <v>269.67260882504996</v>
      </c>
      <c r="AO45" s="59">
        <f t="shared" si="36"/>
        <v>272.13858200810074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12.845741345443168</v>
      </c>
      <c r="AV45" s="21">
        <f>EXP(-LN(2)/25)*AV44+(1-EXP(-LN(2)/25))/(LN(2)/25)*Calculateur!AQ45*Calculateur!AS45*VLOOKUP('Données projet'!$B$10,Paramètres!$A$1:$I$89,3,0)*0.475*44/12</f>
        <v>1.7558529684534385</v>
      </c>
      <c r="AW45" s="21">
        <f>EXP(-LN(2)/2)*AW44+(1-EXP(-LN(2)/2))/(LN(2)/2)*AQ45*AT45*VLOOKUP('Données projet'!$B$10,Paramètres!$A$1:$I$89,3,0)*0.475*44/12</f>
        <v>0.59453098383186809</v>
      </c>
      <c r="AX45" s="21">
        <f t="shared" si="6"/>
        <v>15.196125297728475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428</v>
      </c>
      <c r="BB45" s="12">
        <f>VLOOKUP(A45,'Données projet'!$A$87:$I$107,9,0)</f>
        <v>19.714285714285715</v>
      </c>
      <c r="BC45" s="12">
        <f t="array" ref="BC45">INDEX(BB:BB,MIN(IF(ISNUMBER(BB45:BB241),ROW(BB45:BB241),"")))</f>
        <v>19.714285714285715</v>
      </c>
      <c r="BD45" s="12">
        <f>IF('Données projet'!$A$88&gt;35,BD44+BC45-BL44,IF(A45&lt;'Données projet'!$A$88,$BA$205^A45,IF(A45='Données projet'!$A$88,'Données projet'!$B$88,BD44+BC45-BL44)))</f>
        <v>427.99999999999989</v>
      </c>
      <c r="BE45" s="13">
        <f>BD45*VLOOKUP('Données projet'!$B$11,Paramètres!$A$1:$I$89,3,0)*VLOOKUP('Données projet'!$B$11,Paramètres!$A$1:$I$89,5,0)</f>
        <v>239.25199999999992</v>
      </c>
      <c r="BF45" s="13">
        <f t="shared" si="37"/>
        <v>58.278565412347106</v>
      </c>
      <c r="BG45" s="20">
        <f t="shared" si="7"/>
        <v>518.19906809317104</v>
      </c>
      <c r="BH45" s="59">
        <f t="shared" si="8"/>
        <v>811.53240142650429</v>
      </c>
      <c r="BI45" s="59">
        <f ca="1">AVERAGE(OFFSET($BH$3,0,0,'Données projet'!$E$11+1,1))-AVERAGE(OFFSET($H$3,0,0,'Données projet'!$E$11+1,1))</f>
        <v>330.33728077846268</v>
      </c>
      <c r="BJ45" s="59">
        <f t="shared" si="38"/>
        <v>358.38872754175208</v>
      </c>
      <c r="BK45" s="15">
        <f>IF(ISNA(VLOOKUP(A45,'Données projet'!$A$87:$I$107,3,0)),0,VLOOKUP(A45,'Données projet'!$A$87:$I$107,3,0))</f>
        <v>3</v>
      </c>
      <c r="BL45" s="15">
        <f>IF(ISNA(VLOOKUP(A45,'Données projet'!$A$87:$I$107,4,0)),0,VLOOKUP(A45,'Données projet'!$A$87:$I$107,4,0))</f>
        <v>79</v>
      </c>
      <c r="BM45" s="16">
        <f>IF(ISNA(VLOOKUP(A45,'Données projet'!$A$87:$I$107,5,0)),0%,VLOOKUP(A45,'Données projet'!$A$87:$I$107,5,0)*VLOOKUP('Données projet'!$B$11,Paramètres!$A$1:$I$89,7,0))</f>
        <v>0.27500000000000002</v>
      </c>
      <c r="BN45" s="16">
        <f>IF(ISNA(VLOOKUP(A45,'Données projet'!$A$87:$I$107,6,0)),0%,VLOOKUP(A45,'Données projet'!$A$87:$I$107,6,0)*VLOOKUP('Données projet'!$B$11,Paramètres!$A$1:$I$89,7,0))</f>
        <v>0.11000000000000001</v>
      </c>
      <c r="BO45" s="16">
        <f>IF(ISNA(VLOOKUP(A45,'Données projet'!$A$87:$I$107,7,0)),0%,VLOOKUP(A45,'Données projet'!$A$87:$I$107,7,0))</f>
        <v>0.3</v>
      </c>
      <c r="BP45" s="21">
        <f>EXP(-LN(2)/35)*BP44+(1-EXP(-LN(2)/35))/(LN(2)/35)*BL45*BM45*VLOOKUP('Données projet'!$B$11,Paramètres!$A$1:$I$89,3,0)*0.475*44/12</f>
        <v>16.110163552083023</v>
      </c>
      <c r="BQ45" s="21">
        <f>EXP(-LN(2)/25)*BQ44+(1-EXP(-LN(2)/25))/(LN(2)/25)*Calculateur!BL45*Calculateur!BN45*VLOOKUP('Données projet'!$B$11,Paramètres!$A$1:$I$89,3,0)*0.475*44/12</f>
        <v>22.998677920715735</v>
      </c>
      <c r="BR45" s="21">
        <f>EXP(-LN(2)/2)*BR44+(1-EXP(-LN(2)/2))/(LN(2)/2)*BL45*BO45*VLOOKUP('Données projet'!$B$11,Paramètres!$A$1:$I$89,3,0)*0.475*44/12</f>
        <v>17.603780437470661</v>
      </c>
      <c r="BS45" s="22">
        <f t="shared" si="9"/>
        <v>56.712621910269419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</v>
      </c>
      <c r="BY45" s="12">
        <f>IF('Données projet'!$A$114&gt;35,BY44+BX45-CG44,IF(A45&lt;'Données projet'!$A$114,$BV$205^A45,IF(A45='Données projet'!$A$114,'Données projet'!$B$114,BY44+BX45-CG44)))</f>
        <v>210.99999999999989</v>
      </c>
      <c r="BZ45" s="13">
        <f>BY45*VLOOKUP('Données projet'!$B$12,Paramètres!$A$1:$I$89,3,0)*VLOOKUP('Données projet'!$B$12,Paramètres!$A$1:$I$89,5,0)</f>
        <v>200.78759999999988</v>
      </c>
      <c r="CA45" s="13">
        <f t="shared" si="39"/>
        <v>49.917218754196632</v>
      </c>
      <c r="CB45" s="20">
        <f t="shared" si="10"/>
        <v>436.6442259968922</v>
      </c>
      <c r="CC45" s="59">
        <f t="shared" si="11"/>
        <v>729.97755933022552</v>
      </c>
      <c r="CD45" s="59">
        <f ca="1">AVERAGE(OFFSET($CC$3,0,0,'Données projet'!$E$12+1,1))-AVERAGE(OFFSET($H$3,0,0,'Données projet'!$E$12+1,1))</f>
        <v>367.39143258674738</v>
      </c>
      <c r="CE45" s="59">
        <f t="shared" si="40"/>
        <v>376.02790658970292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14.916372665895155</v>
      </c>
      <c r="CL45" s="21">
        <f>EXP(-LN(2)/25)*CL44+(1-EXP(-LN(2)/25))/(LN(2)/25)*Calculateur!CG45*Calculateur!CI45*VLOOKUP('Données projet'!$B$12,Paramètres!$A$1:$I$89,3,0)*0.475*44/12</f>
        <v>2.0154396453574441</v>
      </c>
      <c r="CM45" s="21">
        <f>EXP(-LN(2)/2)*CM44+(1-EXP(-LN(2)/2))/(LN(2)/2)*CG45*CJ45*VLOOKUP('Données projet'!$B$12,Paramètres!$A$1:$I$89,3,0)*0.475*44/12</f>
        <v>0.87004262385536102</v>
      </c>
      <c r="CN45" s="22">
        <f t="shared" si="12"/>
        <v>17.801854935107961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30.6</v>
      </c>
      <c r="CT45" s="12">
        <f>IF('Données projet'!$A$140&gt;35,CT44+CS45-DB44,IF(A45&lt;'Données projet'!$A$140,$CQ$205^A45,IF(A45='Données projet'!$A$140,'Données projet'!$B$140,CT44+CS45-DB44)))</f>
        <v>559.19999999999993</v>
      </c>
      <c r="CU45" s="17">
        <f>CT45*VLOOKUP('Données projet'!$B$13,Paramètres!$A$1:$I$89,3,0)*VLOOKUP('Données projet'!$B$13,Paramètres!$A$1:$I$89,5,0)</f>
        <v>247.16639999999998</v>
      </c>
      <c r="CV45" s="13">
        <f t="shared" si="41"/>
        <v>59.97876609639065</v>
      </c>
      <c r="CW45" s="20">
        <f t="shared" si="13"/>
        <v>534.9444976178803</v>
      </c>
      <c r="CX45" s="59">
        <f t="shared" si="14"/>
        <v>828.27783095121367</v>
      </c>
      <c r="CY45" s="59">
        <f ca="1">AVERAGE(OFFSET($CX$3,0,0,'Données projet'!$E$13+1,1))-AVERAGE(OFFSET($H$3,0,0,'Données projet'!$E$13+1,1))</f>
        <v>500.13646131618248</v>
      </c>
      <c r="CZ45" s="59">
        <f t="shared" si="42"/>
        <v>417.58036817539306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41.292819047570461</v>
      </c>
      <c r="DG45" s="21">
        <f>EXP(-LN(2)/25)*DG44+(1-EXP(-LN(2)/25))/(LN(2)/25)*Calculateur!DB45*Calculateur!DD45*VLOOKUP('Données projet'!$B$13,Paramètres!$A$1:$I$89,3,0)*0.475*44/12</f>
        <v>34.951431264945263</v>
      </c>
      <c r="DH45" s="21">
        <f>EXP(-LN(2)/2)*DH44+(1-EXP(-LN(2)/2))/(LN(2)/2)*DB45*DE45*VLOOKUP('Données projet'!$B$13,Paramètres!$A$1:$I$89,3,0)*0.475*44/12</f>
        <v>5.1179894806966955</v>
      </c>
      <c r="DI45" s="22">
        <f t="shared" si="15"/>
        <v>81.362239793212424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371.7282125501186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6.487909746128091</v>
      </c>
      <c r="AA46" s="21">
        <f>EXP(-LN(2)/25)*AA45+(1-EXP(-LN(2)/25))/(LN(2)/25)*Calculateur!V46*Calculateur!X46*VLOOKUP('Données projet'!$B$9,Paramètres!$A$1:$I$89,3,0)*0.475*44/12</f>
        <v>1.2388249235079469</v>
      </c>
      <c r="AB46" s="21">
        <f>EXP(-LN(2)/2)*AB45+(1-EXP(-LN(2)/2))/(LN(2)/2)*V46*Y46*VLOOKUP('Données projet'!$B$9,Paramètres!$A$1:$I$89,3,0)*0.475*44/12</f>
        <v>0.89506894954459315</v>
      </c>
      <c r="AC46" s="22">
        <f t="shared" si="3"/>
        <v>8.6218036191806302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</v>
      </c>
      <c r="AI46" s="13">
        <f>IF('Données projet'!$A$62&gt;35,AI45+AH46-AQ45,IF(A46&lt;'Données projet'!$A$62,$AF$205^A46,IF(A46='Données projet'!$A$62,'Données projet'!$B$62,AI45+AH46-AQ45)))</f>
        <v>221</v>
      </c>
      <c r="AJ46" s="13">
        <f>AI46*VLOOKUP('Données projet'!$B$10,Paramètres!$A$1:$I$89,3,0)*VLOOKUP('Données projet'!$B$10,Paramètres!$A$1:$I$89,5,0)</f>
        <v>148.24680000000001</v>
      </c>
      <c r="AK46" s="13">
        <f t="shared" si="35"/>
        <v>38.179892421047185</v>
      </c>
      <c r="AL46" s="20">
        <f t="shared" si="4"/>
        <v>324.69315596665723</v>
      </c>
      <c r="AM46" s="59">
        <f t="shared" si="5"/>
        <v>618.02648929999054</v>
      </c>
      <c r="AN46" s="59">
        <f ca="1">AVERAGE(OFFSET($AM$3,0,0,'Données projet'!$E$10+1,1))-AVERAGE(OFFSET($H$3,0,0,'Données projet'!$E$10+1,1))</f>
        <v>269.67260882504996</v>
      </c>
      <c r="AO46" s="59">
        <f t="shared" si="36"/>
        <v>272.13858200810074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12.593844192787593</v>
      </c>
      <c r="AV46" s="21">
        <f>EXP(-LN(2)/25)*AV45+(1-EXP(-LN(2)/25))/(LN(2)/25)*Calculateur!AQ46*Calculateur!AS46*VLOOKUP('Données projet'!$B$10,Paramètres!$A$1:$I$89,3,0)*0.475*44/12</f>
        <v>1.7078390766947846</v>
      </c>
      <c r="AW46" s="21">
        <f>EXP(-LN(2)/2)*AW45+(1-EXP(-LN(2)/2))/(LN(2)/2)*AQ46*AT46*VLOOKUP('Données projet'!$B$10,Paramètres!$A$1:$I$89,3,0)*0.475*44/12</f>
        <v>0.42039689029302357</v>
      </c>
      <c r="AX46" s="21">
        <f t="shared" si="6"/>
        <v>14.722080159775402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18.714285714285715</v>
      </c>
      <c r="BD46" s="12">
        <f>IF('Données projet'!$A$88&gt;35,BD45+BC46-BL45,IF(A46&lt;'Données projet'!$A$88,$BA$205^A46,IF(A46='Données projet'!$A$88,'Données projet'!$B$88,BD45+BC46-BL45)))</f>
        <v>367.71428571428561</v>
      </c>
      <c r="BE46" s="13">
        <f>BD46*VLOOKUP('Données projet'!$B$11,Paramètres!$A$1:$I$89,3,0)*VLOOKUP('Données projet'!$B$11,Paramètres!$A$1:$I$89,5,0)</f>
        <v>205.55228571428563</v>
      </c>
      <c r="BF46" s="13">
        <f t="shared" si="37"/>
        <v>50.962440613193181</v>
      </c>
      <c r="BG46" s="20">
        <f t="shared" si="7"/>
        <v>446.7631483536922</v>
      </c>
      <c r="BH46" s="59">
        <f t="shared" si="8"/>
        <v>740.09648168702552</v>
      </c>
      <c r="BI46" s="59">
        <f ca="1">AVERAGE(OFFSET($BH$3,0,0,'Données projet'!$E$11+1,1))-AVERAGE(OFFSET($H$3,0,0,'Données projet'!$E$11+1,1))</f>
        <v>330.33728077846268</v>
      </c>
      <c r="BJ46" s="59">
        <f t="shared" si="38"/>
        <v>358.38872754175208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15.794253071056183</v>
      </c>
      <c r="BQ46" s="21">
        <f>EXP(-LN(2)/25)*BQ45+(1-EXP(-LN(2)/25))/(LN(2)/25)*Calculateur!BL46*Calculateur!BN46*VLOOKUP('Données projet'!$B$11,Paramètres!$A$1:$I$89,3,0)*0.475*44/12</f>
        <v>22.369777863525854</v>
      </c>
      <c r="BR46" s="21">
        <f>EXP(-LN(2)/2)*BR45+(1-EXP(-LN(2)/2))/(LN(2)/2)*BL46*BO46*VLOOKUP('Données projet'!$B$11,Paramètres!$A$1:$I$89,3,0)*0.475*44/12</f>
        <v>12.447752521854593</v>
      </c>
      <c r="BS46" s="22">
        <f t="shared" si="9"/>
        <v>50.611783456436626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</v>
      </c>
      <c r="BY46" s="12">
        <f>IF('Données projet'!$A$114&gt;35,BY45+BX46-CG45,IF(A46&lt;'Données projet'!$A$114,$BV$205^A46,IF(A46='Données projet'!$A$114,'Données projet'!$B$114,BY45+BX46-CG45)))</f>
        <v>219.99999999999989</v>
      </c>
      <c r="BZ46" s="13">
        <f>BY46*VLOOKUP('Données projet'!$B$12,Paramètres!$A$1:$I$89,3,0)*VLOOKUP('Données projet'!$B$12,Paramètres!$A$1:$I$89,5,0)</f>
        <v>209.35199999999989</v>
      </c>
      <c r="CA46" s="13">
        <f t="shared" si="39"/>
        <v>51.79395593509436</v>
      </c>
      <c r="CB46" s="20">
        <f t="shared" si="10"/>
        <v>454.82920658695576</v>
      </c>
      <c r="CC46" s="59">
        <f t="shared" si="11"/>
        <v>748.16253992028908</v>
      </c>
      <c r="CD46" s="59">
        <f ca="1">AVERAGE(OFFSET($CC$3,0,0,'Données projet'!$E$12+1,1))-AVERAGE(OFFSET($H$3,0,0,'Données projet'!$E$12+1,1))</f>
        <v>367.39143258674738</v>
      </c>
      <c r="CE46" s="59">
        <f t="shared" si="40"/>
        <v>376.02790658970292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14.623871696005915</v>
      </c>
      <c r="CL46" s="21">
        <f>EXP(-LN(2)/25)*CL45+(1-EXP(-LN(2)/25))/(LN(2)/25)*Calculateur!CG46*Calculateur!CI46*VLOOKUP('Données projet'!$B$12,Paramètres!$A$1:$I$89,3,0)*0.475*44/12</f>
        <v>1.9603273422677803</v>
      </c>
      <c r="CM46" s="21">
        <f>EXP(-LN(2)/2)*CM45+(1-EXP(-LN(2)/2))/(LN(2)/2)*CG46*CJ46*VLOOKUP('Données projet'!$B$12,Paramètres!$A$1:$I$89,3,0)*0.475*44/12</f>
        <v>0.61521303924946247</v>
      </c>
      <c r="CN46" s="22">
        <f t="shared" si="12"/>
        <v>17.199412077523156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30.6</v>
      </c>
      <c r="CT46" s="12">
        <f>IF('Données projet'!$A$140&gt;35,CT45+CS46-DB45,IF(A46&lt;'Données projet'!$A$140,$CQ$205^A46,IF(A46='Données projet'!$A$140,'Données projet'!$B$140,CT45+CS46-DB45)))</f>
        <v>589.79999999999995</v>
      </c>
      <c r="CU46" s="17">
        <f>CT46*VLOOKUP('Données projet'!$B$13,Paramètres!$A$1:$I$89,3,0)*VLOOKUP('Données projet'!$B$13,Paramètres!$A$1:$I$89,5,0)</f>
        <v>260.69160000000005</v>
      </c>
      <c r="CV46" s="13">
        <f t="shared" si="41"/>
        <v>62.869776327967045</v>
      </c>
      <c r="CW46" s="20">
        <f t="shared" si="13"/>
        <v>563.53606377120934</v>
      </c>
      <c r="CX46" s="59">
        <f t="shared" si="14"/>
        <v>856.86939710454271</v>
      </c>
      <c r="CY46" s="59">
        <f ca="1">AVERAGE(OFFSET($CX$3,0,0,'Données projet'!$E$13+1,1))-AVERAGE(OFFSET($H$3,0,0,'Données projet'!$E$13+1,1))</f>
        <v>500.13646131618248</v>
      </c>
      <c r="CZ46" s="59">
        <f t="shared" si="42"/>
        <v>417.58036817539306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40.483092052180297</v>
      </c>
      <c r="DG46" s="21">
        <f>EXP(-LN(2)/25)*DG45+(1-EXP(-LN(2)/25))/(LN(2)/25)*Calculateur!DB46*Calculateur!DD46*VLOOKUP('Données projet'!$B$13,Paramètres!$A$1:$I$89,3,0)*0.475*44/12</f>
        <v>33.995682538989449</v>
      </c>
      <c r="DH46" s="21">
        <f>EXP(-LN(2)/2)*DH45+(1-EXP(-LN(2)/2))/(LN(2)/2)*DB46*DE46*VLOOKUP('Données projet'!$B$13,Paramètres!$A$1:$I$89,3,0)*0.475*44/12</f>
        <v>3.6189650678420504</v>
      </c>
      <c r="DI46" s="22">
        <f t="shared" si="15"/>
        <v>78.097739659011808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371.7282125501186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6.3606857932407195</v>
      </c>
      <c r="AA47" s="21">
        <f>EXP(-LN(2)/25)*AA46+(1-EXP(-LN(2)/25))/(LN(2)/25)*Calculateur!V47*Calculateur!X47*VLOOKUP('Données projet'!$B$9,Paramètres!$A$1:$I$89,3,0)*0.475*44/12</f>
        <v>1.2049491908276508</v>
      </c>
      <c r="AB47" s="21">
        <f>EXP(-LN(2)/2)*AB46+(1-EXP(-LN(2)/2))/(LN(2)/2)*V47*Y47*VLOOKUP('Données projet'!$B$9,Paramètres!$A$1:$I$89,3,0)*0.475*44/12</f>
        <v>0.63290932385250165</v>
      </c>
      <c r="AC47" s="22">
        <f t="shared" si="3"/>
        <v>8.1985443079208711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</v>
      </c>
      <c r="AI47" s="13">
        <f>IF('Données projet'!$A$62&gt;35,AI46+AH47-AQ46,IF(A47&lt;'Données projet'!$A$62,$AF$205^A47,IF(A47='Données projet'!$A$62,'Données projet'!$B$62,AI46+AH47-AQ46)))</f>
        <v>230</v>
      </c>
      <c r="AJ47" s="13">
        <f>AI47*VLOOKUP('Données projet'!$B$10,Paramètres!$A$1:$I$89,3,0)*VLOOKUP('Données projet'!$B$10,Paramètres!$A$1:$I$89,5,0)</f>
        <v>154.28399999999999</v>
      </c>
      <c r="AK47" s="13">
        <f t="shared" si="35"/>
        <v>39.550538702560999</v>
      </c>
      <c r="AL47" s="20">
        <f t="shared" si="4"/>
        <v>337.59515490696037</v>
      </c>
      <c r="AM47" s="59">
        <f t="shared" si="5"/>
        <v>630.92848824029375</v>
      </c>
      <c r="AN47" s="59">
        <f ca="1">AVERAGE(OFFSET($AM$3,0,0,'Données projet'!$E$10+1,1))-AVERAGE(OFFSET($H$3,0,0,'Données projet'!$E$10+1,1))</f>
        <v>269.67260882504996</v>
      </c>
      <c r="AO47" s="59">
        <f t="shared" si="36"/>
        <v>272.13858200810074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12.346886589653502</v>
      </c>
      <c r="AV47" s="21">
        <f>EXP(-LN(2)/25)*AV46+(1-EXP(-LN(2)/25))/(LN(2)/25)*Calculateur!AQ47*Calculateur!AS47*VLOOKUP('Données projet'!$B$10,Paramètres!$A$1:$I$89,3,0)*0.475*44/12</f>
        <v>1.661138127331212</v>
      </c>
      <c r="AW47" s="21">
        <f>EXP(-LN(2)/2)*AW46+(1-EXP(-LN(2)/2))/(LN(2)/2)*AQ47*AT47*VLOOKUP('Données projet'!$B$10,Paramètres!$A$1:$I$89,3,0)*0.475*44/12</f>
        <v>0.29726549191593404</v>
      </c>
      <c r="AX47" s="21">
        <f t="shared" si="6"/>
        <v>14.305290208900647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18.714285714285715</v>
      </c>
      <c r="BD47" s="12">
        <f>IF('Données projet'!$A$88&gt;35,BD46+BC47-BL46,IF(A47&lt;'Données projet'!$A$88,$BA$205^A47,IF(A47='Données projet'!$A$88,'Données projet'!$B$88,BD46+BC47-BL46)))</f>
        <v>386.42857142857133</v>
      </c>
      <c r="BE47" s="13">
        <f>BD47*VLOOKUP('Données projet'!$B$11,Paramètres!$A$1:$I$89,3,0)*VLOOKUP('Données projet'!$B$11,Paramètres!$A$1:$I$89,5,0)</f>
        <v>216.0135714285714</v>
      </c>
      <c r="BF47" s="13">
        <f t="shared" si="37"/>
        <v>53.247535215291443</v>
      </c>
      <c r="BG47" s="20">
        <f t="shared" si="7"/>
        <v>468.96309407139438</v>
      </c>
      <c r="BH47" s="59">
        <f t="shared" si="8"/>
        <v>762.29642740472764</v>
      </c>
      <c r="BI47" s="59">
        <f ca="1">AVERAGE(OFFSET($BH$3,0,0,'Données projet'!$E$11+1,1))-AVERAGE(OFFSET($H$3,0,0,'Données projet'!$E$11+1,1))</f>
        <v>330.33728077846268</v>
      </c>
      <c r="BJ47" s="59">
        <f t="shared" si="38"/>
        <v>358.38872754175208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15.484537401875912</v>
      </c>
      <c r="BQ47" s="21">
        <f>EXP(-LN(2)/25)*BQ46+(1-EXP(-LN(2)/25))/(LN(2)/25)*Calculateur!BL47*Calculateur!BN47*VLOOKUP('Données projet'!$B$11,Paramètres!$A$1:$I$89,3,0)*0.475*44/12</f>
        <v>21.758075111472248</v>
      </c>
      <c r="BR47" s="21">
        <f>EXP(-LN(2)/2)*BR46+(1-EXP(-LN(2)/2))/(LN(2)/2)*BL47*BO47*VLOOKUP('Données projet'!$B$11,Paramètres!$A$1:$I$89,3,0)*0.475*44/12</f>
        <v>8.8018902187353305</v>
      </c>
      <c r="BS47" s="22">
        <f t="shared" si="9"/>
        <v>46.044502732083494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</v>
      </c>
      <c r="BY47" s="12">
        <f>IF('Données projet'!$A$114&gt;35,BY46+BX47-CG46,IF(A47&lt;'Données projet'!$A$114,$BV$205^A47,IF(A47='Données projet'!$A$114,'Données projet'!$B$114,BY46+BX47-CG46)))</f>
        <v>228.99999999999989</v>
      </c>
      <c r="BZ47" s="13">
        <f>BY47*VLOOKUP('Données projet'!$B$12,Paramètres!$A$1:$I$89,3,0)*VLOOKUP('Données projet'!$B$12,Paramètres!$A$1:$I$89,5,0)</f>
        <v>217.91639999999992</v>
      </c>
      <c r="CA47" s="13">
        <f t="shared" si="39"/>
        <v>53.661775051402536</v>
      </c>
      <c r="CB47" s="20">
        <f t="shared" si="10"/>
        <v>472.99865488119258</v>
      </c>
      <c r="CC47" s="59">
        <f t="shared" si="11"/>
        <v>766.33198821452584</v>
      </c>
      <c r="CD47" s="59">
        <f ca="1">AVERAGE(OFFSET($CC$3,0,0,'Données projet'!$E$12+1,1))-AVERAGE(OFFSET($H$3,0,0,'Données projet'!$E$12+1,1))</f>
        <v>367.39143258674738</v>
      </c>
      <c r="CE47" s="59">
        <f t="shared" si="40"/>
        <v>376.02790658970292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14.337106491728228</v>
      </c>
      <c r="CL47" s="21">
        <f>EXP(-LN(2)/25)*CL46+(1-EXP(-LN(2)/25))/(LN(2)/25)*Calculateur!CG47*Calculateur!CI47*VLOOKUP('Données projet'!$B$12,Paramètres!$A$1:$I$89,3,0)*0.475*44/12</f>
        <v>1.9067220880043332</v>
      </c>
      <c r="CM47" s="21">
        <f>EXP(-LN(2)/2)*CM46+(1-EXP(-LN(2)/2))/(LN(2)/2)*CG47*CJ47*VLOOKUP('Données projet'!$B$12,Paramètres!$A$1:$I$89,3,0)*0.475*44/12</f>
        <v>0.43502131192768057</v>
      </c>
      <c r="CN47" s="22">
        <f t="shared" si="12"/>
        <v>16.678849891660242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30.6</v>
      </c>
      <c r="CT47" s="12">
        <f>IF('Données projet'!$A$140&gt;35,CT46+CS47-DB46,IF(A47&lt;'Données projet'!$A$140,$CQ$205^A47,IF(A47='Données projet'!$A$140,'Données projet'!$B$140,CT46+CS47-DB46)))</f>
        <v>620.4</v>
      </c>
      <c r="CU47" s="17">
        <f>CT47*VLOOKUP('Données projet'!$B$13,Paramètres!$A$1:$I$89,3,0)*VLOOKUP('Données projet'!$B$13,Paramètres!$A$1:$I$89,5,0)</f>
        <v>274.21680000000003</v>
      </c>
      <c r="CV47" s="13">
        <f t="shared" si="41"/>
        <v>65.743371927752975</v>
      </c>
      <c r="CW47" s="20">
        <f t="shared" si="13"/>
        <v>592.09729944083642</v>
      </c>
      <c r="CX47" s="59">
        <f t="shared" si="14"/>
        <v>885.43063277416968</v>
      </c>
      <c r="CY47" s="59">
        <f ca="1">AVERAGE(OFFSET($CX$3,0,0,'Données projet'!$E$13+1,1))-AVERAGE(OFFSET($H$3,0,0,'Données projet'!$E$13+1,1))</f>
        <v>500.13646131618248</v>
      </c>
      <c r="CZ47" s="59">
        <f t="shared" si="42"/>
        <v>417.58036817539306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39.689243309285033</v>
      </c>
      <c r="DG47" s="21">
        <f>EXP(-LN(2)/25)*DG46+(1-EXP(-LN(2)/25))/(LN(2)/25)*Calculateur!DB47*Calculateur!DD47*VLOOKUP('Données projet'!$B$13,Paramètres!$A$1:$I$89,3,0)*0.475*44/12</f>
        <v>33.066068812205536</v>
      </c>
      <c r="DH47" s="21">
        <f>EXP(-LN(2)/2)*DH46+(1-EXP(-LN(2)/2))/(LN(2)/2)*DB47*DE47*VLOOKUP('Données projet'!$B$13,Paramètres!$A$1:$I$89,3,0)*0.475*44/12</f>
        <v>2.5589947403483482</v>
      </c>
      <c r="DI47" s="22">
        <f t="shared" si="15"/>
        <v>75.314306861838915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371.7282125501186</v>
      </c>
      <c r="T48" s="59">
        <f t="shared" si="34"/>
        <v>231.36959598460686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0.25800000000000001</v>
      </c>
      <c r="X48" s="16">
        <f>IF(ISNA(VLOOKUP(A48,'Données projet'!$A$35:$I$55,6,0)),0%,VLOOKUP(A48,'Données projet'!$A$35:$I$55,6,0)*VLOOKUP('Données projet'!$B$9,Paramètres!$A$1:$I$89,7,0))</f>
        <v>1.72E-2</v>
      </c>
      <c r="Y48" s="16">
        <f>IF(ISNA(VLOOKUP(A48,'Données projet'!$A$35:$I$55,7,0)),0%,VLOOKUP(A48,'Données projet'!$A$35:$I$55,7,0))</f>
        <v>0.06</v>
      </c>
      <c r="Z48" s="21">
        <f>EXP(-LN(2)/35)*Z47+(1-EXP(-LN(2)/35))/(LN(2)/35)*V48*W48*VLOOKUP('Données projet'!$B$9,Paramètres!$A$1:$I$89,3,0)*0.475*44/12</f>
        <v>11.655200594027377</v>
      </c>
      <c r="AA48" s="21">
        <f>EXP(-LN(2)/25)*AA47+(1-EXP(-LN(2)/25))/(LN(2)/25)*Calculateur!V48*Calculateur!X48*VLOOKUP('Données projet'!$B$9,Paramètres!$A$1:$I$89,3,0)*0.475*44/12</f>
        <v>1.531860214582603</v>
      </c>
      <c r="AB48" s="21">
        <f>EXP(-LN(2)/2)*AB47+(1-EXP(-LN(2)/2))/(LN(2)/2)*V48*Y48*VLOOKUP('Données projet'!$B$9,Paramètres!$A$1:$I$89,3,0)*0.475*44/12</f>
        <v>1.5232004467143401</v>
      </c>
      <c r="AC48" s="22">
        <f t="shared" si="3"/>
        <v>14.710261255324319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239</v>
      </c>
      <c r="AG48" s="12">
        <f>VLOOKUP(A48,'Données projet'!$A$61:$I$81,9,0)</f>
        <v>9</v>
      </c>
      <c r="AH48" s="12">
        <f t="array" ref="AH48">INDEX(AG:AG,MIN(IF(ISNUMBER(AG48:AG244),ROW(AG48:AG244),"")))</f>
        <v>9</v>
      </c>
      <c r="AI48" s="13">
        <f>IF('Données projet'!$A$62&gt;35,AI47+AH48-AQ47,IF(A48&lt;'Données projet'!$A$62,$AF$205^A48,IF(A48='Données projet'!$A$62,'Données projet'!$B$62,AI47+AH48-AQ47)))</f>
        <v>239</v>
      </c>
      <c r="AJ48" s="13">
        <f>AI48*VLOOKUP('Données projet'!$B$10,Paramètres!$A$1:$I$89,3,0)*VLOOKUP('Données projet'!$B$10,Paramètres!$A$1:$I$89,5,0)</f>
        <v>160.3212</v>
      </c>
      <c r="AK48" s="13">
        <f t="shared" si="35"/>
        <v>40.914954505069986</v>
      </c>
      <c r="AL48" s="20">
        <f t="shared" si="4"/>
        <v>350.48630242966351</v>
      </c>
      <c r="AM48" s="59">
        <f t="shared" si="5"/>
        <v>643.81963576299677</v>
      </c>
      <c r="AN48" s="59">
        <f ca="1">AVERAGE(OFFSET($AM$3,0,0,'Données projet'!$E$10+1,1))-AVERAGE(OFFSET($H$3,0,0,'Données projet'!$E$10+1,1))</f>
        <v>269.67260882504996</v>
      </c>
      <c r="AO48" s="59">
        <f t="shared" si="36"/>
        <v>272.13858200810074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0.318</v>
      </c>
      <c r="AS48" s="16">
        <f>IF(ISNA(VLOOKUP(A48,'Données projet'!$A$61:$I$81,6,0)),0%,VLOOKUP(A48,'Données projet'!$A$61:$I$81,6,0)*VLOOKUP('Données projet'!$B$10,Paramètres!$A$1:$I$89,7,0))</f>
        <v>2.12E-2</v>
      </c>
      <c r="AT48" s="16">
        <f>IF(ISNA(VLOOKUP(A48,'Données projet'!$A$61:$I$81,7,0)),0%,VLOOKUP(A48,'Données projet'!$A$61:$I$81,7,0))</f>
        <v>0.06</v>
      </c>
      <c r="AU48" s="21">
        <f>EXP(-LN(2)/35)*AU47+(1-EXP(-LN(2)/35))/(LN(2)/35)*AQ48*AR48*VLOOKUP('Données projet'!$B$10,Paramètres!$A$1:$I$89,3,0)*0.475*44/12</f>
        <v>17.292652190500164</v>
      </c>
      <c r="AV48" s="21">
        <f>EXP(-LN(2)/25)*AV47+(1-EXP(-LN(2)/25))/(LN(2)/25)*Calculateur!AQ48*Calculateur!AS48*VLOOKUP('Données projet'!$B$10,Paramètres!$A$1:$I$89,3,0)*0.475*44/12</f>
        <v>1.960211141462787</v>
      </c>
      <c r="AW48" s="21">
        <f>EXP(-LN(2)/2)*AW47+(1-EXP(-LN(2)/2))/(LN(2)/2)*AQ48*AT48*VLOOKUP('Données projet'!$B$10,Paramètres!$A$1:$I$89,3,0)*0.475*44/12</f>
        <v>1.0456500128453403</v>
      </c>
      <c r="AX48" s="21">
        <f t="shared" si="6"/>
        <v>20.298513344808288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18.714285714285715</v>
      </c>
      <c r="BD48" s="12">
        <f>IF('Données projet'!$A$88&gt;35,BD47+BC48-BL47,IF(A48&lt;'Données projet'!$A$88,$BA$205^A48,IF(A48='Données projet'!$A$88,'Données projet'!$B$88,BD47+BC48-BL47)))</f>
        <v>405.14285714285705</v>
      </c>
      <c r="BE48" s="13">
        <f>BD48*VLOOKUP('Données projet'!$B$11,Paramètres!$A$1:$I$89,3,0)*VLOOKUP('Données projet'!$B$11,Paramètres!$A$1:$I$89,5,0)</f>
        <v>226.4748571428571</v>
      </c>
      <c r="BF48" s="13">
        <f t="shared" si="37"/>
        <v>55.519779408192605</v>
      </c>
      <c r="BG48" s="20">
        <f t="shared" si="7"/>
        <v>491.14065865974493</v>
      </c>
      <c r="BH48" s="59">
        <f t="shared" si="8"/>
        <v>784.47399199307824</v>
      </c>
      <c r="BI48" s="59">
        <f ca="1">AVERAGE(OFFSET($BH$3,0,0,'Données projet'!$E$11+1,1))-AVERAGE(OFFSET($H$3,0,0,'Données projet'!$E$11+1,1))</f>
        <v>330.33728077846268</v>
      </c>
      <c r="BJ48" s="59">
        <f t="shared" si="38"/>
        <v>358.38872754175208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15.18089506806036</v>
      </c>
      <c r="BQ48" s="21">
        <f>EXP(-LN(2)/25)*BQ47+(1-EXP(-LN(2)/25))/(LN(2)/25)*Calculateur!BL48*Calculateur!BN48*VLOOKUP('Données projet'!$B$11,Paramètres!$A$1:$I$89,3,0)*0.475*44/12</f>
        <v>21.163099403341597</v>
      </c>
      <c r="BR48" s="21">
        <f>EXP(-LN(2)/2)*BR47+(1-EXP(-LN(2)/2))/(LN(2)/2)*BL48*BO48*VLOOKUP('Données projet'!$B$11,Paramètres!$A$1:$I$89,3,0)*0.475*44/12</f>
        <v>6.2238762609272964</v>
      </c>
      <c r="BS48" s="22">
        <f t="shared" si="9"/>
        <v>42.567870732329254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238</v>
      </c>
      <c r="BW48" s="12">
        <f>VLOOKUP(A48,'Données projet'!$A$113:$I$133,9,0)</f>
        <v>9</v>
      </c>
      <c r="BX48" s="12">
        <f t="array" ref="BX48">INDEX(BW:BW,MIN(IF(ISNUMBER(BW48:BW244),ROW(BW48:BW244),"")))</f>
        <v>9</v>
      </c>
      <c r="BY48" s="12">
        <f>IF('Données projet'!$A$114&gt;35,BY47+BX48-CG47,IF(A48&lt;'Données projet'!$A$114,$BV$205^A48,IF(A48='Données projet'!$A$114,'Données projet'!$B$114,BY47+BX48-CG47)))</f>
        <v>237.99999999999989</v>
      </c>
      <c r="BZ48" s="13">
        <f>BY48*VLOOKUP('Données projet'!$B$12,Paramètres!$A$1:$I$89,3,0)*VLOOKUP('Données projet'!$B$12,Paramètres!$A$1:$I$89,5,0)</f>
        <v>226.48079999999987</v>
      </c>
      <c r="CA48" s="13">
        <f t="shared" si="39"/>
        <v>55.521066703161971</v>
      </c>
      <c r="CB48" s="20">
        <f t="shared" si="10"/>
        <v>491.15325117467358</v>
      </c>
      <c r="CC48" s="59">
        <f t="shared" si="11"/>
        <v>784.4865845080069</v>
      </c>
      <c r="CD48" s="59">
        <f ca="1">AVERAGE(OFFSET($CC$3,0,0,'Données projet'!$E$12+1,1))-AVERAGE(OFFSET($H$3,0,0,'Données projet'!$E$12+1,1))</f>
        <v>367.39143258674738</v>
      </c>
      <c r="CE48" s="59">
        <f t="shared" si="40"/>
        <v>376.02790658970292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0.25800000000000001</v>
      </c>
      <c r="CI48" s="16">
        <f>IF(ISNA(VLOOKUP(A48,'Données projet'!$A$113:$I$133,6,0)),0%,VLOOKUP(A48,'Données projet'!$A$113:$I$133,6,0)*VLOOKUP('Données projet'!$B$12,Paramètres!$A$1:$I$89,7,0))</f>
        <v>1.72E-2</v>
      </c>
      <c r="CJ48" s="16">
        <f>IF(ISNA(VLOOKUP(A48,'Données projet'!$A$113:$I$133,7,0)),0%,VLOOKUP(A48,'Données projet'!$A$113:$I$133,7,0))</f>
        <v>0.06</v>
      </c>
      <c r="CK48" s="21">
        <f>EXP(-LN(2)/35)*CK47+(1-EXP(-LN(2)/35))/(LN(2)/35)*CG48*CH48*VLOOKUP('Données projet'!$B$12,Paramètres!$A$1:$I$89,3,0)*0.475*44/12</f>
        <v>20.569735654905656</v>
      </c>
      <c r="CL48" s="21">
        <f>EXP(-LN(2)/25)*CL47+(1-EXP(-LN(2)/25))/(LN(2)/25)*Calculateur!CG48*Calculateur!CI48*VLOOKUP('Données projet'!$B$12,Paramètres!$A$1:$I$89,3,0)*0.475*44/12</f>
        <v>2.2871242641069225</v>
      </c>
      <c r="CM48" s="21">
        <f>EXP(-LN(2)/2)*CM47+(1-EXP(-LN(2)/2))/(LN(2)/2)*CG48*CJ48*VLOOKUP('Données projet'!$B$12,Paramètres!$A$1:$I$89,3,0)*0.475*44/12</f>
        <v>1.600525224816153</v>
      </c>
      <c r="CN48" s="22">
        <f t="shared" si="12"/>
        <v>24.457385143828731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651</v>
      </c>
      <c r="CR48" s="12">
        <f>VLOOKUP(A48,'Données projet'!$A$139:$I$159,9,0)</f>
        <v>30.6</v>
      </c>
      <c r="CS48" s="12">
        <f t="array" ref="CS48">INDEX(CR:CR,MIN(IF(ISNUMBER(CR48:CR244),ROW(CR48:CR244),"")))</f>
        <v>30.6</v>
      </c>
      <c r="CT48" s="12">
        <f>IF('Données projet'!$A$140&gt;35,CT47+CS48-DB47,IF(A48&lt;'Données projet'!$A$140,$CQ$205^A48,IF(A48='Données projet'!$A$140,'Données projet'!$B$140,CT47+CS48-DB47)))</f>
        <v>651</v>
      </c>
      <c r="CU48" s="17">
        <f>CT48*VLOOKUP('Données projet'!$B$13,Paramètres!$A$1:$I$89,3,0)*VLOOKUP('Données projet'!$B$13,Paramètres!$A$1:$I$89,5,0)</f>
        <v>287.74200000000002</v>
      </c>
      <c r="CV48" s="13">
        <f t="shared" si="41"/>
        <v>68.600509865830645</v>
      </c>
      <c r="CW48" s="20">
        <f t="shared" si="13"/>
        <v>620.62987134965499</v>
      </c>
      <c r="CX48" s="59">
        <f t="shared" si="14"/>
        <v>913.96320468298836</v>
      </c>
      <c r="CY48" s="59">
        <f ca="1">AVERAGE(OFFSET($CX$3,0,0,'Données projet'!$E$13+1,1))-AVERAGE(OFFSET($H$3,0,0,'Données projet'!$E$13+1,1))</f>
        <v>500.13646131618248</v>
      </c>
      <c r="CZ48" s="59">
        <f t="shared" si="42"/>
        <v>417.58036817539306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69</v>
      </c>
      <c r="DC48" s="16">
        <f>IF(ISNA(VLOOKUP(A48,'Données projet'!$A$139:$I$159,5,0)),0%,VLOOKUP(A48,'Données projet'!$A$139:$I$159,5,0)*VLOOKUP('Données projet'!$B$13,Paramètres!$A$1:$I$89,7,0))</f>
        <v>0.27500000000000002</v>
      </c>
      <c r="DD48" s="16">
        <f>IF(ISNA(VLOOKUP(A48,'Données projet'!$A$139:$I$159,6,0)),0%,VLOOKUP(A48,'Données projet'!$A$139:$I$159,6,0)*VLOOKUP('Données projet'!$B$13,Paramètres!$A$1:$I$89,7,0))</f>
        <v>0.16500000000000001</v>
      </c>
      <c r="DE48" s="16">
        <f>IF(ISNA(VLOOKUP(A48,'Données projet'!$A$139:$I$159,7,0)),0%,VLOOKUP(A48,'Données projet'!$A$139:$I$159,7,0))</f>
        <v>0.2</v>
      </c>
      <c r="DF48" s="21">
        <f>EXP(-LN(2)/35)*DF47+(1-EXP(-LN(2)/35))/(LN(2)/35)*DB48*DC48*VLOOKUP('Données projet'!$B$13,Paramètres!$A$1:$I$89,3,0)*0.475*44/12</f>
        <v>50.036791215586682</v>
      </c>
      <c r="DG48" s="21">
        <f>EXP(-LN(2)/25)*DG47+(1-EXP(-LN(2)/25))/(LN(2)/25)*Calculateur!DB48*Calculateur!DD48*VLOOKUP('Données projet'!$B$13,Paramètres!$A$1:$I$89,3,0)*0.475*44/12</f>
        <v>38.811089298773879</v>
      </c>
      <c r="DH48" s="21">
        <f>EXP(-LN(2)/2)*DH47+(1-EXP(-LN(2)/2))/(LN(2)/2)*DB48*DE48*VLOOKUP('Données projet'!$B$13,Paramètres!$A$1:$I$89,3,0)*0.475*44/12</f>
        <v>8.7156466559134564</v>
      </c>
      <c r="DI48" s="22">
        <f t="shared" si="15"/>
        <v>97.563527170274014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371.7282125501186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11.42664921934891</v>
      </c>
      <c r="AA49" s="21">
        <f>EXP(-LN(2)/25)*AA48+(1-EXP(-LN(2)/25))/(LN(2)/25)*Calculateur!V49*Calculateur!X49*VLOOKUP('Données projet'!$B$9,Paramètres!$A$1:$I$89,3,0)*0.475*44/12</f>
        <v>1.4899714164578142</v>
      </c>
      <c r="AB49" s="21">
        <f>EXP(-LN(2)/2)*AB48+(1-EXP(-LN(2)/2))/(LN(2)/2)*V49*Y49*VLOOKUP('Données projet'!$B$9,Paramètres!$A$1:$I$89,3,0)*0.475*44/12</f>
        <v>1.0770653649780884</v>
      </c>
      <c r="AC49" s="22">
        <f t="shared" si="3"/>
        <v>13.993686000784813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8.6</v>
      </c>
      <c r="AI49" s="13">
        <f>IF('Données projet'!$A$62&gt;35,AI48+AH49-AQ48,IF(A49&lt;'Données projet'!$A$62,$AF$205^A49,IF(A49='Données projet'!$A$62,'Données projet'!$B$62,AI48+AH49-AQ48)))</f>
        <v>225.6</v>
      </c>
      <c r="AJ49" s="13">
        <f>AI49*VLOOKUP('Données projet'!$B$10,Paramètres!$A$1:$I$89,3,0)*VLOOKUP('Données projet'!$B$10,Paramètres!$A$1:$I$89,5,0)</f>
        <v>151.33248</v>
      </c>
      <c r="AK49" s="13">
        <f t="shared" si="35"/>
        <v>38.881240443489794</v>
      </c>
      <c r="AL49" s="20">
        <f t="shared" si="4"/>
        <v>331.28889643907803</v>
      </c>
      <c r="AM49" s="59">
        <f t="shared" si="5"/>
        <v>624.6222297724114</v>
      </c>
      <c r="AN49" s="59">
        <f ca="1">AVERAGE(OFFSET($AM$3,0,0,'Données projet'!$E$10+1,1))-AVERAGE(OFFSET($H$3,0,0,'Données projet'!$E$10+1,1))</f>
        <v>269.67260882504996</v>
      </c>
      <c r="AO49" s="59">
        <f t="shared" si="36"/>
        <v>272.13858200810074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16.953553828520814</v>
      </c>
      <c r="AV49" s="21">
        <f>EXP(-LN(2)/25)*AV48+(1-EXP(-LN(2)/25))/(LN(2)/25)*Calculateur!AQ49*Calculateur!AS49*VLOOKUP('Données projet'!$B$10,Paramètres!$A$1:$I$89,3,0)*0.475*44/12</f>
        <v>1.9066090647164633</v>
      </c>
      <c r="AW49" s="21">
        <f>EXP(-LN(2)/2)*AW48+(1-EXP(-LN(2)/2))/(LN(2)/2)*AQ49*AT49*VLOOKUP('Données projet'!$B$10,Paramètres!$A$1:$I$89,3,0)*0.475*44/12</f>
        <v>0.73938621483074074</v>
      </c>
      <c r="AX49" s="21">
        <f t="shared" si="6"/>
        <v>19.599549108068018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18.714285714285715</v>
      </c>
      <c r="BD49" s="12">
        <f>IF('Données projet'!$A$88&gt;35,BD48+BC49-BL48,IF(A49&lt;'Données projet'!$A$88,$BA$205^A49,IF(A49='Données projet'!$A$88,'Données projet'!$B$88,BD48+BC49-BL48)))</f>
        <v>423.85714285714278</v>
      </c>
      <c r="BE49" s="13">
        <f>BD49*VLOOKUP('Données projet'!$B$11,Paramètres!$A$1:$I$89,3,0)*VLOOKUP('Données projet'!$B$11,Paramètres!$A$1:$I$89,5,0)</f>
        <v>236.93614285714284</v>
      </c>
      <c r="BF49" s="13">
        <f t="shared" si="37"/>
        <v>57.779834571291595</v>
      </c>
      <c r="BG49" s="20">
        <f t="shared" si="7"/>
        <v>513.29699402119002</v>
      </c>
      <c r="BH49" s="59">
        <f t="shared" si="8"/>
        <v>806.63032735452339</v>
      </c>
      <c r="BI49" s="59">
        <f ca="1">AVERAGE(OFFSET($BH$3,0,0,'Données projet'!$E$11+1,1))-AVERAGE(OFFSET($H$3,0,0,'Données projet'!$E$11+1,1))</f>
        <v>330.33728077846268</v>
      </c>
      <c r="BJ49" s="59">
        <f t="shared" si="38"/>
        <v>358.38872754175208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14.883206975207395</v>
      </c>
      <c r="BQ49" s="21">
        <f>EXP(-LN(2)/25)*BQ48+(1-EXP(-LN(2)/25))/(LN(2)/25)*Calculateur!BL49*Calculateur!BN49*VLOOKUP('Données projet'!$B$11,Paramètres!$A$1:$I$89,3,0)*0.475*44/12</f>
        <v>20.584393337238193</v>
      </c>
      <c r="BR49" s="21">
        <f>EXP(-LN(2)/2)*BR48+(1-EXP(-LN(2)/2))/(LN(2)/2)*BL49*BO49*VLOOKUP('Données projet'!$B$11,Paramètres!$A$1:$I$89,3,0)*0.475*44/12</f>
        <v>4.4009451093676653</v>
      </c>
      <c r="BS49" s="22">
        <f t="shared" si="9"/>
        <v>39.868545421813252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222.59999999999988</v>
      </c>
      <c r="BZ49" s="13">
        <f>BY49*VLOOKUP('Données projet'!$B$12,Paramètres!$A$1:$I$89,3,0)*VLOOKUP('Données projet'!$B$12,Paramètres!$A$1:$I$89,5,0)</f>
        <v>211.82615999999987</v>
      </c>
      <c r="CA49" s="13">
        <f t="shared" si="39"/>
        <v>52.334446286305713</v>
      </c>
      <c r="CB49" s="20">
        <f t="shared" si="10"/>
        <v>460.07972261531557</v>
      </c>
      <c r="CC49" s="59">
        <f t="shared" si="11"/>
        <v>753.41305594864889</v>
      </c>
      <c r="CD49" s="59">
        <f ca="1">AVERAGE(OFFSET($CC$3,0,0,'Données projet'!$E$12+1,1))-AVERAGE(OFFSET($H$3,0,0,'Données projet'!$E$12+1,1))</f>
        <v>367.39143258674738</v>
      </c>
      <c r="CE49" s="59">
        <f t="shared" si="40"/>
        <v>376.02790658970292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20.166375685012863</v>
      </c>
      <c r="CL49" s="21">
        <f>EXP(-LN(2)/25)*CL48+(1-EXP(-LN(2)/25))/(LN(2)/25)*Calculateur!CG49*Calculateur!CI49*VLOOKUP('Données projet'!$B$12,Paramètres!$A$1:$I$89,3,0)*0.475*44/12</f>
        <v>2.224582730830281</v>
      </c>
      <c r="CM49" s="21">
        <f>EXP(-LN(2)/2)*CM48+(1-EXP(-LN(2)/2))/(LN(2)/2)*CG49*CJ49*VLOOKUP('Données projet'!$B$12,Paramètres!$A$1:$I$89,3,0)*0.475*44/12</f>
        <v>1.1317422399276253</v>
      </c>
      <c r="CN49" s="22">
        <f t="shared" si="12"/>
        <v>23.52270065577077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27.4</v>
      </c>
      <c r="CT49" s="12">
        <f>IF('Données projet'!$A$140&gt;35,CT48+CS49-DB48,IF(A49&lt;'Données projet'!$A$140,$CQ$205^A49,IF(A49='Données projet'!$A$140,'Données projet'!$B$140,CT48+CS49-DB48)))</f>
        <v>609.4</v>
      </c>
      <c r="CU49" s="17">
        <f>CT49*VLOOKUP('Données projet'!$B$13,Paramètres!$A$1:$I$89,3,0)*VLOOKUP('Données projet'!$B$13,Paramètres!$A$1:$I$89,5,0)</f>
        <v>269.35480000000001</v>
      </c>
      <c r="CV49" s="13">
        <f t="shared" si="41"/>
        <v>64.712322503706446</v>
      </c>
      <c r="CW49" s="20">
        <f t="shared" si="13"/>
        <v>581.83357169395538</v>
      </c>
      <c r="CX49" s="59">
        <f t="shared" si="14"/>
        <v>875.16690502728875</v>
      </c>
      <c r="CY49" s="59">
        <f ca="1">AVERAGE(OFFSET($CX$3,0,0,'Données projet'!$E$13+1,1))-AVERAGE(OFFSET($H$3,0,0,'Données projet'!$E$13+1,1))</f>
        <v>500.13646131618248</v>
      </c>
      <c r="CZ49" s="59">
        <f t="shared" si="42"/>
        <v>417.58036817539306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49.055600259278123</v>
      </c>
      <c r="DG49" s="21">
        <f>EXP(-LN(2)/25)*DG48+(1-EXP(-LN(2)/25))/(LN(2)/25)*Calculateur!DB49*Calculateur!DD49*VLOOKUP('Données projet'!$B$13,Paramètres!$A$1:$I$89,3,0)*0.475*44/12</f>
        <v>37.749798020912422</v>
      </c>
      <c r="DH49" s="21">
        <f>EXP(-LN(2)/2)*DH48+(1-EXP(-LN(2)/2))/(LN(2)/2)*DB49*DE49*VLOOKUP('Données projet'!$B$13,Paramètres!$A$1:$I$89,3,0)*0.475*44/12</f>
        <v>6.162892852822262</v>
      </c>
      <c r="DI49" s="22">
        <f t="shared" si="15"/>
        <v>92.968291133012812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371.7282125501186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11.202579597725315</v>
      </c>
      <c r="AA50" s="21">
        <f>EXP(-LN(2)/25)*AA49+(1-EXP(-LN(2)/25))/(LN(2)/25)*Calculateur!V50*Calculateur!X50*VLOOKUP('Données projet'!$B$9,Paramètres!$A$1:$I$89,3,0)*0.475*44/12</f>
        <v>1.4492280697205839</v>
      </c>
      <c r="AB50" s="21">
        <f>EXP(-LN(2)/2)*AB49+(1-EXP(-LN(2)/2))/(LN(2)/2)*V50*Y50*VLOOKUP('Données projet'!$B$9,Paramètres!$A$1:$I$89,3,0)*0.475*44/12</f>
        <v>0.76160022335717015</v>
      </c>
      <c r="AC50" s="22">
        <f t="shared" si="3"/>
        <v>13.41340789080307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8.6</v>
      </c>
      <c r="AI50" s="13">
        <f>IF('Données projet'!$A$62&gt;35,AI49+AH50-AQ49,IF(A50&lt;'Données projet'!$A$62,$AF$205^A50,IF(A50='Données projet'!$A$62,'Données projet'!$B$62,AI49+AH50-AQ49)))</f>
        <v>234.2</v>
      </c>
      <c r="AJ50" s="13">
        <f>AI50*VLOOKUP('Données projet'!$B$10,Paramètres!$A$1:$I$89,3,0)*VLOOKUP('Données projet'!$B$10,Paramètres!$A$1:$I$89,5,0)</f>
        <v>157.10136</v>
      </c>
      <c r="AK50" s="13">
        <f t="shared" si="35"/>
        <v>40.188025021155923</v>
      </c>
      <c r="AL50" s="20">
        <f t="shared" si="4"/>
        <v>343.61234557851321</v>
      </c>
      <c r="AM50" s="59">
        <f t="shared" si="5"/>
        <v>636.94567891184647</v>
      </c>
      <c r="AN50" s="59">
        <f ca="1">AVERAGE(OFFSET($AM$3,0,0,'Données projet'!$E$10+1,1))-AVERAGE(OFFSET($H$3,0,0,'Données projet'!$E$10+1,1))</f>
        <v>269.67260882504996</v>
      </c>
      <c r="AO50" s="59">
        <f t="shared" si="36"/>
        <v>272.13858200810074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16.621104978590303</v>
      </c>
      <c r="AV50" s="21">
        <f>EXP(-LN(2)/25)*AV49+(1-EXP(-LN(2)/25))/(LN(2)/25)*Calculateur!AQ50*Calculateur!AS50*VLOOKUP('Données projet'!$B$10,Paramètres!$A$1:$I$89,3,0)*0.475*44/12</f>
        <v>1.8544727395775784</v>
      </c>
      <c r="AW50" s="21">
        <f>EXP(-LN(2)/2)*AW49+(1-EXP(-LN(2)/2))/(LN(2)/2)*AQ50*AT50*VLOOKUP('Données projet'!$B$10,Paramètres!$A$1:$I$89,3,0)*0.475*44/12</f>
        <v>0.52282500642267027</v>
      </c>
      <c r="AX50" s="21">
        <f t="shared" si="6"/>
        <v>18.998402724590552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18.714285714285715</v>
      </c>
      <c r="BD50" s="12">
        <f>IF('Données projet'!$A$88&gt;35,BD49+BC50-BL49,IF(A50&lt;'Données projet'!$A$88,$BA$205^A50,IF(A50='Données projet'!$A$88,'Données projet'!$B$88,BD49+BC50-BL49)))</f>
        <v>442.5714285714285</v>
      </c>
      <c r="BE50" s="13">
        <f>BD50*VLOOKUP('Données projet'!$B$11,Paramètres!$A$1:$I$89,3,0)*VLOOKUP('Données projet'!$B$11,Paramètres!$A$1:$I$89,5,0)</f>
        <v>247.39742857142855</v>
      </c>
      <c r="BF50" s="13">
        <f t="shared" si="37"/>
        <v>60.028300378902109</v>
      </c>
      <c r="BG50" s="20">
        <f t="shared" si="7"/>
        <v>535.43314458849261</v>
      </c>
      <c r="BH50" s="59">
        <f t="shared" si="8"/>
        <v>828.76647792182598</v>
      </c>
      <c r="BI50" s="59">
        <f ca="1">AVERAGE(OFFSET($BH$3,0,0,'Données projet'!$E$11+1,1))-AVERAGE(OFFSET($H$3,0,0,'Données projet'!$E$11+1,1))</f>
        <v>330.33728077846268</v>
      </c>
      <c r="BJ50" s="59">
        <f t="shared" si="38"/>
        <v>358.38872754175208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14.591356364283468</v>
      </c>
      <c r="BQ50" s="21">
        <f>EXP(-LN(2)/25)*BQ49+(1-EXP(-LN(2)/25))/(LN(2)/25)*Calculateur!BL50*Calculateur!BN50*VLOOKUP('Données projet'!$B$11,Paramètres!$A$1:$I$89,3,0)*0.475*44/12</f>
        <v>20.021512018945216</v>
      </c>
      <c r="BR50" s="21">
        <f>EXP(-LN(2)/2)*BR49+(1-EXP(-LN(2)/2))/(LN(2)/2)*BL50*BO50*VLOOKUP('Données projet'!$B$11,Paramètres!$A$1:$I$89,3,0)*0.475*44/12</f>
        <v>3.1119381304636482</v>
      </c>
      <c r="BS50" s="22">
        <f t="shared" si="9"/>
        <v>37.724806513692336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231.19999999999987</v>
      </c>
      <c r="BZ50" s="13">
        <f>BY50*VLOOKUP('Données projet'!$B$12,Paramètres!$A$1:$I$89,3,0)*VLOOKUP('Données projet'!$B$12,Paramètres!$A$1:$I$89,5,0)</f>
        <v>220.00991999999988</v>
      </c>
      <c r="CA50" s="13">
        <f t="shared" si="39"/>
        <v>54.117041777925152</v>
      </c>
      <c r="CB50" s="20">
        <f t="shared" si="10"/>
        <v>477.43779176321937</v>
      </c>
      <c r="CC50" s="59">
        <f t="shared" si="11"/>
        <v>770.77112509655262</v>
      </c>
      <c r="CD50" s="59">
        <f ca="1">AVERAGE(OFFSET($CC$3,0,0,'Données projet'!$E$12+1,1))-AVERAGE(OFFSET($H$3,0,0,'Données projet'!$E$12+1,1))</f>
        <v>367.39143258674738</v>
      </c>
      <c r="CE50" s="59">
        <f t="shared" si="40"/>
        <v>376.02790658970292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19.770925358104378</v>
      </c>
      <c r="CL50" s="21">
        <f>EXP(-LN(2)/25)*CL49+(1-EXP(-LN(2)/25))/(LN(2)/25)*Calculateur!CG50*Calculateur!CI50*VLOOKUP('Données projet'!$B$12,Paramètres!$A$1:$I$89,3,0)*0.475*44/12</f>
        <v>2.1637513990700055</v>
      </c>
      <c r="CM50" s="21">
        <f>EXP(-LN(2)/2)*CM49+(1-EXP(-LN(2)/2))/(LN(2)/2)*CG50*CJ50*VLOOKUP('Données projet'!$B$12,Paramètres!$A$1:$I$89,3,0)*0.475*44/12</f>
        <v>0.80026261240807661</v>
      </c>
      <c r="CN50" s="22">
        <f t="shared" si="12"/>
        <v>22.73493936958246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27.4</v>
      </c>
      <c r="CT50" s="12">
        <f>IF('Données projet'!$A$140&gt;35,CT49+CS50-DB49,IF(A50&lt;'Données projet'!$A$140,$CQ$205^A50,IF(A50='Données projet'!$A$140,'Données projet'!$B$140,CT49+CS50-DB49)))</f>
        <v>636.79999999999995</v>
      </c>
      <c r="CU50" s="17">
        <f>CT50*VLOOKUP('Données projet'!$B$13,Paramètres!$A$1:$I$89,3,0)*VLOOKUP('Données projet'!$B$13,Paramètres!$A$1:$I$89,5,0)</f>
        <v>281.46559999999999</v>
      </c>
      <c r="CV50" s="13">
        <f t="shared" si="41"/>
        <v>67.276638122675294</v>
      </c>
      <c r="CW50" s="20">
        <f t="shared" si="13"/>
        <v>607.39273139699276</v>
      </c>
      <c r="CX50" s="59">
        <f t="shared" si="14"/>
        <v>900.72606473032602</v>
      </c>
      <c r="CY50" s="59">
        <f ca="1">AVERAGE(OFFSET($CX$3,0,0,'Données projet'!$E$13+1,1))-AVERAGE(OFFSET($H$3,0,0,'Données projet'!$E$13+1,1))</f>
        <v>500.13646131618248</v>
      </c>
      <c r="CZ50" s="59">
        <f t="shared" si="42"/>
        <v>417.58036817539306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48.093649859155384</v>
      </c>
      <c r="DG50" s="21">
        <f>EXP(-LN(2)/25)*DG49+(1-EXP(-LN(2)/25))/(LN(2)/25)*Calculateur!DB50*Calculateur!DD50*VLOOKUP('Données projet'!$B$13,Paramètres!$A$1:$I$89,3,0)*0.475*44/12</f>
        <v>36.717527808854975</v>
      </c>
      <c r="DH50" s="21">
        <f>EXP(-LN(2)/2)*DH49+(1-EXP(-LN(2)/2))/(LN(2)/2)*DB50*DE50*VLOOKUP('Données projet'!$B$13,Paramètres!$A$1:$I$89,3,0)*0.475*44/12</f>
        <v>4.3578233279567291</v>
      </c>
      <c r="DI50" s="22">
        <f t="shared" si="15"/>
        <v>89.169000995967082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371.7282125501186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10.982903844712784</v>
      </c>
      <c r="AA51" s="21">
        <f>EXP(-LN(2)/25)*AA50+(1-EXP(-LN(2)/25))/(LN(2)/25)*Calculateur!V51*Calculateur!X51*VLOOKUP('Données projet'!$B$9,Paramètres!$A$1:$I$89,3,0)*0.475*44/12</f>
        <v>1.4095988519424827</v>
      </c>
      <c r="AB51" s="21">
        <f>EXP(-LN(2)/2)*AB50+(1-EXP(-LN(2)/2))/(LN(2)/2)*V51*Y51*VLOOKUP('Données projet'!$B$9,Paramètres!$A$1:$I$89,3,0)*0.475*44/12</f>
        <v>0.53853268248904429</v>
      </c>
      <c r="AC51" s="22">
        <f t="shared" si="3"/>
        <v>12.931035379144312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8.6</v>
      </c>
      <c r="AI51" s="13">
        <f>IF('Données projet'!$A$62&gt;35,AI50+AH51-AQ50,IF(A51&lt;'Données projet'!$A$62,$AF$205^A51,IF(A51='Données projet'!$A$62,'Données projet'!$B$62,AI50+AH51-AQ50)))</f>
        <v>242.79999999999998</v>
      </c>
      <c r="AJ51" s="13">
        <f>AI51*VLOOKUP('Données projet'!$B$10,Paramètres!$A$1:$I$89,3,0)*VLOOKUP('Données projet'!$B$10,Paramètres!$A$1:$I$89,5,0)</f>
        <v>162.87024</v>
      </c>
      <c r="AK51" s="13">
        <f t="shared" si="35"/>
        <v>41.489234612225843</v>
      </c>
      <c r="AL51" s="20">
        <f t="shared" si="4"/>
        <v>355.92608494962661</v>
      </c>
      <c r="AM51" s="59">
        <f t="shared" si="5"/>
        <v>649.25941828295993</v>
      </c>
      <c r="AN51" s="59">
        <f ca="1">AVERAGE(OFFSET($AM$3,0,0,'Données projet'!$E$10+1,1))-AVERAGE(OFFSET($H$3,0,0,'Données projet'!$E$10+1,1))</f>
        <v>269.67260882504996</v>
      </c>
      <c r="AO51" s="59">
        <f t="shared" si="36"/>
        <v>272.13858200810074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16.295175247833154</v>
      </c>
      <c r="AV51" s="21">
        <f>EXP(-LN(2)/25)*AV50+(1-EXP(-LN(2)/25))/(LN(2)/25)*Calculateur!AQ51*Calculateur!AS51*VLOOKUP('Données projet'!$B$10,Paramètres!$A$1:$I$89,3,0)*0.475*44/12</f>
        <v>1.8037620849913467</v>
      </c>
      <c r="AW51" s="21">
        <f>EXP(-LN(2)/2)*AW50+(1-EXP(-LN(2)/2))/(LN(2)/2)*AQ51*AT51*VLOOKUP('Données projet'!$B$10,Paramètres!$A$1:$I$89,3,0)*0.475*44/12</f>
        <v>0.36969310741537043</v>
      </c>
      <c r="AX51" s="21">
        <f t="shared" si="6"/>
        <v>18.46863044023987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18.714285714285715</v>
      </c>
      <c r="BD51" s="12">
        <f>IF('Données projet'!$A$88&gt;35,BD50+BC51-BL50,IF(A51&lt;'Données projet'!$A$88,$BA$205^A51,IF(A51='Données projet'!$A$88,'Données projet'!$B$88,BD50+BC51-BL50)))</f>
        <v>461.28571428571422</v>
      </c>
      <c r="BE51" s="13">
        <f>BD51*VLOOKUP('Données projet'!$B$11,Paramètres!$A$1:$I$89,3,0)*VLOOKUP('Données projet'!$B$11,Paramètres!$A$1:$I$89,5,0)</f>
        <v>257.85871428571426</v>
      </c>
      <c r="BF51" s="13">
        <f t="shared" si="37"/>
        <v>62.265722921696401</v>
      </c>
      <c r="BG51" s="20">
        <f t="shared" si="7"/>
        <v>557.55006146957351</v>
      </c>
      <c r="BH51" s="59">
        <f t="shared" si="8"/>
        <v>850.88339480290688</v>
      </c>
      <c r="BI51" s="59">
        <f ca="1">AVERAGE(OFFSET($BH$3,0,0,'Données projet'!$E$11+1,1))-AVERAGE(OFFSET($H$3,0,0,'Données projet'!$E$11+1,1))</f>
        <v>330.33728077846268</v>
      </c>
      <c r="BJ51" s="59">
        <f t="shared" si="38"/>
        <v>358.38872754175208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14.305228765828465</v>
      </c>
      <c r="BQ51" s="21">
        <f>EXP(-LN(2)/25)*BQ50+(1-EXP(-LN(2)/25))/(LN(2)/25)*Calculateur!BL51*Calculateur!BN51*VLOOKUP('Données projet'!$B$11,Paramètres!$A$1:$I$89,3,0)*0.475*44/12</f>
        <v>19.474022719901601</v>
      </c>
      <c r="BR51" s="21">
        <f>EXP(-LN(2)/2)*BR50+(1-EXP(-LN(2)/2))/(LN(2)/2)*BL51*BO51*VLOOKUP('Données projet'!$B$11,Paramètres!$A$1:$I$89,3,0)*0.475*44/12</f>
        <v>2.2004725546838326</v>
      </c>
      <c r="BS51" s="22">
        <f t="shared" si="9"/>
        <v>35.979724040413899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239.79999999999987</v>
      </c>
      <c r="BZ51" s="13">
        <f>BY51*VLOOKUP('Données projet'!$B$12,Paramètres!$A$1:$I$89,3,0)*VLOOKUP('Données projet'!$B$12,Paramètres!$A$1:$I$89,5,0)</f>
        <v>228.19367999999986</v>
      </c>
      <c r="CA51" s="13">
        <f t="shared" si="39"/>
        <v>55.891933871330544</v>
      </c>
      <c r="CB51" s="20">
        <f t="shared" si="10"/>
        <v>494.78244415923376</v>
      </c>
      <c r="CC51" s="59">
        <f t="shared" si="11"/>
        <v>788.11577749256708</v>
      </c>
      <c r="CD51" s="59">
        <f ca="1">AVERAGE(OFFSET($CC$3,0,0,'Données projet'!$E$12+1,1))-AVERAGE(OFFSET($H$3,0,0,'Données projet'!$E$12+1,1))</f>
        <v>367.39143258674738</v>
      </c>
      <c r="CE51" s="59">
        <f t="shared" si="40"/>
        <v>376.02790658970292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19.383229570905684</v>
      </c>
      <c r="CL51" s="21">
        <f>EXP(-LN(2)/25)*CL50+(1-EXP(-LN(2)/25))/(LN(2)/25)*Calculateur!CG51*Calculateur!CI51*VLOOKUP('Données projet'!$B$12,Paramètres!$A$1:$I$89,3,0)*0.475*44/12</f>
        <v>2.1045835032756952</v>
      </c>
      <c r="CM51" s="21">
        <f>EXP(-LN(2)/2)*CM50+(1-EXP(-LN(2)/2))/(LN(2)/2)*CG51*CJ51*VLOOKUP('Données projet'!$B$12,Paramètres!$A$1:$I$89,3,0)*0.475*44/12</f>
        <v>0.56587111996381279</v>
      </c>
      <c r="CN51" s="22">
        <f t="shared" si="12"/>
        <v>22.053684194145191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27.4</v>
      </c>
      <c r="CT51" s="12">
        <f>IF('Données projet'!$A$140&gt;35,CT50+CS51-DB50,IF(A51&lt;'Données projet'!$A$140,$CQ$205^A51,IF(A51='Données projet'!$A$140,'Données projet'!$B$140,CT50+CS51-DB50)))</f>
        <v>664.19999999999993</v>
      </c>
      <c r="CU51" s="17">
        <f>CT51*VLOOKUP('Données projet'!$B$13,Paramètres!$A$1:$I$89,3,0)*VLOOKUP('Données projet'!$B$13,Paramètres!$A$1:$I$89,5,0)</f>
        <v>293.57640000000004</v>
      </c>
      <c r="CV51" s="13">
        <f t="shared" si="41"/>
        <v>69.828138511965605</v>
      </c>
      <c r="CW51" s="20">
        <f t="shared" si="13"/>
        <v>632.92957124167344</v>
      </c>
      <c r="CX51" s="59">
        <f t="shared" si="14"/>
        <v>926.26290457500681</v>
      </c>
      <c r="CY51" s="59">
        <f ca="1">AVERAGE(OFFSET($CX$3,0,0,'Données projet'!$E$13+1,1))-AVERAGE(OFFSET($H$3,0,0,'Données projet'!$E$13+1,1))</f>
        <v>500.13646131618248</v>
      </c>
      <c r="CZ51" s="59">
        <f t="shared" si="42"/>
        <v>417.58036817539306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47.150562719647247</v>
      </c>
      <c r="DG51" s="21">
        <f>EXP(-LN(2)/25)*DG50+(1-EXP(-LN(2)/25))/(LN(2)/25)*Calculateur!DB51*Calculateur!DD51*VLOOKUP('Données projet'!$B$13,Paramètres!$A$1:$I$89,3,0)*0.475*44/12</f>
        <v>35.713485080030964</v>
      </c>
      <c r="DH51" s="21">
        <f>EXP(-LN(2)/2)*DH50+(1-EXP(-LN(2)/2))/(LN(2)/2)*DB51*DE51*VLOOKUP('Données projet'!$B$13,Paramètres!$A$1:$I$89,3,0)*0.475*44/12</f>
        <v>3.0814464264111314</v>
      </c>
      <c r="DI51" s="22">
        <f t="shared" si="15"/>
        <v>85.945494226089352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371.7282125501186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10.767535799227849</v>
      </c>
      <c r="AA52" s="21">
        <f>EXP(-LN(2)/25)*AA51+(1-EXP(-LN(2)/25))/(LN(2)/25)*Calculateur!V52*Calculateur!X52*VLOOKUP('Données projet'!$B$9,Paramètres!$A$1:$I$89,3,0)*0.475*44/12</f>
        <v>1.3710532972085336</v>
      </c>
      <c r="AB52" s="21">
        <f>EXP(-LN(2)/2)*AB51+(1-EXP(-LN(2)/2))/(LN(2)/2)*V52*Y52*VLOOKUP('Données projet'!$B$9,Paramètres!$A$1:$I$89,3,0)*0.475*44/12</f>
        <v>0.38080011167858513</v>
      </c>
      <c r="AC52" s="22">
        <f t="shared" si="3"/>
        <v>12.519389208114967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8.6</v>
      </c>
      <c r="AI52" s="13">
        <f>IF('Données projet'!$A$62&gt;35,AI51+AH52-AQ51,IF(A52&lt;'Données projet'!$A$62,$AF$205^A52,IF(A52='Données projet'!$A$62,'Données projet'!$B$62,AI51+AH52-AQ51)))</f>
        <v>251.39999999999998</v>
      </c>
      <c r="AJ52" s="13">
        <f>AI52*VLOOKUP('Données projet'!$B$10,Paramètres!$A$1:$I$89,3,0)*VLOOKUP('Données projet'!$B$10,Paramètres!$A$1:$I$89,5,0)</f>
        <v>168.63911999999999</v>
      </c>
      <c r="AK52" s="13">
        <f t="shared" si="35"/>
        <v>42.785089308129741</v>
      </c>
      <c r="AL52" s="20">
        <f t="shared" si="4"/>
        <v>368.23049787832588</v>
      </c>
      <c r="AM52" s="59">
        <f t="shared" si="5"/>
        <v>661.56383121165914</v>
      </c>
      <c r="AN52" s="59">
        <f ca="1">AVERAGE(OFFSET($AM$3,0,0,'Données projet'!$E$10+1,1))-AVERAGE(OFFSET($H$3,0,0,'Données projet'!$E$10+1,1))</f>
        <v>269.67260882504996</v>
      </c>
      <c r="AO52" s="59">
        <f t="shared" si="36"/>
        <v>272.13858200810074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15.975636800298645</v>
      </c>
      <c r="AV52" s="21">
        <f>EXP(-LN(2)/25)*AV51+(1-EXP(-LN(2)/25))/(LN(2)/25)*Calculateur!AQ52*Calculateur!AS52*VLOOKUP('Données projet'!$B$10,Paramètres!$A$1:$I$89,3,0)*0.475*44/12</f>
        <v>1.7544381159215328</v>
      </c>
      <c r="AW52" s="21">
        <f>EXP(-LN(2)/2)*AW51+(1-EXP(-LN(2)/2))/(LN(2)/2)*AQ52*AT52*VLOOKUP('Données projet'!$B$10,Paramètres!$A$1:$I$89,3,0)*0.475*44/12</f>
        <v>0.26141250321133519</v>
      </c>
      <c r="AX52" s="21">
        <f t="shared" si="6"/>
        <v>17.991487419431515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480</v>
      </c>
      <c r="BB52" s="12">
        <f>VLOOKUP(A52,'Données projet'!$A$87:$I$107,9,0)</f>
        <v>18.714285714285715</v>
      </c>
      <c r="BC52" s="12">
        <f t="array" ref="BC52">INDEX(BB:BB,MIN(IF(ISNUMBER(BB52:BB248),ROW(BB52:BB248),"")))</f>
        <v>18.714285714285715</v>
      </c>
      <c r="BD52" s="12">
        <f>IF('Données projet'!$A$88&gt;35,BD51+BC52-BL51,IF(A52&lt;'Données projet'!$A$88,$BA$205^A52,IF(A52='Données projet'!$A$88,'Données projet'!$B$88,BD51+BC52-BL51)))</f>
        <v>479.99999999999994</v>
      </c>
      <c r="BE52" s="13">
        <f>BD52*VLOOKUP('Données projet'!$B$11,Paramètres!$A$1:$I$89,3,0)*VLOOKUP('Données projet'!$B$11,Paramètres!$A$1:$I$89,5,0)</f>
        <v>268.32</v>
      </c>
      <c r="BF52" s="13">
        <f t="shared" si="37"/>
        <v>64.492601473092478</v>
      </c>
      <c r="BG52" s="20">
        <f t="shared" si="7"/>
        <v>579.64861423230275</v>
      </c>
      <c r="BH52" s="59">
        <f t="shared" si="8"/>
        <v>872.98194756563612</v>
      </c>
      <c r="BI52" s="59">
        <f ca="1">AVERAGE(OFFSET($BH$3,0,0,'Données projet'!$E$11+1,1))-AVERAGE(OFFSET($H$3,0,0,'Données projet'!$E$11+1,1))</f>
        <v>330.33728077846268</v>
      </c>
      <c r="BJ52" s="59">
        <f t="shared" si="38"/>
        <v>358.38872754175208</v>
      </c>
      <c r="BK52" s="15">
        <f>IF(ISNA(VLOOKUP(A52,'Données projet'!$A$87:$I$107,3,0)),0,VLOOKUP(A52,'Données projet'!$A$87:$I$107,3,0))</f>
        <v>4</v>
      </c>
      <c r="BL52" s="15">
        <f>IF(ISNA(VLOOKUP(A52,'Données projet'!$A$87:$I$107,4,0)),0,VLOOKUP(A52,'Données projet'!$A$87:$I$107,4,0))</f>
        <v>85</v>
      </c>
      <c r="BM52" s="16">
        <f>IF(ISNA(VLOOKUP(A52,'Données projet'!$A$87:$I$107,5,0)),0%,VLOOKUP(A52,'Données projet'!$A$87:$I$107,5,0)*VLOOKUP('Données projet'!$B$11,Paramètres!$A$1:$I$89,7,0))</f>
        <v>0.27500000000000002</v>
      </c>
      <c r="BN52" s="16">
        <f>IF(ISNA(VLOOKUP(A52,'Données projet'!$A$87:$I$107,6,0)),0%,VLOOKUP(A52,'Données projet'!$A$87:$I$107,6,0)*VLOOKUP('Données projet'!$B$11,Paramètres!$A$1:$I$89,7,0))</f>
        <v>0.11000000000000001</v>
      </c>
      <c r="BO52" s="16">
        <f>IF(ISNA(VLOOKUP(A52,'Données projet'!$A$87:$I$107,7,0)),0%,VLOOKUP(A52,'Données projet'!$A$87:$I$107,7,0))</f>
        <v>0.3</v>
      </c>
      <c r="BP52" s="21">
        <f>EXP(-LN(2)/35)*BP51+(1-EXP(-LN(2)/35))/(LN(2)/35)*BL52*BM52*VLOOKUP('Données projet'!$B$11,Paramètres!$A$1:$I$89,3,0)*0.475*44/12</f>
        <v>31.358432232616245</v>
      </c>
      <c r="BQ52" s="21">
        <f>EXP(-LN(2)/25)*BQ51+(1-EXP(-LN(2)/25))/(LN(2)/25)*Calculateur!BL52*Calculateur!BN52*VLOOKUP('Données projet'!$B$11,Paramètres!$A$1:$I$89,3,0)*0.475*44/12</f>
        <v>25.847692870995434</v>
      </c>
      <c r="BR52" s="21">
        <f>EXP(-LN(2)/2)*BR51+(1-EXP(-LN(2)/2))/(LN(2)/2)*BL52*BO52*VLOOKUP('Données projet'!$B$11,Paramètres!$A$1:$I$89,3,0)*0.475*44/12</f>
        <v>17.69537435032283</v>
      </c>
      <c r="BS52" s="22">
        <f t="shared" si="9"/>
        <v>74.90149945393452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248.39999999999986</v>
      </c>
      <c r="BZ52" s="13">
        <f>BY52*VLOOKUP('Données projet'!$B$12,Paramètres!$A$1:$I$89,3,0)*VLOOKUP('Données projet'!$B$12,Paramètres!$A$1:$I$89,5,0)</f>
        <v>236.37743999999986</v>
      </c>
      <c r="CA52" s="13">
        <f t="shared" si="39"/>
        <v>57.659430484223769</v>
      </c>
      <c r="CB52" s="20">
        <f t="shared" si="10"/>
        <v>512.11421609335616</v>
      </c>
      <c r="CC52" s="59">
        <f t="shared" si="11"/>
        <v>805.44754942668942</v>
      </c>
      <c r="CD52" s="59">
        <f ca="1">AVERAGE(OFFSET($CC$3,0,0,'Données projet'!$E$12+1,1))-AVERAGE(OFFSET($H$3,0,0,'Données projet'!$E$12+1,1))</f>
        <v>367.39143258674738</v>
      </c>
      <c r="CE52" s="59">
        <f t="shared" si="40"/>
        <v>376.02790658970292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19.003136261622878</v>
      </c>
      <c r="CL52" s="21">
        <f>EXP(-LN(2)/25)*CL51+(1-EXP(-LN(2)/25))/(LN(2)/25)*Calculateur!CG52*Calculateur!CI52*VLOOKUP('Données projet'!$B$12,Paramètres!$A$1:$I$89,3,0)*0.475*44/12</f>
        <v>2.047033556703385</v>
      </c>
      <c r="CM52" s="21">
        <f>EXP(-LN(2)/2)*CM51+(1-EXP(-LN(2)/2))/(LN(2)/2)*CG52*CJ52*VLOOKUP('Données projet'!$B$12,Paramètres!$A$1:$I$89,3,0)*0.475*44/12</f>
        <v>0.40013130620403836</v>
      </c>
      <c r="CN52" s="22">
        <f t="shared" si="12"/>
        <v>21.450301124530302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27.4</v>
      </c>
      <c r="CT52" s="12">
        <f>IF('Données projet'!$A$140&gt;35,CT51+CS52-DB51,IF(A52&lt;'Données projet'!$A$140,$CQ$205^A52,IF(A52='Données projet'!$A$140,'Données projet'!$B$140,CT51+CS52-DB51)))</f>
        <v>691.59999999999991</v>
      </c>
      <c r="CU52" s="17">
        <f>CT52*VLOOKUP('Données projet'!$B$13,Paramètres!$A$1:$I$89,3,0)*VLOOKUP('Données projet'!$B$13,Paramètres!$A$1:$I$89,5,0)</f>
        <v>305.68719999999996</v>
      </c>
      <c r="CV52" s="13">
        <f t="shared" si="41"/>
        <v>72.367412795802267</v>
      </c>
      <c r="CW52" s="20">
        <f t="shared" si="13"/>
        <v>658.44511728602208</v>
      </c>
      <c r="CX52" s="59">
        <f t="shared" si="14"/>
        <v>951.77845061935545</v>
      </c>
      <c r="CY52" s="59">
        <f ca="1">AVERAGE(OFFSET($CX$3,0,0,'Données projet'!$E$13+1,1))-AVERAGE(OFFSET($H$3,0,0,'Données projet'!$E$13+1,1))</f>
        <v>500.13646131618248</v>
      </c>
      <c r="CZ52" s="59">
        <f t="shared" si="42"/>
        <v>417.58036817539306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46.225968943718506</v>
      </c>
      <c r="DG52" s="21">
        <f>EXP(-LN(2)/25)*DG51+(1-EXP(-LN(2)/25))/(LN(2)/25)*Calculateur!DB52*Calculateur!DD52*VLOOKUP('Données projet'!$B$13,Paramètres!$A$1:$I$89,3,0)*0.475*44/12</f>
        <v>34.736897952426958</v>
      </c>
      <c r="DH52" s="21">
        <f>EXP(-LN(2)/2)*DH51+(1-EXP(-LN(2)/2))/(LN(2)/2)*DB52*DE52*VLOOKUP('Données projet'!$B$13,Paramètres!$A$1:$I$89,3,0)*0.475*44/12</f>
        <v>2.178911663978365</v>
      </c>
      <c r="DI52" s="22">
        <f t="shared" si="15"/>
        <v>83.141778560123839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371.7282125501186</v>
      </c>
      <c r="T53" s="59">
        <f t="shared" si="34"/>
        <v>231.36959598460686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0.25800000000000001</v>
      </c>
      <c r="X53" s="16">
        <f>IF(ISNA(VLOOKUP(A53,'Données projet'!$A$35:$I$55,6,0)),0%,VLOOKUP(A53,'Données projet'!$A$35:$I$55,6,0)*VLOOKUP('Données projet'!$B$9,Paramètres!$A$1:$I$89,7,0))</f>
        <v>1.72E-2</v>
      </c>
      <c r="Y53" s="16">
        <f>IF(ISNA(VLOOKUP(A53,'Données projet'!$A$35:$I$55,7,0)),0%,VLOOKUP(A53,'Données projet'!$A$35:$I$55,7,0))</f>
        <v>0.06</v>
      </c>
      <c r="Z53" s="21">
        <f>EXP(-LN(2)/35)*Z52+(1-EXP(-LN(2)/35))/(LN(2)/35)*V53*W53*VLOOKUP('Données projet'!$B$9,Paramètres!$A$1:$I$89,3,0)*0.475*44/12</f>
        <v>15.975634959310195</v>
      </c>
      <c r="AA53" s="21">
        <f>EXP(-LN(2)/25)*AA52+(1-EXP(-LN(2)/25))/(LN(2)/25)*Calculateur!V53*Calculateur!X53*VLOOKUP('Données projet'!$B$9,Paramètres!$A$1:$I$89,3,0)*0.475*44/12</f>
        <v>1.6934221954394653</v>
      </c>
      <c r="AB53" s="21">
        <f>EXP(-LN(2)/2)*AB52+(1-EXP(-LN(2)/2))/(LN(2)/2)*V53*Y53*VLOOKUP('Données projet'!$B$9,Paramètres!$A$1:$I$89,3,0)*0.475*44/12</f>
        <v>1.3449323131865656</v>
      </c>
      <c r="AC53" s="22">
        <f t="shared" si="3"/>
        <v>19.013989467936224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260</v>
      </c>
      <c r="AG53" s="12">
        <f>VLOOKUP(A53,'Données projet'!$A$61:$I$81,9,0)</f>
        <v>8.6</v>
      </c>
      <c r="AH53" s="12">
        <f t="array" ref="AH53">INDEX(AG:AG,MIN(IF(ISNUMBER(AG53:AG249),ROW(AG53:AG249),"")))</f>
        <v>8.6</v>
      </c>
      <c r="AI53" s="13">
        <f>IF('Données projet'!$A$62&gt;35,AI52+AH53-AQ52,IF(A53&lt;'Données projet'!$A$62,$AF$205^A53,IF(A53='Données projet'!$A$62,'Données projet'!$B$62,AI52+AH53-AQ52)))</f>
        <v>260</v>
      </c>
      <c r="AJ53" s="13">
        <f>AI53*VLOOKUP('Données projet'!$B$10,Paramètres!$A$1:$I$89,3,0)*VLOOKUP('Données projet'!$B$10,Paramètres!$A$1:$I$89,5,0)</f>
        <v>174.40800000000002</v>
      </c>
      <c r="AK53" s="13">
        <f t="shared" si="35"/>
        <v>44.075793288194824</v>
      </c>
      <c r="AL53" s="20">
        <f t="shared" si="4"/>
        <v>380.52593997693936</v>
      </c>
      <c r="AM53" s="59">
        <f t="shared" si="5"/>
        <v>673.85927331027267</v>
      </c>
      <c r="AN53" s="59">
        <f ca="1">AVERAGE(OFFSET($AM$3,0,0,'Données projet'!$E$10+1,1))-AVERAGE(OFFSET($H$3,0,0,'Données projet'!$E$10+1,1))</f>
        <v>269.67260882504996</v>
      </c>
      <c r="AO53" s="59">
        <f t="shared" si="36"/>
        <v>272.13858200810074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22</v>
      </c>
      <c r="AR53" s="16">
        <f>IF(ISNA(VLOOKUP(A53,'Données projet'!$A$61:$I$81,5,0)),0%,VLOOKUP(A53,'Données projet'!$A$61:$I$81,5,0)*VLOOKUP('Données projet'!$B$10,Paramètres!$A$1:$I$89,7,0))</f>
        <v>0.318</v>
      </c>
      <c r="AS53" s="16">
        <f>IF(ISNA(VLOOKUP(A53,'Données projet'!$A$61:$I$81,6,0)),0%,VLOOKUP(A53,'Données projet'!$A$61:$I$81,6,0)*VLOOKUP('Données projet'!$B$10,Paramètres!$A$1:$I$89,7,0))</f>
        <v>2.12E-2</v>
      </c>
      <c r="AT53" s="16">
        <f>IF(ISNA(VLOOKUP(A53,'Données projet'!$A$61:$I$81,7,0)),0%,VLOOKUP(A53,'Données projet'!$A$61:$I$81,7,0))</f>
        <v>0.06</v>
      </c>
      <c r="AU53" s="21">
        <f>EXP(-LN(2)/35)*AU52+(1-EXP(-LN(2)/35))/(LN(2)/35)*AQ53*AR53*VLOOKUP('Données projet'!$B$10,Paramètres!$A$1:$I$89,3,0)*0.475*44/12</f>
        <v>20.850244822833638</v>
      </c>
      <c r="AV53" s="21">
        <f>EXP(-LN(2)/25)*AV52+(1-EXP(-LN(2)/25))/(LN(2)/25)*Calculateur!AQ53*Calculateur!AS53*VLOOKUP('Données projet'!$B$10,Paramètres!$A$1:$I$89,3,0)*0.475*44/12</f>
        <v>2.0509598369586719</v>
      </c>
      <c r="AW53" s="21">
        <f>EXP(-LN(2)/2)*AW52+(1-EXP(-LN(2)/2))/(LN(2)/2)*AQ53*AT53*VLOOKUP('Données projet'!$B$10,Paramètres!$A$1:$I$89,3,0)*0.475*44/12</f>
        <v>1.0202981214065137</v>
      </c>
      <c r="AX53" s="21">
        <f t="shared" si="6"/>
        <v>23.921502781198825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17.285714285714285</v>
      </c>
      <c r="BD53" s="12">
        <f>IF('Données projet'!$A$88&gt;35,BD52+BC53-BL52,IF(A53&lt;'Données projet'!$A$88,$BA$205^A53,IF(A53='Données projet'!$A$88,'Données projet'!$B$88,BD52+BC53-BL52)))</f>
        <v>412.28571428571422</v>
      </c>
      <c r="BE53" s="13">
        <f>BD53*VLOOKUP('Données projet'!$B$11,Paramètres!$A$1:$I$89,3,0)*VLOOKUP('Données projet'!$B$11,Paramètres!$A$1:$I$89,5,0)</f>
        <v>230.46771428571427</v>
      </c>
      <c r="BF53" s="13">
        <f t="shared" si="37"/>
        <v>56.383800334888903</v>
      </c>
      <c r="BG53" s="20">
        <f t="shared" si="7"/>
        <v>499.59972129755039</v>
      </c>
      <c r="BH53" s="59">
        <f t="shared" si="8"/>
        <v>792.9330546308837</v>
      </c>
      <c r="BI53" s="59">
        <f ca="1">AVERAGE(OFFSET($BH$3,0,0,'Données projet'!$E$11+1,1))-AVERAGE(OFFSET($H$3,0,0,'Données projet'!$E$11+1,1))</f>
        <v>330.33728077846268</v>
      </c>
      <c r="BJ53" s="59">
        <f t="shared" si="38"/>
        <v>358.38872754175208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30.743512503289693</v>
      </c>
      <c r="BQ53" s="21">
        <f>EXP(-LN(2)/25)*BQ52+(1-EXP(-LN(2)/25))/(LN(2)/25)*Calculateur!BL53*Calculateur!BN53*VLOOKUP('Données projet'!$B$11,Paramètres!$A$1:$I$89,3,0)*0.475*44/12</f>
        <v>25.140886350166973</v>
      </c>
      <c r="BR53" s="21">
        <f>EXP(-LN(2)/2)*BR52+(1-EXP(-LN(2)/2))/(LN(2)/2)*BL53*BO53*VLOOKUP('Données projet'!$B$11,Paramètres!$A$1:$I$89,3,0)*0.475*44/12</f>
        <v>12.512519198747771</v>
      </c>
      <c r="BS53" s="22">
        <f t="shared" si="9"/>
        <v>68.396918052204441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257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256.99999999999989</v>
      </c>
      <c r="BZ53" s="13">
        <f>BY53*VLOOKUP('Données projet'!$B$12,Paramètres!$A$1:$I$89,3,0)*VLOOKUP('Données projet'!$B$12,Paramètres!$A$1:$I$89,5,0)</f>
        <v>244.5611999999999</v>
      </c>
      <c r="CA53" s="13">
        <f t="shared" si="39"/>
        <v>59.419817003915256</v>
      </c>
      <c r="CB53" s="20">
        <f t="shared" si="10"/>
        <v>529.43360461515215</v>
      </c>
      <c r="CC53" s="59">
        <f t="shared" si="11"/>
        <v>822.76693794848552</v>
      </c>
      <c r="CD53" s="59">
        <f ca="1">AVERAGE(OFFSET($CC$3,0,0,'Données projet'!$E$12+1,1))-AVERAGE(OFFSET($H$3,0,0,'Données projet'!$E$12+1,1))</f>
        <v>367.39143258674738</v>
      </c>
      <c r="CE53" s="59">
        <f t="shared" si="40"/>
        <v>376.02790658970292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24</v>
      </c>
      <c r="CH53" s="16">
        <f>IF(ISNA(VLOOKUP(A53,'Données projet'!$A$113:$I$133,5,0)),0%,VLOOKUP(A53,'Données projet'!$A$113:$I$133,5,0)*VLOOKUP('Données projet'!$B$12,Paramètres!$A$1:$I$89,7,0))</f>
        <v>0.25800000000000001</v>
      </c>
      <c r="CI53" s="16">
        <f>IF(ISNA(VLOOKUP(A53,'Données projet'!$A$113:$I$133,6,0)),0%,VLOOKUP(A53,'Données projet'!$A$113:$I$133,6,0)*VLOOKUP('Données projet'!$B$12,Paramètres!$A$1:$I$89,7,0))</f>
        <v>1.72E-2</v>
      </c>
      <c r="CJ53" s="16">
        <f>IF(ISNA(VLOOKUP(A53,'Données projet'!$A$113:$I$133,7,0)),0%,VLOOKUP(A53,'Données projet'!$A$113:$I$133,7,0))</f>
        <v>0.06</v>
      </c>
      <c r="CK53" s="21">
        <f>EXP(-LN(2)/35)*CK52+(1-EXP(-LN(2)/35))/(LN(2)/35)*CG53*CH53*VLOOKUP('Données projet'!$B$12,Paramètres!$A$1:$I$89,3,0)*0.475*44/12</f>
        <v>25.144267427009815</v>
      </c>
      <c r="CL53" s="21">
        <f>EXP(-LN(2)/25)*CL52+(1-EXP(-LN(2)/25))/(LN(2)/25)*Calculateur!CG53*Calculateur!CI53*VLOOKUP('Données projet'!$B$12,Paramètres!$A$1:$I$89,3,0)*0.475*44/12</f>
        <v>2.4235989083157397</v>
      </c>
      <c r="CM53" s="21">
        <f>EXP(-LN(2)/2)*CM52+(1-EXP(-LN(2)/2))/(LN(2)/2)*CG53*CJ53*VLOOKUP('Données projet'!$B$12,Paramètres!$A$1:$I$89,3,0)*0.475*44/12</f>
        <v>1.5758542651733281</v>
      </c>
      <c r="CN53" s="22">
        <f t="shared" si="12"/>
        <v>29.143720600498881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719</v>
      </c>
      <c r="CR53" s="12">
        <f>VLOOKUP(A53,'Données projet'!$A$139:$I$159,9,0)</f>
        <v>27.4</v>
      </c>
      <c r="CS53" s="12">
        <f t="array" ref="CS53">INDEX(CR:CR,MIN(IF(ISNUMBER(CR53:CR249),ROW(CR53:CR249),"")))</f>
        <v>27.4</v>
      </c>
      <c r="CT53" s="12">
        <f>IF('Données projet'!$A$140&gt;35,CT52+CS53-DB52,IF(A53&lt;'Données projet'!$A$140,$CQ$205^A53,IF(A53='Données projet'!$A$140,'Données projet'!$B$140,CT52+CS53-DB52)))</f>
        <v>718.99999999999989</v>
      </c>
      <c r="CU53" s="17">
        <f>CT53*VLOOKUP('Données projet'!$B$13,Paramètres!$A$1:$I$89,3,0)*VLOOKUP('Données projet'!$B$13,Paramètres!$A$1:$I$89,5,0)</f>
        <v>317.798</v>
      </c>
      <c r="CV53" s="13">
        <f t="shared" si="41"/>
        <v>74.895000775677957</v>
      </c>
      <c r="CW53" s="20">
        <f t="shared" si="13"/>
        <v>683.9403096843057</v>
      </c>
      <c r="CX53" s="59">
        <f t="shared" si="14"/>
        <v>977.27364301763896</v>
      </c>
      <c r="CY53" s="59">
        <f ca="1">AVERAGE(OFFSET($CX$3,0,0,'Données projet'!$E$13+1,1))-AVERAGE(OFFSET($H$3,0,0,'Données projet'!$E$13+1,1))</f>
        <v>500.13646131618248</v>
      </c>
      <c r="CZ53" s="59">
        <f t="shared" si="42"/>
        <v>417.58036817539306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59</v>
      </c>
      <c r="DC53" s="16">
        <f>IF(ISNA(VLOOKUP(A53,'Données projet'!$A$139:$I$159,5,0)),0%,VLOOKUP(A53,'Données projet'!$A$139:$I$159,5,0)*VLOOKUP('Données projet'!$B$13,Paramètres!$A$1:$I$89,7,0))</f>
        <v>0.33</v>
      </c>
      <c r="DD53" s="16">
        <f>IF(ISNA(VLOOKUP(A53,'Données projet'!$A$139:$I$159,6,0)),0%,VLOOKUP(A53,'Données projet'!$A$139:$I$159,6,0)*VLOOKUP('Données projet'!$B$13,Paramètres!$A$1:$I$89,7,0))</f>
        <v>0.13750000000000001</v>
      </c>
      <c r="DE53" s="16">
        <f>IF(ISNA(VLOOKUP(A53,'Données projet'!$A$139:$I$159,7,0)),0%,VLOOKUP(A53,'Données projet'!$A$139:$I$159,7,0))</f>
        <v>0.15</v>
      </c>
      <c r="DF53" s="21">
        <f>EXP(-LN(2)/35)*DF52+(1-EXP(-LN(2)/35))/(LN(2)/35)*DB53*DC53*VLOOKUP('Données projet'!$B$13,Paramètres!$A$1:$I$89,3,0)*0.475*44/12</f>
        <v>56.735574684543479</v>
      </c>
      <c r="DG53" s="21">
        <f>EXP(-LN(2)/25)*DG52+(1-EXP(-LN(2)/25))/(LN(2)/25)*Calculateur!DB53*Calculateur!DD53*VLOOKUP('Données projet'!$B$13,Paramètres!$A$1:$I$89,3,0)*0.475*44/12</f>
        <v>38.524982061199694</v>
      </c>
      <c r="DH53" s="21">
        <f>EXP(-LN(2)/2)*DH52+(1-EXP(-LN(2)/2))/(LN(2)/2)*DB53*DE53*VLOOKUP('Données projet'!$B$13,Paramètres!$A$1:$I$89,3,0)*0.475*44/12</f>
        <v>5.9696762914398427</v>
      </c>
      <c r="DI53" s="22">
        <f t="shared" si="15"/>
        <v>101.23023303718301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371.7282125501186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15.662362501933289</v>
      </c>
      <c r="AA54" s="21">
        <f>EXP(-LN(2)/25)*AA53+(1-EXP(-LN(2)/25))/(LN(2)/25)*Calculateur!V54*Calculateur!X54*VLOOKUP('Données projet'!$B$9,Paramètres!$A$1:$I$89,3,0)*0.475*44/12</f>
        <v>1.6471154764519702</v>
      </c>
      <c r="AB54" s="21">
        <f>EXP(-LN(2)/2)*AB53+(1-EXP(-LN(2)/2))/(LN(2)/2)*V54*Y54*VLOOKUP('Données projet'!$B$9,Paramètres!$A$1:$I$89,3,0)*0.475*44/12</f>
        <v>0.95101075889113007</v>
      </c>
      <c r="AC54" s="22">
        <f t="shared" si="3"/>
        <v>18.26048873727639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246</v>
      </c>
      <c r="AJ54" s="13">
        <f>AI54*VLOOKUP('Données projet'!$B$10,Paramètres!$A$1:$I$89,3,0)*VLOOKUP('Données projet'!$B$10,Paramètres!$A$1:$I$89,5,0)</f>
        <v>165.01680000000002</v>
      </c>
      <c r="AK54" s="13">
        <f t="shared" si="35"/>
        <v>41.972027424872174</v>
      </c>
      <c r="AL54" s="20">
        <f t="shared" si="4"/>
        <v>360.5055410983191</v>
      </c>
      <c r="AM54" s="59">
        <f t="shared" si="5"/>
        <v>653.83887443165236</v>
      </c>
      <c r="AN54" s="59">
        <f ca="1">AVERAGE(OFFSET($AM$3,0,0,'Données projet'!$E$10+1,1))-AVERAGE(OFFSET($H$3,0,0,'Données projet'!$E$10+1,1))</f>
        <v>269.67260882504996</v>
      </c>
      <c r="AO54" s="59">
        <f t="shared" si="36"/>
        <v>272.13858200810074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20.441384239251473</v>
      </c>
      <c r="AV54" s="21">
        <f>EXP(-LN(2)/25)*AV53+(1-EXP(-LN(2)/25))/(LN(2)/25)*Calculateur!AQ54*Calculateur!AS54*VLOOKUP('Données projet'!$B$10,Paramètres!$A$1:$I$89,3,0)*0.475*44/12</f>
        <v>1.9948762323617468</v>
      </c>
      <c r="AW54" s="21">
        <f>EXP(-LN(2)/2)*AW53+(1-EXP(-LN(2)/2))/(LN(2)/2)*AQ54*AT54*VLOOKUP('Données projet'!$B$10,Paramètres!$A$1:$I$89,3,0)*0.475*44/12</f>
        <v>0.7214597204784412</v>
      </c>
      <c r="AX54" s="21">
        <f t="shared" si="6"/>
        <v>23.157720192091663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17.285714285714285</v>
      </c>
      <c r="BD54" s="12">
        <f>IF('Données projet'!$A$88&gt;35,BD53+BC54-BL53,IF(A54&lt;'Données projet'!$A$88,$BA$205^A54,IF(A54='Données projet'!$A$88,'Données projet'!$B$88,BD53+BC54-BL53)))</f>
        <v>429.5714285714285</v>
      </c>
      <c r="BE54" s="13">
        <f>BD54*VLOOKUP('Données projet'!$B$11,Paramètres!$A$1:$I$89,3,0)*VLOOKUP('Données projet'!$B$11,Paramètres!$A$1:$I$89,5,0)</f>
        <v>240.13042857142855</v>
      </c>
      <c r="BF54" s="13">
        <f t="shared" si="37"/>
        <v>58.467591937323704</v>
      </c>
      <c r="BG54" s="20">
        <f t="shared" si="7"/>
        <v>520.05821905274354</v>
      </c>
      <c r="BH54" s="59">
        <f t="shared" si="8"/>
        <v>813.39155238607691</v>
      </c>
      <c r="BI54" s="59">
        <f ca="1">AVERAGE(OFFSET($BH$3,0,0,'Données projet'!$E$11+1,1))-AVERAGE(OFFSET($H$3,0,0,'Données projet'!$E$11+1,1))</f>
        <v>330.33728077846268</v>
      </c>
      <c r="BJ54" s="59">
        <f t="shared" si="38"/>
        <v>358.38872754175208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30.140650974791235</v>
      </c>
      <c r="BQ54" s="21">
        <f>EXP(-LN(2)/25)*BQ53+(1-EXP(-LN(2)/25))/(LN(2)/25)*Calculateur!BL54*Calculateur!BN54*VLOOKUP('Données projet'!$B$11,Paramètres!$A$1:$I$89,3,0)*0.475*44/12</f>
        <v>24.453407490819902</v>
      </c>
      <c r="BR54" s="21">
        <f>EXP(-LN(2)/2)*BR53+(1-EXP(-LN(2)/2))/(LN(2)/2)*BL54*BO54*VLOOKUP('Données projet'!$B$11,Paramètres!$A$1:$I$89,3,0)*0.475*44/12</f>
        <v>8.8476871751614166</v>
      </c>
      <c r="BS54" s="22">
        <f t="shared" si="9"/>
        <v>63.44174564077256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8.1999999999999993</v>
      </c>
      <c r="BY54" s="12">
        <f>IF('Données projet'!$A$114&gt;35,BY53+BX54-CG53,IF(A54&lt;'Données projet'!$A$114,$BV$205^A54,IF(A54='Données projet'!$A$114,'Données projet'!$B$114,BY53+BX54-CG53)))</f>
        <v>241.19999999999987</v>
      </c>
      <c r="BZ54" s="13">
        <f>BY54*VLOOKUP('Données projet'!$B$12,Paramètres!$A$1:$I$89,3,0)*VLOOKUP('Données projet'!$B$12,Paramètres!$A$1:$I$89,5,0)</f>
        <v>229.52591999999987</v>
      </c>
      <c r="CA54" s="13">
        <f t="shared" si="39"/>
        <v>56.180162044652285</v>
      </c>
      <c r="CB54" s="20">
        <f t="shared" si="10"/>
        <v>497.60475956110253</v>
      </c>
      <c r="CC54" s="59">
        <f t="shared" si="11"/>
        <v>790.93809289443584</v>
      </c>
      <c r="CD54" s="59">
        <f ca="1">AVERAGE(OFFSET($CC$3,0,0,'Données projet'!$E$12+1,1))-AVERAGE(OFFSET($H$3,0,0,'Données projet'!$E$12+1,1))</f>
        <v>367.39143258674738</v>
      </c>
      <c r="CE54" s="59">
        <f t="shared" si="40"/>
        <v>376.02790658970292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24.65120367925493</v>
      </c>
      <c r="CL54" s="21">
        <f>EXP(-LN(2)/25)*CL53+(1-EXP(-LN(2)/25))/(LN(2)/25)*Calculateur!CG54*Calculateur!CI54*VLOOKUP('Données projet'!$B$12,Paramètres!$A$1:$I$89,3,0)*0.475*44/12</f>
        <v>2.3573254687163185</v>
      </c>
      <c r="CM54" s="21">
        <f>EXP(-LN(2)/2)*CM53+(1-EXP(-LN(2)/2))/(LN(2)/2)*CG54*CJ54*VLOOKUP('Données projet'!$B$12,Paramètres!$A$1:$I$89,3,0)*0.475*44/12</f>
        <v>1.1142972370658042</v>
      </c>
      <c r="CN54" s="22">
        <f t="shared" si="12"/>
        <v>28.122826385037055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24.2</v>
      </c>
      <c r="CT54" s="12">
        <f>IF('Données projet'!$A$140&gt;35,CT53+CS54-DB53,IF(A54&lt;'Données projet'!$A$140,$CQ$205^A54,IF(A54='Données projet'!$A$140,'Données projet'!$B$140,CT53+CS54-DB53)))</f>
        <v>684.19999999999993</v>
      </c>
      <c r="CU54" s="17">
        <f>CT54*VLOOKUP('Données projet'!$B$13,Paramètres!$A$1:$I$89,3,0)*VLOOKUP('Données projet'!$B$13,Paramètres!$A$1:$I$89,5,0)</f>
        <v>302.41640000000001</v>
      </c>
      <c r="CV54" s="13">
        <f t="shared" si="41"/>
        <v>71.682796968600584</v>
      </c>
      <c r="CW54" s="20">
        <f t="shared" si="13"/>
        <v>651.55610138697932</v>
      </c>
      <c r="CX54" s="59">
        <f t="shared" si="14"/>
        <v>944.88943472031269</v>
      </c>
      <c r="CY54" s="59">
        <f ca="1">AVERAGE(OFFSET($CX$3,0,0,'Données projet'!$E$13+1,1))-AVERAGE(OFFSET($H$3,0,0,'Données projet'!$E$13+1,1))</f>
        <v>500.13646131618248</v>
      </c>
      <c r="CZ54" s="59">
        <f t="shared" si="42"/>
        <v>417.58036817539306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55.623024670263149</v>
      </c>
      <c r="DG54" s="21">
        <f>EXP(-LN(2)/25)*DG53+(1-EXP(-LN(2)/25))/(LN(2)/25)*Calculateur!DB54*Calculateur!DD54*VLOOKUP('Données projet'!$B$13,Paramètres!$A$1:$I$89,3,0)*0.475*44/12</f>
        <v>37.471514400795435</v>
      </c>
      <c r="DH54" s="21">
        <f>EXP(-LN(2)/2)*DH53+(1-EXP(-LN(2)/2))/(LN(2)/2)*DB54*DE54*VLOOKUP('Données projet'!$B$13,Paramètres!$A$1:$I$89,3,0)*0.475*44/12</f>
        <v>4.2211985871656736</v>
      </c>
      <c r="DI54" s="22">
        <f t="shared" si="15"/>
        <v>97.315737658224265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371.7282125501186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15.355233126368214</v>
      </c>
      <c r="AA55" s="21">
        <f>EXP(-LN(2)/25)*AA54+(1-EXP(-LN(2)/25))/(LN(2)/25)*Calculateur!V55*Calculateur!X55*VLOOKUP('Données projet'!$B$9,Paramètres!$A$1:$I$89,3,0)*0.475*44/12</f>
        <v>1.6020750171303526</v>
      </c>
      <c r="AB55" s="21">
        <f>EXP(-LN(2)/2)*AB54+(1-EXP(-LN(2)/2))/(LN(2)/2)*V55*Y55*VLOOKUP('Données projet'!$B$9,Paramètres!$A$1:$I$89,3,0)*0.475*44/12</f>
        <v>0.6724661565932829</v>
      </c>
      <c r="AC55" s="22">
        <f t="shared" si="3"/>
        <v>17.629774300091849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254</v>
      </c>
      <c r="AJ55" s="13">
        <f>AI55*VLOOKUP('Données projet'!$B$10,Paramètres!$A$1:$I$89,3,0)*VLOOKUP('Données projet'!$B$10,Paramètres!$A$1:$I$89,5,0)</f>
        <v>170.38320000000002</v>
      </c>
      <c r="AK55" s="13">
        <f t="shared" si="35"/>
        <v>43.175836388122349</v>
      </c>
      <c r="AL55" s="20">
        <f t="shared" si="4"/>
        <v>371.94865504264641</v>
      </c>
      <c r="AM55" s="59">
        <f t="shared" si="5"/>
        <v>665.28198837597972</v>
      </c>
      <c r="AN55" s="59">
        <f ca="1">AVERAGE(OFFSET($AM$3,0,0,'Données projet'!$E$10+1,1))-AVERAGE(OFFSET($H$3,0,0,'Données projet'!$E$10+1,1))</f>
        <v>269.67260882504996</v>
      </c>
      <c r="AO55" s="59">
        <f t="shared" si="36"/>
        <v>272.13858200810074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20.040541162333025</v>
      </c>
      <c r="AV55" s="21">
        <f>EXP(-LN(2)/25)*AV54+(1-EXP(-LN(2)/25))/(LN(2)/25)*Calculateur!AQ55*Calculateur!AS55*VLOOKUP('Données projet'!$B$10,Paramètres!$A$1:$I$89,3,0)*0.475*44/12</f>
        <v>1.9403262368818333</v>
      </c>
      <c r="AW55" s="21">
        <f>EXP(-LN(2)/2)*AW54+(1-EXP(-LN(2)/2))/(LN(2)/2)*AQ55*AT55*VLOOKUP('Données projet'!$B$10,Paramètres!$A$1:$I$89,3,0)*0.475*44/12</f>
        <v>0.51014906070325694</v>
      </c>
      <c r="AX55" s="21">
        <f t="shared" si="6"/>
        <v>22.491016459918114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17.285714285714285</v>
      </c>
      <c r="BD55" s="12">
        <f>IF('Données projet'!$A$88&gt;35,BD54+BC55-BL54,IF(A55&lt;'Données projet'!$A$88,$BA$205^A55,IF(A55='Données projet'!$A$88,'Données projet'!$B$88,BD54+BC55-BL54)))</f>
        <v>446.85714285714278</v>
      </c>
      <c r="BE55" s="13">
        <f>BD55*VLOOKUP('Données projet'!$B$11,Paramètres!$A$1:$I$89,3,0)*VLOOKUP('Données projet'!$B$11,Paramètres!$A$1:$I$89,5,0)</f>
        <v>249.79314285714281</v>
      </c>
      <c r="BF55" s="13">
        <f t="shared" si="37"/>
        <v>60.54164337477777</v>
      </c>
      <c r="BG55" s="20">
        <f t="shared" si="7"/>
        <v>540.49975268726166</v>
      </c>
      <c r="BH55" s="59">
        <f t="shared" si="8"/>
        <v>833.83308602059492</v>
      </c>
      <c r="BI55" s="59">
        <f ca="1">AVERAGE(OFFSET($BH$3,0,0,'Données projet'!$E$11+1,1))-AVERAGE(OFFSET($H$3,0,0,'Données projet'!$E$11+1,1))</f>
        <v>330.33728077846268</v>
      </c>
      <c r="BJ55" s="59">
        <f t="shared" si="38"/>
        <v>358.38872754175208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29.549611193157407</v>
      </c>
      <c r="BQ55" s="21">
        <f>EXP(-LN(2)/25)*BQ54+(1-EXP(-LN(2)/25))/(LN(2)/25)*Calculateur!BL55*Calculateur!BN55*VLOOKUP('Données projet'!$B$11,Paramètres!$A$1:$I$89,3,0)*0.475*44/12</f>
        <v>23.784727777034622</v>
      </c>
      <c r="BR55" s="21">
        <f>EXP(-LN(2)/2)*BR54+(1-EXP(-LN(2)/2))/(LN(2)/2)*BL55*BO55*VLOOKUP('Données projet'!$B$11,Paramètres!$A$1:$I$89,3,0)*0.475*44/12</f>
        <v>6.2562595993738874</v>
      </c>
      <c r="BS55" s="22">
        <f t="shared" si="9"/>
        <v>59.590598569565913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8.1999999999999993</v>
      </c>
      <c r="BY55" s="12">
        <f>IF('Données projet'!$A$114&gt;35,BY54+BX55-CG54,IF(A55&lt;'Données projet'!$A$114,$BV$205^A55,IF(A55='Données projet'!$A$114,'Données projet'!$B$114,BY54+BX55-CG54)))</f>
        <v>249.39999999999986</v>
      </c>
      <c r="BZ55" s="13">
        <f>BY55*VLOOKUP('Données projet'!$B$12,Paramètres!$A$1:$I$89,3,0)*VLOOKUP('Données projet'!$B$12,Paramètres!$A$1:$I$89,5,0)</f>
        <v>237.32903999999985</v>
      </c>
      <c r="CA55" s="13">
        <f t="shared" si="39"/>
        <v>57.864486657971952</v>
      </c>
      <c r="CB55" s="20">
        <f t="shared" si="10"/>
        <v>514.12872559596747</v>
      </c>
      <c r="CC55" s="59">
        <f t="shared" si="11"/>
        <v>807.46205892930084</v>
      </c>
      <c r="CD55" s="59">
        <f ca="1">AVERAGE(OFFSET($CC$3,0,0,'Données projet'!$E$12+1,1))-AVERAGE(OFFSET($H$3,0,0,'Données projet'!$E$12+1,1))</f>
        <v>367.39143258674738</v>
      </c>
      <c r="CE55" s="59">
        <f t="shared" si="40"/>
        <v>376.02790658970292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24.16780861085433</v>
      </c>
      <c r="CL55" s="21">
        <f>EXP(-LN(2)/25)*CL54+(1-EXP(-LN(2)/25))/(LN(2)/25)*Calculateur!CG55*Calculateur!CI55*VLOOKUP('Données projet'!$B$12,Paramètres!$A$1:$I$89,3,0)*0.475*44/12</f>
        <v>2.2928642798079122</v>
      </c>
      <c r="CM55" s="21">
        <f>EXP(-LN(2)/2)*CM54+(1-EXP(-LN(2)/2))/(LN(2)/2)*CG55*CJ55*VLOOKUP('Données projet'!$B$12,Paramètres!$A$1:$I$89,3,0)*0.475*44/12</f>
        <v>0.78792713258666414</v>
      </c>
      <c r="CN55" s="22">
        <f t="shared" si="12"/>
        <v>27.248600023248905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24.2</v>
      </c>
      <c r="CT55" s="12">
        <f>IF('Données projet'!$A$140&gt;35,CT54+CS55-DB54,IF(A55&lt;'Données projet'!$A$140,$CQ$205^A55,IF(A55='Données projet'!$A$140,'Données projet'!$B$140,CT54+CS55-DB54)))</f>
        <v>708.4</v>
      </c>
      <c r="CU55" s="17">
        <f>CT55*VLOOKUP('Données projet'!$B$13,Paramètres!$A$1:$I$89,3,0)*VLOOKUP('Données projet'!$B$13,Paramètres!$A$1:$I$89,5,0)</f>
        <v>313.11280000000005</v>
      </c>
      <c r="CV55" s="13">
        <f t="shared" si="41"/>
        <v>73.918528209995586</v>
      </c>
      <c r="CW55" s="20">
        <f t="shared" si="13"/>
        <v>674.07956329907574</v>
      </c>
      <c r="CX55" s="59">
        <f t="shared" si="14"/>
        <v>967.412896632409</v>
      </c>
      <c r="CY55" s="59">
        <f ca="1">AVERAGE(OFFSET($CX$3,0,0,'Données projet'!$E$13+1,1))-AVERAGE(OFFSET($H$3,0,0,'Données projet'!$E$13+1,1))</f>
        <v>500.13646131618248</v>
      </c>
      <c r="CZ55" s="59">
        <f t="shared" si="42"/>
        <v>417.58036817539306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54.532291083174357</v>
      </c>
      <c r="DG55" s="21">
        <f>EXP(-LN(2)/25)*DG54+(1-EXP(-LN(2)/25))/(LN(2)/25)*Calculateur!DB55*Calculateur!DD55*VLOOKUP('Données projet'!$B$13,Paramètres!$A$1:$I$89,3,0)*0.475*44/12</f>
        <v>36.446853868964382</v>
      </c>
      <c r="DH55" s="21">
        <f>EXP(-LN(2)/2)*DH54+(1-EXP(-LN(2)/2))/(LN(2)/2)*DB55*DE55*VLOOKUP('Données projet'!$B$13,Paramètres!$A$1:$I$89,3,0)*0.475*44/12</f>
        <v>2.9848381457199218</v>
      </c>
      <c r="DI55" s="22">
        <f t="shared" si="15"/>
        <v>93.963983097858659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371.7282125501186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15.054126370527548</v>
      </c>
      <c r="AA56" s="21">
        <f>EXP(-LN(2)/25)*AA55+(1-EXP(-LN(2)/25))/(LN(2)/25)*Calculateur!V56*Calculateur!X56*VLOOKUP('Données projet'!$B$9,Paramètres!$A$1:$I$89,3,0)*0.475*44/12</f>
        <v>1.5582661915374596</v>
      </c>
      <c r="AB56" s="21">
        <f>EXP(-LN(2)/2)*AB55+(1-EXP(-LN(2)/2))/(LN(2)/2)*V56*Y56*VLOOKUP('Données projet'!$B$9,Paramètres!$A$1:$I$89,3,0)*0.475*44/12</f>
        <v>0.47550537944556515</v>
      </c>
      <c r="AC56" s="22">
        <f t="shared" si="3"/>
        <v>17.087897941510573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262</v>
      </c>
      <c r="AJ56" s="13">
        <f>AI56*VLOOKUP('Données projet'!$B$10,Paramètres!$A$1:$I$89,3,0)*VLOOKUP('Données projet'!$B$10,Paramètres!$A$1:$I$89,5,0)</f>
        <v>175.74959999999999</v>
      </c>
      <c r="AK56" s="13">
        <f t="shared" si="35"/>
        <v>44.375239327538246</v>
      </c>
      <c r="AL56" s="20">
        <f t="shared" si="4"/>
        <v>383.38409516212909</v>
      </c>
      <c r="AM56" s="59">
        <f t="shared" si="5"/>
        <v>676.7174284954624</v>
      </c>
      <c r="AN56" s="59">
        <f ca="1">AVERAGE(OFFSET($AM$3,0,0,'Données projet'!$E$10+1,1))-AVERAGE(OFFSET($H$3,0,0,'Données projet'!$E$10+1,1))</f>
        <v>269.67260882504996</v>
      </c>
      <c r="AO56" s="59">
        <f t="shared" si="36"/>
        <v>272.13858200810074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19.647558373662811</v>
      </c>
      <c r="AV56" s="21">
        <f>EXP(-LN(2)/25)*AV55+(1-EXP(-LN(2)/25))/(LN(2)/25)*Calculateur!AQ56*Calculateur!AS56*VLOOKUP('Données projet'!$B$10,Paramètres!$A$1:$I$89,3,0)*0.475*44/12</f>
        <v>1.8872679138969775</v>
      </c>
      <c r="AW56" s="21">
        <f>EXP(-LN(2)/2)*AW55+(1-EXP(-LN(2)/2))/(LN(2)/2)*AQ56*AT56*VLOOKUP('Données projet'!$B$10,Paramètres!$A$1:$I$89,3,0)*0.475*44/12</f>
        <v>0.36072986023922066</v>
      </c>
      <c r="AX56" s="21">
        <f t="shared" si="6"/>
        <v>21.895556147799009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17.285714285714285</v>
      </c>
      <c r="BD56" s="12">
        <f>IF('Données projet'!$A$88&gt;35,BD55+BC56-BL55,IF(A56&lt;'Données projet'!$A$88,$BA$205^A56,IF(A56='Données projet'!$A$88,'Données projet'!$B$88,BD55+BC56-BL55)))</f>
        <v>464.14285714285705</v>
      </c>
      <c r="BE56" s="13">
        <f>BD56*VLOOKUP('Données projet'!$B$11,Paramètres!$A$1:$I$89,3,0)*VLOOKUP('Données projet'!$B$11,Paramètres!$A$1:$I$89,5,0)</f>
        <v>259.4558571428571</v>
      </c>
      <c r="BF56" s="13">
        <f t="shared" si="37"/>
        <v>62.606374549325295</v>
      </c>
      <c r="BG56" s="20">
        <f t="shared" si="7"/>
        <v>560.92505353055105</v>
      </c>
      <c r="BH56" s="59">
        <f t="shared" si="8"/>
        <v>854.25838686388443</v>
      </c>
      <c r="BI56" s="59">
        <f ca="1">AVERAGE(OFFSET($BH$3,0,0,'Données projet'!$E$11+1,1))-AVERAGE(OFFSET($H$3,0,0,'Données projet'!$E$11+1,1))</f>
        <v>330.33728077846268</v>
      </c>
      <c r="BJ56" s="59">
        <f t="shared" si="38"/>
        <v>358.38872754175208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28.970161341142745</v>
      </c>
      <c r="BQ56" s="21">
        <f>EXP(-LN(2)/25)*BQ55+(1-EXP(-LN(2)/25))/(LN(2)/25)*Calculateur!BL56*Calculateur!BN56*VLOOKUP('Données projet'!$B$11,Paramètres!$A$1:$I$89,3,0)*0.475*44/12</f>
        <v>23.134333145187139</v>
      </c>
      <c r="BR56" s="21">
        <f>EXP(-LN(2)/2)*BR55+(1-EXP(-LN(2)/2))/(LN(2)/2)*BL56*BO56*VLOOKUP('Données projet'!$B$11,Paramètres!$A$1:$I$89,3,0)*0.475*44/12</f>
        <v>4.4238435875807092</v>
      </c>
      <c r="BS56" s="22">
        <f t="shared" si="9"/>
        <v>56.528338073910589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8.1999999999999993</v>
      </c>
      <c r="BY56" s="12">
        <f>IF('Données projet'!$A$114&gt;35,BY55+BX56-CG55,IF(A56&lt;'Données projet'!$A$114,$BV$205^A56,IF(A56='Données projet'!$A$114,'Données projet'!$B$114,BY55+BX56-CG55)))</f>
        <v>257.59999999999985</v>
      </c>
      <c r="BZ56" s="13">
        <f>BY56*VLOOKUP('Données projet'!$B$12,Paramètres!$A$1:$I$89,3,0)*VLOOKUP('Données projet'!$B$12,Paramètres!$A$1:$I$89,5,0)</f>
        <v>245.13215999999986</v>
      </c>
      <c r="CA56" s="13">
        <f t="shared" si="39"/>
        <v>59.542376278413307</v>
      </c>
      <c r="CB56" s="20">
        <f t="shared" si="10"/>
        <v>530.64148401823616</v>
      </c>
      <c r="CC56" s="59">
        <f t="shared" si="11"/>
        <v>823.97481735156953</v>
      </c>
      <c r="CD56" s="59">
        <f ca="1">AVERAGE(OFFSET($CC$3,0,0,'Données projet'!$E$12+1,1))-AVERAGE(OFFSET($H$3,0,0,'Données projet'!$E$12+1,1))</f>
        <v>367.39143258674738</v>
      </c>
      <c r="CE56" s="59">
        <f t="shared" si="40"/>
        <v>376.02790658970292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23.693892624903185</v>
      </c>
      <c r="CL56" s="21">
        <f>EXP(-LN(2)/25)*CL55+(1-EXP(-LN(2)/25))/(LN(2)/25)*Calculateur!CG56*Calculateur!CI56*VLOOKUP('Données projet'!$B$12,Paramètres!$A$1:$I$89,3,0)*0.475*44/12</f>
        <v>2.2301657855000729</v>
      </c>
      <c r="CM56" s="21">
        <f>EXP(-LN(2)/2)*CM55+(1-EXP(-LN(2)/2))/(LN(2)/2)*CG56*CJ56*VLOOKUP('Données projet'!$B$12,Paramètres!$A$1:$I$89,3,0)*0.475*44/12</f>
        <v>0.55714861853290221</v>
      </c>
      <c r="CN56" s="22">
        <f t="shared" si="12"/>
        <v>26.481207028936161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24.2</v>
      </c>
      <c r="CT56" s="12">
        <f>IF('Données projet'!$A$140&gt;35,CT55+CS56-DB55,IF(A56&lt;'Données projet'!$A$140,$CQ$205^A56,IF(A56='Données projet'!$A$140,'Données projet'!$B$140,CT55+CS56-DB55)))</f>
        <v>732.6</v>
      </c>
      <c r="CU56" s="17">
        <f>CT56*VLOOKUP('Données projet'!$B$13,Paramètres!$A$1:$I$89,3,0)*VLOOKUP('Données projet'!$B$13,Paramètres!$A$1:$I$89,5,0)</f>
        <v>323.80920000000003</v>
      </c>
      <c r="CV56" s="13">
        <f t="shared" si="41"/>
        <v>76.145385123817718</v>
      </c>
      <c r="CW56" s="20">
        <f t="shared" si="13"/>
        <v>696.58756909064925</v>
      </c>
      <c r="CX56" s="59">
        <f t="shared" si="14"/>
        <v>989.92090242398262</v>
      </c>
      <c r="CY56" s="59">
        <f ca="1">AVERAGE(OFFSET($CX$3,0,0,'Données projet'!$E$13+1,1))-AVERAGE(OFFSET($H$3,0,0,'Données projet'!$E$13+1,1))</f>
        <v>500.13646131618248</v>
      </c>
      <c r="CZ56" s="59">
        <f t="shared" si="42"/>
        <v>417.58036817539306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53.462946116446574</v>
      </c>
      <c r="DG56" s="21">
        <f>EXP(-LN(2)/25)*DG55+(1-EXP(-LN(2)/25))/(LN(2)/25)*Calculateur!DB56*Calculateur!DD56*VLOOKUP('Données projet'!$B$13,Paramètres!$A$1:$I$89,3,0)*0.475*44/12</f>
        <v>35.450212733260805</v>
      </c>
      <c r="DH56" s="21">
        <f>EXP(-LN(2)/2)*DH55+(1-EXP(-LN(2)/2))/(LN(2)/2)*DB56*DE56*VLOOKUP('Données projet'!$B$13,Paramètres!$A$1:$I$89,3,0)*0.475*44/12</f>
        <v>2.1105992935828373</v>
      </c>
      <c r="DI56" s="22">
        <f t="shared" si="15"/>
        <v>91.023758143290209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371.7282125501186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14.758924134511931</v>
      </c>
      <c r="AA57" s="21">
        <f>EXP(-LN(2)/25)*AA56+(1-EXP(-LN(2)/25))/(LN(2)/25)*Calculateur!V57*Calculateur!X57*VLOOKUP('Données projet'!$B$9,Paramètres!$A$1:$I$89,3,0)*0.475*44/12</f>
        <v>1.5156553205842103</v>
      </c>
      <c r="AB57" s="21">
        <f>EXP(-LN(2)/2)*AB56+(1-EXP(-LN(2)/2))/(LN(2)/2)*V57*Y57*VLOOKUP('Données projet'!$B$9,Paramètres!$A$1:$I$89,3,0)*0.475*44/12</f>
        <v>0.33623307829664151</v>
      </c>
      <c r="AC57" s="22">
        <f t="shared" si="3"/>
        <v>16.610812533392782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270</v>
      </c>
      <c r="AJ57" s="13">
        <f>AI57*VLOOKUP('Données projet'!$B$10,Paramètres!$A$1:$I$89,3,0)*VLOOKUP('Données projet'!$B$10,Paramètres!$A$1:$I$89,5,0)</f>
        <v>181.11599999999999</v>
      </c>
      <c r="AK57" s="13">
        <f t="shared" si="35"/>
        <v>45.570386218758216</v>
      </c>
      <c r="AL57" s="20">
        <f t="shared" si="4"/>
        <v>394.81212266433721</v>
      </c>
      <c r="AM57" s="59">
        <f t="shared" si="5"/>
        <v>688.14545599767052</v>
      </c>
      <c r="AN57" s="59">
        <f ca="1">AVERAGE(OFFSET($AM$3,0,0,'Données projet'!$E$10+1,1))-AVERAGE(OFFSET($H$3,0,0,'Données projet'!$E$10+1,1))</f>
        <v>269.67260882504996</v>
      </c>
      <c r="AO57" s="59">
        <f t="shared" si="36"/>
        <v>272.13858200810074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19.262281737782587</v>
      </c>
      <c r="AV57" s="21">
        <f>EXP(-LN(2)/25)*AV56+(1-EXP(-LN(2)/25))/(LN(2)/25)*Calculateur!AQ57*Calculateur!AS57*VLOOKUP('Données projet'!$B$10,Paramètres!$A$1:$I$89,3,0)*0.475*44/12</f>
        <v>1.8356604735443585</v>
      </c>
      <c r="AW57" s="21">
        <f>EXP(-LN(2)/2)*AW56+(1-EXP(-LN(2)/2))/(LN(2)/2)*AQ57*AT57*VLOOKUP('Données projet'!$B$10,Paramètres!$A$1:$I$89,3,0)*0.475*44/12</f>
        <v>0.25507453035162847</v>
      </c>
      <c r="AX57" s="21">
        <f t="shared" si="6"/>
        <v>21.353016741678573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17.285714285714285</v>
      </c>
      <c r="BD57" s="12">
        <f>IF('Données projet'!$A$88&gt;35,BD56+BC57-BL56,IF(A57&lt;'Données projet'!$A$88,$BA$205^A57,IF(A57='Données projet'!$A$88,'Données projet'!$B$88,BD56+BC57-BL56)))</f>
        <v>481.42857142857133</v>
      </c>
      <c r="BE57" s="13">
        <f>BD57*VLOOKUP('Données projet'!$B$11,Paramètres!$A$1:$I$89,3,0)*VLOOKUP('Données projet'!$B$11,Paramètres!$A$1:$I$89,5,0)</f>
        <v>269.11857142857139</v>
      </c>
      <c r="BF57" s="13">
        <f t="shared" si="37"/>
        <v>64.662172314895471</v>
      </c>
      <c r="BG57" s="20">
        <f t="shared" si="7"/>
        <v>581.33479535320475</v>
      </c>
      <c r="BH57" s="59">
        <f t="shared" si="8"/>
        <v>874.66812868653801</v>
      </c>
      <c r="BI57" s="59">
        <f ca="1">AVERAGE(OFFSET($BH$3,0,0,'Données projet'!$E$11+1,1))-AVERAGE(OFFSET($H$3,0,0,'Données projet'!$E$11+1,1))</f>
        <v>330.33728077846268</v>
      </c>
      <c r="BJ57" s="59">
        <f t="shared" si="38"/>
        <v>358.38872754175208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28.402074147296581</v>
      </c>
      <c r="BQ57" s="21">
        <f>EXP(-LN(2)/25)*BQ56+(1-EXP(-LN(2)/25))/(LN(2)/25)*Calculateur!BL57*Calculateur!BN57*VLOOKUP('Données projet'!$B$11,Paramètres!$A$1:$I$89,3,0)*0.475*44/12</f>
        <v>22.501723588750291</v>
      </c>
      <c r="BR57" s="21">
        <f>EXP(-LN(2)/2)*BR56+(1-EXP(-LN(2)/2))/(LN(2)/2)*BL57*BO57*VLOOKUP('Données projet'!$B$11,Paramètres!$A$1:$I$89,3,0)*0.475*44/12</f>
        <v>3.1281297996869442</v>
      </c>
      <c r="BS57" s="22">
        <f t="shared" si="9"/>
        <v>54.031927535733814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8.1999999999999993</v>
      </c>
      <c r="BY57" s="12">
        <f>IF('Données projet'!$A$114&gt;35,BY56+BX57-CG56,IF(A57&lt;'Données projet'!$A$114,$BV$205^A57,IF(A57='Données projet'!$A$114,'Données projet'!$B$114,BY56+BX57-CG56)))</f>
        <v>265.79999999999984</v>
      </c>
      <c r="BZ57" s="13">
        <f>BY57*VLOOKUP('Données projet'!$B$12,Paramètres!$A$1:$I$89,3,0)*VLOOKUP('Données projet'!$B$12,Paramètres!$A$1:$I$89,5,0)</f>
        <v>252.93527999999984</v>
      </c>
      <c r="CA57" s="13">
        <f t="shared" si="39"/>
        <v>61.214059245158197</v>
      </c>
      <c r="CB57" s="20">
        <f t="shared" si="10"/>
        <v>547.14343251865023</v>
      </c>
      <c r="CC57" s="59">
        <f t="shared" si="11"/>
        <v>840.4767658519836</v>
      </c>
      <c r="CD57" s="59">
        <f ca="1">AVERAGE(OFFSET($CC$3,0,0,'Données projet'!$E$12+1,1))-AVERAGE(OFFSET($H$3,0,0,'Données projet'!$E$12+1,1))</f>
        <v>367.39143258674738</v>
      </c>
      <c r="CE57" s="59">
        <f t="shared" si="40"/>
        <v>376.02790658970292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23.229269842376333</v>
      </c>
      <c r="CL57" s="21">
        <f>EXP(-LN(2)/25)*CL56+(1-EXP(-LN(2)/25))/(LN(2)/25)*Calculateur!CG57*Calculateur!CI57*VLOOKUP('Données projet'!$B$12,Paramètres!$A$1:$I$89,3,0)*0.475*44/12</f>
        <v>2.169181784816252</v>
      </c>
      <c r="CM57" s="21">
        <f>EXP(-LN(2)/2)*CM56+(1-EXP(-LN(2)/2))/(LN(2)/2)*CG57*CJ57*VLOOKUP('Données projet'!$B$12,Paramètres!$A$1:$I$89,3,0)*0.475*44/12</f>
        <v>0.39396356629333212</v>
      </c>
      <c r="CN57" s="22">
        <f t="shared" si="12"/>
        <v>25.792415193485919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24.2</v>
      </c>
      <c r="CT57" s="12">
        <f>IF('Données projet'!$A$140&gt;35,CT56+CS57-DB56,IF(A57&lt;'Données projet'!$A$140,$CQ$205^A57,IF(A57='Données projet'!$A$140,'Données projet'!$B$140,CT56+CS57-DB56)))</f>
        <v>756.80000000000007</v>
      </c>
      <c r="CU57" s="17">
        <f>CT57*VLOOKUP('Données projet'!$B$13,Paramètres!$A$1:$I$89,3,0)*VLOOKUP('Données projet'!$B$13,Paramètres!$A$1:$I$89,5,0)</f>
        <v>334.50560000000013</v>
      </c>
      <c r="CV57" s="13">
        <f t="shared" si="41"/>
        <v>78.363694470523086</v>
      </c>
      <c r="CW57" s="20">
        <f t="shared" si="13"/>
        <v>719.08068786949445</v>
      </c>
      <c r="CX57" s="59">
        <f t="shared" si="14"/>
        <v>1012.4140212028278</v>
      </c>
      <c r="CY57" s="59">
        <f ca="1">AVERAGE(OFFSET($CX$3,0,0,'Données projet'!$E$13+1,1))-AVERAGE(OFFSET($H$3,0,0,'Données projet'!$E$13+1,1))</f>
        <v>500.13646131618248</v>
      </c>
      <c r="CZ57" s="59">
        <f t="shared" si="42"/>
        <v>417.58036817539306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52.4145703522803</v>
      </c>
      <c r="DG57" s="21">
        <f>EXP(-LN(2)/25)*DG56+(1-EXP(-LN(2)/25))/(LN(2)/25)*Calculateur!DB57*Calculateur!DD57*VLOOKUP('Données projet'!$B$13,Paramètres!$A$1:$I$89,3,0)*0.475*44/12</f>
        <v>34.48082480182412</v>
      </c>
      <c r="DH57" s="21">
        <f>EXP(-LN(2)/2)*DH56+(1-EXP(-LN(2)/2))/(LN(2)/2)*DB57*DE57*VLOOKUP('Données projet'!$B$13,Paramètres!$A$1:$I$89,3,0)*0.475*44/12</f>
        <v>1.4924190728599611</v>
      </c>
      <c r="DI57" s="22">
        <f t="shared" si="15"/>
        <v>88.38781422696438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371.7282125501186</v>
      </c>
      <c r="T58" s="59">
        <f t="shared" si="34"/>
        <v>231.36959598460686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0.34400000000000003</v>
      </c>
      <c r="X58" s="16">
        <f>IF(ISNA(VLOOKUP(A58,'Données projet'!$A$35:$I$55,6,0)),0%,VLOOKUP(A58,'Données projet'!$A$35:$I$55,6,0)*VLOOKUP('Données projet'!$B$9,Paramètres!$A$1:$I$89,7,0))</f>
        <v>1.72E-2</v>
      </c>
      <c r="Y58" s="16">
        <f>IF(ISNA(VLOOKUP(A58,'Données projet'!$A$35:$I$55,7,0)),0%,VLOOKUP(A58,'Données projet'!$A$35:$I$55,7,0))</f>
        <v>0.06</v>
      </c>
      <c r="Z58" s="21">
        <f>EXP(-LN(2)/35)*Z57+(1-EXP(-LN(2)/35))/(LN(2)/35)*V58*W58*VLOOKUP('Données projet'!$B$9,Paramètres!$A$1:$I$89,3,0)*0.475*44/12</f>
        <v>21.695169260364803</v>
      </c>
      <c r="AA58" s="21">
        <f>EXP(-LN(2)/25)*AA57+(1-EXP(-LN(2)/25))/(LN(2)/25)*Calculateur!V58*Calculateur!X58*VLOOKUP('Données projet'!$B$9,Paramètres!$A$1:$I$89,3,0)*0.475*44/12</f>
        <v>1.8340700688816443</v>
      </c>
      <c r="AB58" s="21">
        <f>EXP(-LN(2)/2)*AB57+(1-EXP(-LN(2)/2))/(LN(2)/2)*V58*Y58*VLOOKUP('Données projet'!$B$9,Paramètres!$A$1:$I$89,3,0)*0.475*44/12</f>
        <v>1.313418661664826</v>
      </c>
      <c r="AC58" s="22">
        <f t="shared" si="3"/>
        <v>24.842657990911274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278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278</v>
      </c>
      <c r="AJ58" s="13">
        <f>AI58*VLOOKUP('Données projet'!$B$10,Paramètres!$A$1:$I$89,3,0)*VLOOKUP('Données projet'!$B$10,Paramètres!$A$1:$I$89,5,0)</f>
        <v>186.48239999999998</v>
      </c>
      <c r="AK58" s="13">
        <f t="shared" si="35"/>
        <v>46.761417644762176</v>
      </c>
      <c r="AL58" s="20">
        <f t="shared" si="4"/>
        <v>406.23298239796071</v>
      </c>
      <c r="AM58" s="59">
        <f t="shared" si="5"/>
        <v>699.56631573129403</v>
      </c>
      <c r="AN58" s="59">
        <f ca="1">AVERAGE(OFFSET($AM$3,0,0,'Données projet'!$E$10+1,1))-AVERAGE(OFFSET($H$3,0,0,'Données projet'!$E$10+1,1))</f>
        <v>269.67260882504996</v>
      </c>
      <c r="AO58" s="59">
        <f t="shared" si="36"/>
        <v>272.13858200810074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0.42400000000000004</v>
      </c>
      <c r="AS58" s="16">
        <f>IF(ISNA(VLOOKUP(A58,'Données projet'!$A$61:$I$81,6,0)),0%,VLOOKUP(A58,'Données projet'!$A$61:$I$81,6,0)*VLOOKUP('Données projet'!$B$10,Paramètres!$A$1:$I$89,7,0))</f>
        <v>2.12E-2</v>
      </c>
      <c r="AT58" s="16">
        <f>IF(ISNA(VLOOKUP(A58,'Données projet'!$A$61:$I$81,7,0)),0%,VLOOKUP(A58,'Données projet'!$A$61:$I$81,7,0))</f>
        <v>0.06</v>
      </c>
      <c r="AU58" s="21">
        <f>EXP(-LN(2)/35)*AU57+(1-EXP(-LN(2)/35))/(LN(2)/35)*AQ58*AR58*VLOOKUP('Données projet'!$B$10,Paramètres!$A$1:$I$89,3,0)*0.475*44/12</f>
        <v>25.487317162116049</v>
      </c>
      <c r="AV58" s="21">
        <f>EXP(-LN(2)/25)*AV57+(1-EXP(-LN(2)/25))/(LN(2)/25)*Calculateur!AQ58*Calculateur!AS58*VLOOKUP('Données projet'!$B$10,Paramètres!$A$1:$I$89,3,0)*0.475*44/12</f>
        <v>2.1143022138692351</v>
      </c>
      <c r="AW58" s="21">
        <f>EXP(-LN(2)/2)*AW57+(1-EXP(-LN(2)/2))/(LN(2)/2)*AQ58*AT58*VLOOKUP('Données projet'!$B$10,Paramètres!$A$1:$I$89,3,0)*0.475*44/12</f>
        <v>0.97784142655940132</v>
      </c>
      <c r="AX58" s="21">
        <f t="shared" si="6"/>
        <v>28.579460802544684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17.285714285714285</v>
      </c>
      <c r="BD58" s="12">
        <f>IF('Données projet'!$A$88&gt;35,BD57+BC58-BL57,IF(A58&lt;'Données projet'!$A$88,$BA$205^A58,IF(A58='Données projet'!$A$88,'Données projet'!$B$88,BD57+BC58-BL57)))</f>
        <v>498.71428571428561</v>
      </c>
      <c r="BE58" s="13">
        <f>BD58*VLOOKUP('Données projet'!$B$11,Paramètres!$A$1:$I$89,3,0)*VLOOKUP('Données projet'!$B$11,Paramètres!$A$1:$I$89,5,0)</f>
        <v>278.78128571428567</v>
      </c>
      <c r="BF58" s="13">
        <f t="shared" si="37"/>
        <v>66.709394170718625</v>
      </c>
      <c r="BG58" s="20">
        <f t="shared" si="7"/>
        <v>601.72960079971574</v>
      </c>
      <c r="BH58" s="59">
        <f t="shared" si="8"/>
        <v>895.06293413304911</v>
      </c>
      <c r="BI58" s="59">
        <f ca="1">AVERAGE(OFFSET($BH$3,0,0,'Données projet'!$E$11+1,1))-AVERAGE(OFFSET($H$3,0,0,'Données projet'!$E$11+1,1))</f>
        <v>330.33728077846268</v>
      </c>
      <c r="BJ58" s="59">
        <f t="shared" si="38"/>
        <v>358.38872754175208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27.845126796822765</v>
      </c>
      <c r="BQ58" s="21">
        <f>EXP(-LN(2)/25)*BQ57+(1-EXP(-LN(2)/25))/(LN(2)/25)*Calculateur!BL58*Calculateur!BN58*VLOOKUP('Données projet'!$B$11,Paramètres!$A$1:$I$89,3,0)*0.475*44/12</f>
        <v>21.8864127739017</v>
      </c>
      <c r="BR58" s="21">
        <f>EXP(-LN(2)/2)*BR57+(1-EXP(-LN(2)/2))/(LN(2)/2)*BL58*BO58*VLOOKUP('Données projet'!$B$11,Paramètres!$A$1:$I$89,3,0)*0.475*44/12</f>
        <v>2.211921793790355</v>
      </c>
      <c r="BS58" s="22">
        <f t="shared" si="9"/>
        <v>51.943461364514818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274</v>
      </c>
      <c r="BW58" s="12">
        <f>VLOOKUP(A58,'Données projet'!$A$113:$I$133,9,0)</f>
        <v>8.1999999999999993</v>
      </c>
      <c r="BX58" s="12">
        <f t="array" ref="BX58">INDEX(BW:BW,MIN(IF(ISNUMBER(BW58:BW254),ROW(BW58:BW254),"")))</f>
        <v>8.1999999999999993</v>
      </c>
      <c r="BY58" s="12">
        <f>IF('Données projet'!$A$114&gt;35,BY57+BX58-CG57,IF(A58&lt;'Données projet'!$A$114,$BV$205^A58,IF(A58='Données projet'!$A$114,'Données projet'!$B$114,BY57+BX58-CG57)))</f>
        <v>273.99999999999983</v>
      </c>
      <c r="BZ58" s="13">
        <f>BY58*VLOOKUP('Données projet'!$B$12,Paramètres!$A$1:$I$89,3,0)*VLOOKUP('Données projet'!$B$12,Paramètres!$A$1:$I$89,5,0)</f>
        <v>260.73839999999984</v>
      </c>
      <c r="CA58" s="13">
        <f t="shared" si="39"/>
        <v>62.879749008354707</v>
      </c>
      <c r="CB58" s="20">
        <f t="shared" si="10"/>
        <v>563.63494285621744</v>
      </c>
      <c r="CC58" s="59">
        <f t="shared" si="11"/>
        <v>856.96827618955081</v>
      </c>
      <c r="CD58" s="59">
        <f ca="1">AVERAGE(OFFSET($CC$3,0,0,'Données projet'!$E$12+1,1))-AVERAGE(OFFSET($H$3,0,0,'Données projet'!$E$12+1,1))</f>
        <v>367.39143258674738</v>
      </c>
      <c r="CE58" s="59">
        <f t="shared" si="40"/>
        <v>376.02790658970292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23</v>
      </c>
      <c r="CH58" s="16">
        <f>IF(ISNA(VLOOKUP(A58,'Données projet'!$A$113:$I$133,5,0)),0%,VLOOKUP(A58,'Données projet'!$A$113:$I$133,5,0)*VLOOKUP('Données projet'!$B$12,Paramètres!$A$1:$I$89,7,0))</f>
        <v>0.34400000000000003</v>
      </c>
      <c r="CI58" s="16">
        <f>IF(ISNA(VLOOKUP(A58,'Données projet'!$A$113:$I$133,6,0)),0%,VLOOKUP(A58,'Données projet'!$A$113:$I$133,6,0)*VLOOKUP('Données projet'!$B$12,Paramètres!$A$1:$I$89,7,0))</f>
        <v>1.72E-2</v>
      </c>
      <c r="CJ58" s="16">
        <f>IF(ISNA(VLOOKUP(A58,'Données projet'!$A$113:$I$133,7,0)),0%,VLOOKUP(A58,'Données projet'!$A$113:$I$133,7,0))</f>
        <v>0.06</v>
      </c>
      <c r="CK58" s="21">
        <f>EXP(-LN(2)/35)*CK57+(1-EXP(-LN(2)/35))/(LN(2)/35)*CG58*CH58*VLOOKUP('Données projet'!$B$12,Paramètres!$A$1:$I$89,3,0)*0.475*44/12</f>
        <v>31.096909960572969</v>
      </c>
      <c r="CL58" s="21">
        <f>EXP(-LN(2)/25)*CL57+(1-EXP(-LN(2)/25))/(LN(2)/25)*Calculateur!CG58*Calculateur!CI58*VLOOKUP('Données projet'!$B$12,Paramètres!$A$1:$I$89,3,0)*0.475*44/12</f>
        <v>2.5243844203794796</v>
      </c>
      <c r="CM58" s="21">
        <f>EXP(-LN(2)/2)*CM57+(1-EXP(-LN(2)/2))/(LN(2)/2)*CG58*CJ58*VLOOKUP('Données projet'!$B$12,Paramètres!$A$1:$I$89,3,0)*0.475*44/12</f>
        <v>1.5176214017415637</v>
      </c>
      <c r="CN58" s="22">
        <f t="shared" si="12"/>
        <v>35.138915782694014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781</v>
      </c>
      <c r="CR58" s="12">
        <f>VLOOKUP(A58,'Données projet'!$A$139:$I$159,9,0)</f>
        <v>24.2</v>
      </c>
      <c r="CS58" s="12">
        <f t="array" ref="CS58">INDEX(CR:CR,MIN(IF(ISNUMBER(CR58:CR254),ROW(CR58:CR254),"")))</f>
        <v>24.2</v>
      </c>
      <c r="CT58" s="12">
        <f>IF('Données projet'!$A$140&gt;35,CT57+CS58-DB57,IF(A58&lt;'Données projet'!$A$140,$CQ$205^A58,IF(A58='Données projet'!$A$140,'Données projet'!$B$140,CT57+CS58-DB57)))</f>
        <v>781.00000000000011</v>
      </c>
      <c r="CU58" s="17">
        <f>CT58*VLOOKUP('Données projet'!$B$13,Paramètres!$A$1:$I$89,3,0)*VLOOKUP('Données projet'!$B$13,Paramètres!$A$1:$I$89,5,0)</f>
        <v>345.20200000000011</v>
      </c>
      <c r="CV58" s="13">
        <f t="shared" si="41"/>
        <v>80.573760926539379</v>
      </c>
      <c r="CW58" s="20">
        <f t="shared" si="13"/>
        <v>741.55945028038957</v>
      </c>
      <c r="CX58" s="59">
        <f t="shared" si="14"/>
        <v>1034.8927836137229</v>
      </c>
      <c r="CY58" s="59">
        <f ca="1">AVERAGE(OFFSET($CX$3,0,0,'Données projet'!$E$13+1,1))-AVERAGE(OFFSET($H$3,0,0,'Données projet'!$E$13+1,1))</f>
        <v>500.13646131618248</v>
      </c>
      <c r="CZ58" s="59">
        <f t="shared" si="42"/>
        <v>417.58036817539306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51</v>
      </c>
      <c r="DC58" s="16">
        <f>IF(ISNA(VLOOKUP(A58,'Données projet'!$A$139:$I$159,5,0)),0%,VLOOKUP(A58,'Données projet'!$A$139:$I$159,5,0)*VLOOKUP('Données projet'!$B$13,Paramètres!$A$1:$I$89,7,0))</f>
        <v>0.33</v>
      </c>
      <c r="DD58" s="16">
        <f>IF(ISNA(VLOOKUP(A58,'Données projet'!$A$139:$I$159,6,0)),0%,VLOOKUP(A58,'Données projet'!$A$139:$I$159,6,0)*VLOOKUP('Données projet'!$B$13,Paramètres!$A$1:$I$89,7,0))</f>
        <v>0.13750000000000001</v>
      </c>
      <c r="DE58" s="16">
        <f>IF(ISNA(VLOOKUP(A58,'Données projet'!$A$139:$I$159,7,0)),0%,VLOOKUP(A58,'Données projet'!$A$139:$I$159,7,0))</f>
        <v>0.15</v>
      </c>
      <c r="DF58" s="21">
        <f>EXP(-LN(2)/35)*DF57+(1-EXP(-LN(2)/35))/(LN(2)/35)*DB58*DC58*VLOOKUP('Données projet'!$B$13,Paramètres!$A$1:$I$89,3,0)*0.475*44/12</f>
        <v>61.254879862394233</v>
      </c>
      <c r="DG58" s="21">
        <f>EXP(-LN(2)/25)*DG57+(1-EXP(-LN(2)/25))/(LN(2)/25)*Calculateur!DB58*Calculateur!DD58*VLOOKUP('Données projet'!$B$13,Paramètres!$A$1:$I$89,3,0)*0.475*44/12</f>
        <v>37.633475120974403</v>
      </c>
      <c r="DH58" s="21">
        <f>EXP(-LN(2)/2)*DH57+(1-EXP(-LN(2)/2))/(LN(2)/2)*DB58*DE58*VLOOKUP('Données projet'!$B$13,Paramètres!$A$1:$I$89,3,0)*0.475*44/12</f>
        <v>4.8837167144176581</v>
      </c>
      <c r="DI58" s="22">
        <f t="shared" si="15"/>
        <v>103.77207169778629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371.7282125501186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21.269740223915672</v>
      </c>
      <c r="AA59" s="21">
        <f>EXP(-LN(2)/25)*AA58+(1-EXP(-LN(2)/25))/(LN(2)/25)*Calculateur!V59*Calculateur!X59*VLOOKUP('Données projet'!$B$9,Paramètres!$A$1:$I$89,3,0)*0.475*44/12</f>
        <v>1.7839173263985226</v>
      </c>
      <c r="AB59" s="21">
        <f>EXP(-LN(2)/2)*AB58+(1-EXP(-LN(2)/2))/(LN(2)/2)*V59*Y59*VLOOKUP('Données projet'!$B$9,Paramètres!$A$1:$I$89,3,0)*0.475*44/12</f>
        <v>0.92872724220015834</v>
      </c>
      <c r="AC59" s="22">
        <f t="shared" si="3"/>
        <v>23.982384792514353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264.60000000000002</v>
      </c>
      <c r="AJ59" s="13">
        <f>AI59*VLOOKUP('Données projet'!$B$10,Paramètres!$A$1:$I$89,3,0)*VLOOKUP('Données projet'!$B$10,Paramètres!$A$1:$I$89,5,0)</f>
        <v>177.49368000000001</v>
      </c>
      <c r="AK59" s="13">
        <f t="shared" si="35"/>
        <v>44.764121909718</v>
      </c>
      <c r="AL59" s="20">
        <f t="shared" si="4"/>
        <v>387.09900499275886</v>
      </c>
      <c r="AM59" s="59">
        <f t="shared" si="5"/>
        <v>680.43233832609212</v>
      </c>
      <c r="AN59" s="59">
        <f ca="1">AVERAGE(OFFSET($AM$3,0,0,'Données projet'!$E$10+1,1))-AVERAGE(OFFSET($H$3,0,0,'Données projet'!$E$10+1,1))</f>
        <v>269.67260882504996</v>
      </c>
      <c r="AO59" s="59">
        <f t="shared" si="36"/>
        <v>272.13858200810074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24.98752641829541</v>
      </c>
      <c r="AV59" s="21">
        <f>EXP(-LN(2)/25)*AV58+(1-EXP(-LN(2)/25))/(LN(2)/25)*Calculateur!AQ59*Calculateur!AS59*VLOOKUP('Données projet'!$B$10,Paramètres!$A$1:$I$89,3,0)*0.475*44/12</f>
        <v>2.0564865086446598</v>
      </c>
      <c r="AW59" s="21">
        <f>EXP(-LN(2)/2)*AW58+(1-EXP(-LN(2)/2))/(LN(2)/2)*AQ59*AT59*VLOOKUP('Données projet'!$B$10,Paramètres!$A$1:$I$89,3,0)*0.475*44/12</f>
        <v>0.69143830364528014</v>
      </c>
      <c r="AX59" s="21">
        <f t="shared" si="6"/>
        <v>27.735451230585351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516</v>
      </c>
      <c r="BB59" s="12">
        <f>VLOOKUP(A59,'Données projet'!$A$87:$I$107,9,0)</f>
        <v>17.285714285714285</v>
      </c>
      <c r="BC59" s="12">
        <f t="array" ref="BC59">INDEX(BB:BB,MIN(IF(ISNUMBER(BB59:BB255),ROW(BB59:BB255),"")))</f>
        <v>17.285714285714285</v>
      </c>
      <c r="BD59" s="12">
        <f>IF('Données projet'!$A$88&gt;35,BD58+BC59-BL58,IF(A59&lt;'Données projet'!$A$88,$BA$205^A59,IF(A59='Données projet'!$A$88,'Données projet'!$B$88,BD58+BC59-BL58)))</f>
        <v>515.99999999999989</v>
      </c>
      <c r="BE59" s="13">
        <f>BD59*VLOOKUP('Données projet'!$B$11,Paramètres!$A$1:$I$89,3,0)*VLOOKUP('Données projet'!$B$11,Paramètres!$A$1:$I$89,5,0)</f>
        <v>288.4439999999999</v>
      </c>
      <c r="BF59" s="13">
        <f t="shared" si="37"/>
        <v>68.748371428318265</v>
      </c>
      <c r="BG59" s="20">
        <f t="shared" si="7"/>
        <v>622.11004690432071</v>
      </c>
      <c r="BH59" s="59">
        <f t="shared" si="8"/>
        <v>915.44338023765408</v>
      </c>
      <c r="BI59" s="59">
        <f ca="1">AVERAGE(OFFSET($BH$3,0,0,'Données projet'!$E$11+1,1))-AVERAGE(OFFSET($H$3,0,0,'Données projet'!$E$11+1,1))</f>
        <v>330.33728077846268</v>
      </c>
      <c r="BJ59" s="59">
        <f t="shared" si="38"/>
        <v>358.38872754175208</v>
      </c>
      <c r="BK59" s="15">
        <f>IF(ISNA(VLOOKUP(A59,'Données projet'!$A$87:$I$107,3,0)),0,VLOOKUP(A59,'Données projet'!$A$87:$I$107,3,0))</f>
        <v>5</v>
      </c>
      <c r="BL59" s="15">
        <f>IF(ISNA(VLOOKUP(A59,'Données projet'!$A$87:$I$107,4,0)),0,VLOOKUP(A59,'Données projet'!$A$87:$I$107,4,0))</f>
        <v>84</v>
      </c>
      <c r="BM59" s="16">
        <f>IF(ISNA(VLOOKUP(A59,'Données projet'!$A$87:$I$107,5,0)),0%,VLOOKUP(A59,'Données projet'!$A$87:$I$107,5,0)*VLOOKUP('Données projet'!$B$11,Paramètres!$A$1:$I$89,7,0))</f>
        <v>0.27500000000000002</v>
      </c>
      <c r="BN59" s="16">
        <f>IF(ISNA(VLOOKUP(A59,'Données projet'!$A$87:$I$107,6,0)),0%,VLOOKUP(A59,'Données projet'!$A$87:$I$107,6,0)*VLOOKUP('Données projet'!$B$11,Paramètres!$A$1:$I$89,7,0))</f>
        <v>0.11000000000000001</v>
      </c>
      <c r="BO59" s="16">
        <f>IF(ISNA(VLOOKUP(A59,'Données projet'!$A$87:$I$107,7,0)),0%,VLOOKUP(A59,'Données projet'!$A$87:$I$107,7,0))</f>
        <v>0.3</v>
      </c>
      <c r="BP59" s="21">
        <f>EXP(-LN(2)/35)*BP58+(1-EXP(-LN(2)/35))/(LN(2)/35)*BL59*BM59*VLOOKUP('Données projet'!$B$11,Paramètres!$A$1:$I$89,3,0)*0.475*44/12</f>
        <v>44.42889500083264</v>
      </c>
      <c r="BQ59" s="21">
        <f>EXP(-LN(2)/25)*BQ58+(1-EXP(-LN(2)/25))/(LN(2)/25)*Calculateur!BL59*Calculateur!BN59*VLOOKUP('Données projet'!$B$11,Paramètres!$A$1:$I$89,3,0)*0.475*44/12</f>
        <v>28.112866717677832</v>
      </c>
      <c r="BR59" s="21">
        <f>EXP(-LN(2)/2)*BR58+(1-EXP(-LN(2)/2))/(LN(2)/2)*BL59*BO59*VLOOKUP('Données projet'!$B$11,Paramètres!$A$1:$I$89,3,0)*0.475*44/12</f>
        <v>17.513594828639288</v>
      </c>
      <c r="BS59" s="22">
        <f t="shared" si="9"/>
        <v>90.055356547149756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258.59999999999985</v>
      </c>
      <c r="BZ59" s="13">
        <f>BY59*VLOOKUP('Données projet'!$B$12,Paramètres!$A$1:$I$89,3,0)*VLOOKUP('Données projet'!$B$12,Paramètres!$A$1:$I$89,5,0)</f>
        <v>246.08375999999984</v>
      </c>
      <c r="CA59" s="13">
        <f t="shared" si="39"/>
        <v>59.74656794836347</v>
      </c>
      <c r="CB59" s="20">
        <f t="shared" si="10"/>
        <v>532.65448784339935</v>
      </c>
      <c r="CC59" s="59">
        <f t="shared" si="11"/>
        <v>825.98782117673272</v>
      </c>
      <c r="CD59" s="59">
        <f ca="1">AVERAGE(OFFSET($CC$3,0,0,'Données projet'!$E$12+1,1))-AVERAGE(OFFSET($H$3,0,0,'Données projet'!$E$12+1,1))</f>
        <v>367.39143258674738</v>
      </c>
      <c r="CE59" s="59">
        <f t="shared" si="40"/>
        <v>376.02790658970292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30.487118523488348</v>
      </c>
      <c r="CL59" s="21">
        <f>EXP(-LN(2)/25)*CL58+(1-EXP(-LN(2)/25))/(LN(2)/25)*Calculateur!CG59*Calculateur!CI59*VLOOKUP('Données projet'!$B$12,Paramètres!$A$1:$I$89,3,0)*0.475*44/12</f>
        <v>2.4553549956525957</v>
      </c>
      <c r="CM59" s="21">
        <f>EXP(-LN(2)/2)*CM58+(1-EXP(-LN(2)/2))/(LN(2)/2)*CG59*CJ59*VLOOKUP('Données projet'!$B$12,Paramètres!$A$1:$I$89,3,0)*0.475*44/12</f>
        <v>1.0731203844452935</v>
      </c>
      <c r="CN59" s="22">
        <f t="shared" si="12"/>
        <v>34.015593903586243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21</v>
      </c>
      <c r="CT59" s="12">
        <f>IF('Données projet'!$A$140&gt;35,CT58+CS59-DB58,IF(A59&lt;'Données projet'!$A$140,$CQ$205^A59,IF(A59='Données projet'!$A$140,'Données projet'!$B$140,CT58+CS59-DB58)))</f>
        <v>751.00000000000011</v>
      </c>
      <c r="CU59" s="17">
        <f>CT59*VLOOKUP('Données projet'!$B$13,Paramètres!$A$1:$I$89,3,0)*VLOOKUP('Données projet'!$B$13,Paramètres!$A$1:$I$89,5,0)</f>
        <v>331.94200000000006</v>
      </c>
      <c r="CV59" s="13">
        <f t="shared" si="41"/>
        <v>77.832795721146297</v>
      </c>
      <c r="CW59" s="20">
        <f t="shared" si="13"/>
        <v>713.69110254766326</v>
      </c>
      <c r="CX59" s="59">
        <f t="shared" si="14"/>
        <v>1007.0244358809966</v>
      </c>
      <c r="CY59" s="59">
        <f ca="1">AVERAGE(OFFSET($CX$3,0,0,'Données projet'!$E$13+1,1))-AVERAGE(OFFSET($H$3,0,0,'Données projet'!$E$13+1,1))</f>
        <v>500.13646131618248</v>
      </c>
      <c r="CZ59" s="59">
        <f t="shared" si="42"/>
        <v>417.58036817539306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60.053709030080228</v>
      </c>
      <c r="DG59" s="21">
        <f>EXP(-LN(2)/25)*DG58+(1-EXP(-LN(2)/25))/(LN(2)/25)*Calculateur!DB59*Calculateur!DD59*VLOOKUP('Données projet'!$B$13,Paramètres!$A$1:$I$89,3,0)*0.475*44/12</f>
        <v>36.604385764732911</v>
      </c>
      <c r="DH59" s="21">
        <f>EXP(-LN(2)/2)*DH58+(1-EXP(-LN(2)/2))/(LN(2)/2)*DB59*DE59*VLOOKUP('Données projet'!$B$13,Paramètres!$A$1:$I$89,3,0)*0.475*44/12</f>
        <v>3.4533092061588122</v>
      </c>
      <c r="DI59" s="22">
        <f t="shared" si="15"/>
        <v>100.11140400097194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371.7282125501186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20.85265359138522</v>
      </c>
      <c r="AA60" s="21">
        <f>EXP(-LN(2)/25)*AA59+(1-EXP(-LN(2)/25))/(LN(2)/25)*Calculateur!V60*Calculateur!X60*VLOOKUP('Données projet'!$B$9,Paramètres!$A$1:$I$89,3,0)*0.475*44/12</f>
        <v>1.7351360132960201</v>
      </c>
      <c r="AB60" s="21">
        <f>EXP(-LN(2)/2)*AB59+(1-EXP(-LN(2)/2))/(LN(2)/2)*V60*Y60*VLOOKUP('Données projet'!$B$9,Paramètres!$A$1:$I$89,3,0)*0.475*44/12</f>
        <v>0.65670933083241312</v>
      </c>
      <c r="AC60" s="22">
        <f t="shared" si="3"/>
        <v>23.244498935513654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272.20000000000005</v>
      </c>
      <c r="AJ60" s="13">
        <f>AI60*VLOOKUP('Données projet'!$B$10,Paramètres!$A$1:$I$89,3,0)*VLOOKUP('Données projet'!$B$10,Paramètres!$A$1:$I$89,5,0)</f>
        <v>182.59176000000005</v>
      </c>
      <c r="AK60" s="13">
        <f t="shared" si="35"/>
        <v>45.898324377826334</v>
      </c>
      <c r="AL60" s="20">
        <f t="shared" si="4"/>
        <v>397.95356362471421</v>
      </c>
      <c r="AM60" s="59">
        <f t="shared" si="5"/>
        <v>691.28689695804746</v>
      </c>
      <c r="AN60" s="59">
        <f ca="1">AVERAGE(OFFSET($AM$3,0,0,'Données projet'!$E$10+1,1))-AVERAGE(OFFSET($H$3,0,0,'Données projet'!$E$10+1,1))</f>
        <v>269.67260882504996</v>
      </c>
      <c r="AO60" s="59">
        <f t="shared" si="36"/>
        <v>272.13858200810074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24.497536266118839</v>
      </c>
      <c r="AV60" s="21">
        <f>EXP(-LN(2)/25)*AV59+(1-EXP(-LN(2)/25))/(LN(2)/25)*Calculateur!AQ60*Calculateur!AS60*VLOOKUP('Données projet'!$B$10,Paramètres!$A$1:$I$89,3,0)*0.475*44/12</f>
        <v>2.0002517769198462</v>
      </c>
      <c r="AW60" s="21">
        <f>EXP(-LN(2)/2)*AW59+(1-EXP(-LN(2)/2))/(LN(2)/2)*AQ60*AT60*VLOOKUP('Données projet'!$B$10,Paramètres!$A$1:$I$89,3,0)*0.475*44/12</f>
        <v>0.48892071327970077</v>
      </c>
      <c r="AX60" s="21">
        <f t="shared" si="6"/>
        <v>26.986708756318386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15.571428571428571</v>
      </c>
      <c r="BD60" s="12">
        <f>IF('Données projet'!$A$88&gt;35,BD59+BC60-BL59,IF(A60&lt;'Données projet'!$A$88,$BA$205^A60,IF(A60='Données projet'!$A$88,'Données projet'!$B$88,BD59+BC60-BL59)))</f>
        <v>447.57142857142844</v>
      </c>
      <c r="BE60" s="13">
        <f>BD60*VLOOKUP('Données projet'!$B$11,Paramètres!$A$1:$I$89,3,0)*VLOOKUP('Données projet'!$B$11,Paramètres!$A$1:$I$89,5,0)</f>
        <v>250.19242857142851</v>
      </c>
      <c r="BF60" s="13">
        <f t="shared" si="37"/>
        <v>60.627144689363043</v>
      </c>
      <c r="BG60" s="20">
        <f t="shared" si="7"/>
        <v>541.34409009587864</v>
      </c>
      <c r="BH60" s="59">
        <f t="shared" si="8"/>
        <v>834.67742342921201</v>
      </c>
      <c r="BI60" s="59">
        <f ca="1">AVERAGE(OFFSET($BH$3,0,0,'Données projet'!$E$11+1,1))-AVERAGE(OFFSET($H$3,0,0,'Données projet'!$E$11+1,1))</f>
        <v>330.33728077846268</v>
      </c>
      <c r="BJ60" s="59">
        <f t="shared" si="38"/>
        <v>358.38872754175208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43.557671468816466</v>
      </c>
      <c r="BQ60" s="21">
        <f>EXP(-LN(2)/25)*BQ59+(1-EXP(-LN(2)/25))/(LN(2)/25)*Calculateur!BL60*Calculateur!BN60*VLOOKUP('Données projet'!$B$11,Paramètres!$A$1:$I$89,3,0)*0.475*44/12</f>
        <v>27.344118898891523</v>
      </c>
      <c r="BR60" s="21">
        <f>EXP(-LN(2)/2)*BR59+(1-EXP(-LN(2)/2))/(LN(2)/2)*BL60*BO60*VLOOKUP('Données projet'!$B$11,Paramètres!$A$1:$I$89,3,0)*0.475*44/12</f>
        <v>12.383981666284493</v>
      </c>
      <c r="BS60" s="22">
        <f t="shared" si="9"/>
        <v>83.285772033992487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266.19999999999987</v>
      </c>
      <c r="BZ60" s="13">
        <f>BY60*VLOOKUP('Données projet'!$B$12,Paramètres!$A$1:$I$89,3,0)*VLOOKUP('Données projet'!$B$12,Paramètres!$A$1:$I$89,5,0)</f>
        <v>253.31591999999989</v>
      </c>
      <c r="CA60" s="13">
        <f t="shared" si="39"/>
        <v>61.295449776469411</v>
      </c>
      <c r="CB60" s="20">
        <f t="shared" si="10"/>
        <v>547.94813569401742</v>
      </c>
      <c r="CC60" s="59">
        <f t="shared" si="11"/>
        <v>841.28146902735079</v>
      </c>
      <c r="CD60" s="59">
        <f ca="1">AVERAGE(OFFSET($CC$3,0,0,'Données projet'!$E$12+1,1))-AVERAGE(OFFSET($H$3,0,0,'Données projet'!$E$12+1,1))</f>
        <v>367.39143258674738</v>
      </c>
      <c r="CE60" s="59">
        <f t="shared" si="40"/>
        <v>376.02790658970292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29.889284724548908</v>
      </c>
      <c r="CL60" s="21">
        <f>EXP(-LN(2)/25)*CL59+(1-EXP(-LN(2)/25))/(LN(2)/25)*Calculateur!CG60*Calculateur!CI60*VLOOKUP('Données projet'!$B$12,Paramètres!$A$1:$I$89,3,0)*0.475*44/12</f>
        <v>2.3882131841749681</v>
      </c>
      <c r="CM60" s="21">
        <f>EXP(-LN(2)/2)*CM59+(1-EXP(-LN(2)/2))/(LN(2)/2)*CG60*CJ60*VLOOKUP('Données projet'!$B$12,Paramètres!$A$1:$I$89,3,0)*0.475*44/12</f>
        <v>0.75881070087078195</v>
      </c>
      <c r="CN60" s="22">
        <f t="shared" si="12"/>
        <v>33.036308609594656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21</v>
      </c>
      <c r="CT60" s="12">
        <f>IF('Données projet'!$A$140&gt;35,CT59+CS60-DB59,IF(A60&lt;'Données projet'!$A$140,$CQ$205^A60,IF(A60='Données projet'!$A$140,'Données projet'!$B$140,CT59+CS60-DB59)))</f>
        <v>772.00000000000011</v>
      </c>
      <c r="CU60" s="17">
        <f>CT60*VLOOKUP('Données projet'!$B$13,Paramètres!$A$1:$I$89,3,0)*VLOOKUP('Données projet'!$B$13,Paramètres!$A$1:$I$89,5,0)</f>
        <v>341.2240000000001</v>
      </c>
      <c r="CV60" s="13">
        <f t="shared" si="41"/>
        <v>79.752779657506935</v>
      </c>
      <c r="CW60" s="20">
        <f t="shared" si="13"/>
        <v>733.20122457015805</v>
      </c>
      <c r="CX60" s="59">
        <f t="shared" si="14"/>
        <v>1026.5345579034913</v>
      </c>
      <c r="CY60" s="59">
        <f ca="1">AVERAGE(OFFSET($CX$3,0,0,'Données projet'!$E$13+1,1))-AVERAGE(OFFSET($H$3,0,0,'Données projet'!$E$13+1,1))</f>
        <v>500.13646131618248</v>
      </c>
      <c r="CZ60" s="59">
        <f t="shared" si="42"/>
        <v>417.58036817539306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58.876092425146034</v>
      </c>
      <c r="DG60" s="21">
        <f>EXP(-LN(2)/25)*DG59+(1-EXP(-LN(2)/25))/(LN(2)/25)*Calculateur!DB60*Calculateur!DD60*VLOOKUP('Données projet'!$B$13,Paramètres!$A$1:$I$89,3,0)*0.475*44/12</f>
        <v>35.603436911055304</v>
      </c>
      <c r="DH60" s="21">
        <f>EXP(-LN(2)/2)*DH59+(1-EXP(-LN(2)/2))/(LN(2)/2)*DB60*DE60*VLOOKUP('Données projet'!$B$13,Paramètres!$A$1:$I$89,3,0)*0.475*44/12</f>
        <v>2.4418583572088295</v>
      </c>
      <c r="DI60" s="22">
        <f t="shared" si="15"/>
        <v>96.921387693410168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371.7282125501186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20.443745773320963</v>
      </c>
      <c r="AA61" s="21">
        <f>EXP(-LN(2)/25)*AA60+(1-EXP(-LN(2)/25))/(LN(2)/25)*Calculateur!V61*Calculateur!X61*VLOOKUP('Données projet'!$B$9,Paramètres!$A$1:$I$89,3,0)*0.475*44/12</f>
        <v>1.6876886277656031</v>
      </c>
      <c r="AB61" s="21">
        <f>EXP(-LN(2)/2)*AB60+(1-EXP(-LN(2)/2))/(LN(2)/2)*V61*Y61*VLOOKUP('Données projet'!$B$9,Paramètres!$A$1:$I$89,3,0)*0.475*44/12</f>
        <v>0.46436362110007923</v>
      </c>
      <c r="AC61" s="22">
        <f t="shared" si="3"/>
        <v>22.595798022186646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279.80000000000007</v>
      </c>
      <c r="AJ61" s="13">
        <f>AI61*VLOOKUP('Données projet'!$B$10,Paramètres!$A$1:$I$89,3,0)*VLOOKUP('Données projet'!$B$10,Paramètres!$A$1:$I$89,5,0)</f>
        <v>187.68984000000003</v>
      </c>
      <c r="AK61" s="13">
        <f t="shared" si="35"/>
        <v>47.02884620764862</v>
      </c>
      <c r="AL61" s="20">
        <f t="shared" si="4"/>
        <v>408.80171181165474</v>
      </c>
      <c r="AM61" s="59">
        <f t="shared" si="5"/>
        <v>702.135045144988</v>
      </c>
      <c r="AN61" s="59">
        <f ca="1">AVERAGE(OFFSET($AM$3,0,0,'Données projet'!$E$10+1,1))-AVERAGE(OFFSET($H$3,0,0,'Données projet'!$E$10+1,1))</f>
        <v>269.67260882504996</v>
      </c>
      <c r="AO61" s="59">
        <f t="shared" si="36"/>
        <v>272.13858200810074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24.01715452196197</v>
      </c>
      <c r="AV61" s="21">
        <f>EXP(-LN(2)/25)*AV60+(1-EXP(-LN(2)/25))/(LN(2)/25)*Calculateur!AQ61*Calculateur!AS61*VLOOKUP('Données projet'!$B$10,Paramètres!$A$1:$I$89,3,0)*0.475*44/12</f>
        <v>1.9455547868913037</v>
      </c>
      <c r="AW61" s="21">
        <f>EXP(-LN(2)/2)*AW60+(1-EXP(-LN(2)/2))/(LN(2)/2)*AQ61*AT61*VLOOKUP('Données projet'!$B$10,Paramètres!$A$1:$I$89,3,0)*0.475*44/12</f>
        <v>0.34571915182264013</v>
      </c>
      <c r="AX61" s="21">
        <f t="shared" si="6"/>
        <v>26.308428460675913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15.571428571428571</v>
      </c>
      <c r="BD61" s="12">
        <f>IF('Données projet'!$A$88&gt;35,BD60+BC61-BL60,IF(A61&lt;'Données projet'!$A$88,$BA$205^A61,IF(A61='Données projet'!$A$88,'Données projet'!$B$88,BD60+BC61-BL60)))</f>
        <v>463.142857142857</v>
      </c>
      <c r="BE61" s="13">
        <f>BD61*VLOOKUP('Données projet'!$B$11,Paramètres!$A$1:$I$89,3,0)*VLOOKUP('Données projet'!$B$11,Paramètres!$A$1:$I$89,5,0)</f>
        <v>258.89685714285707</v>
      </c>
      <c r="BF61" s="13">
        <f t="shared" si="37"/>
        <v>62.487174320665062</v>
      </c>
      <c r="BG61" s="20">
        <f t="shared" si="7"/>
        <v>559.74385479896762</v>
      </c>
      <c r="BH61" s="59">
        <f t="shared" si="8"/>
        <v>853.07718813230099</v>
      </c>
      <c r="BI61" s="59">
        <f ca="1">AVERAGE(OFFSET($BH$3,0,0,'Données projet'!$E$11+1,1))-AVERAGE(OFFSET($H$3,0,0,'Données projet'!$E$11+1,1))</f>
        <v>330.33728077846268</v>
      </c>
      <c r="BJ61" s="59">
        <f t="shared" si="38"/>
        <v>358.38872754175208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42.703532098869239</v>
      </c>
      <c r="BQ61" s="21">
        <f>EXP(-LN(2)/25)*BQ60+(1-EXP(-LN(2)/25))/(LN(2)/25)*Calculateur!BL61*Calculateur!BN61*VLOOKUP('Données projet'!$B$11,Paramètres!$A$1:$I$89,3,0)*0.475*44/12</f>
        <v>26.596392529636617</v>
      </c>
      <c r="BR61" s="21">
        <f>EXP(-LN(2)/2)*BR60+(1-EXP(-LN(2)/2))/(LN(2)/2)*BL61*BO61*VLOOKUP('Données projet'!$B$11,Paramètres!$A$1:$I$89,3,0)*0.475*44/12</f>
        <v>8.7567974143196459</v>
      </c>
      <c r="BS61" s="22">
        <f t="shared" si="9"/>
        <v>78.056722042825513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273.7999999999999</v>
      </c>
      <c r="BZ61" s="13">
        <f>BY61*VLOOKUP('Données projet'!$B$12,Paramètres!$A$1:$I$89,3,0)*VLOOKUP('Données projet'!$B$12,Paramètres!$A$1:$I$89,5,0)</f>
        <v>260.54807999999991</v>
      </c>
      <c r="CA61" s="13">
        <f t="shared" si="39"/>
        <v>62.83919214180397</v>
      </c>
      <c r="CB61" s="20">
        <f t="shared" si="10"/>
        <v>563.23283231364178</v>
      </c>
      <c r="CC61" s="59">
        <f t="shared" si="11"/>
        <v>856.56616564697515</v>
      </c>
      <c r="CD61" s="59">
        <f ca="1">AVERAGE(OFFSET($CC$3,0,0,'Données projet'!$E$12+1,1))-AVERAGE(OFFSET($H$3,0,0,'Données projet'!$E$12+1,1))</f>
        <v>367.39143258674738</v>
      </c>
      <c r="CE61" s="59">
        <f t="shared" si="40"/>
        <v>376.02790658970292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29.303174081764059</v>
      </c>
      <c r="CL61" s="21">
        <f>EXP(-LN(2)/25)*CL60+(1-EXP(-LN(2)/25))/(LN(2)/25)*Calculateur!CG61*Calculateur!CI61*VLOOKUP('Données projet'!$B$12,Paramètres!$A$1:$I$89,3,0)*0.475*44/12</f>
        <v>2.3229073690630306</v>
      </c>
      <c r="CM61" s="21">
        <f>EXP(-LN(2)/2)*CM60+(1-EXP(-LN(2)/2))/(LN(2)/2)*CG61*CJ61*VLOOKUP('Données projet'!$B$12,Paramètres!$A$1:$I$89,3,0)*0.475*44/12</f>
        <v>0.53656019222264684</v>
      </c>
      <c r="CN61" s="22">
        <f t="shared" si="12"/>
        <v>32.162641643049739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21</v>
      </c>
      <c r="CT61" s="12">
        <f>IF('Données projet'!$A$140&gt;35,CT60+CS61-DB60,IF(A61&lt;'Données projet'!$A$140,$CQ$205^A61,IF(A61='Données projet'!$A$140,'Données projet'!$B$140,CT60+CS61-DB60)))</f>
        <v>793.00000000000011</v>
      </c>
      <c r="CU61" s="17">
        <f>CT61*VLOOKUP('Données projet'!$B$13,Paramètres!$A$1:$I$89,3,0)*VLOOKUP('Données projet'!$B$13,Paramètres!$A$1:$I$89,5,0)</f>
        <v>350.50600000000009</v>
      </c>
      <c r="CV61" s="13">
        <f t="shared" si="41"/>
        <v>81.666693131176757</v>
      </c>
      <c r="CW61" s="20">
        <f t="shared" si="13"/>
        <v>752.70077387013305</v>
      </c>
      <c r="CX61" s="59">
        <f t="shared" si="14"/>
        <v>1046.0341072034664</v>
      </c>
      <c r="CY61" s="59">
        <f ca="1">AVERAGE(OFFSET($CX$3,0,0,'Données projet'!$E$13+1,1))-AVERAGE(OFFSET($H$3,0,0,'Données projet'!$E$13+1,1))</f>
        <v>500.13646131618248</v>
      </c>
      <c r="CZ61" s="59">
        <f t="shared" si="42"/>
        <v>417.58036817539306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57.721568163559397</v>
      </c>
      <c r="DG61" s="21">
        <f>EXP(-LN(2)/25)*DG60+(1-EXP(-LN(2)/25))/(LN(2)/25)*Calculateur!DB61*Calculateur!DD61*VLOOKUP('Données projet'!$B$13,Paramètres!$A$1:$I$89,3,0)*0.475*44/12</f>
        <v>34.629859056419122</v>
      </c>
      <c r="DH61" s="21">
        <f>EXP(-LN(2)/2)*DH60+(1-EXP(-LN(2)/2))/(LN(2)/2)*DB61*DE61*VLOOKUP('Données projet'!$B$13,Paramètres!$A$1:$I$89,3,0)*0.475*44/12</f>
        <v>1.7266546030794063</v>
      </c>
      <c r="DI61" s="22">
        <f t="shared" si="15"/>
        <v>94.078081823057929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371.7282125501186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20.042856388159805</v>
      </c>
      <c r="AA62" s="21">
        <f>EXP(-LN(2)/25)*AA61+(1-EXP(-LN(2)/25))/(LN(2)/25)*Calculateur!V62*Calculateur!X62*VLOOKUP('Données projet'!$B$9,Paramètres!$A$1:$I$89,3,0)*0.475*44/12</f>
        <v>1.641538693487665</v>
      </c>
      <c r="AB62" s="21">
        <f>EXP(-LN(2)/2)*AB61+(1-EXP(-LN(2)/2))/(LN(2)/2)*V62*Y62*VLOOKUP('Données projet'!$B$9,Paramètres!$A$1:$I$89,3,0)*0.475*44/12</f>
        <v>0.32835466541620661</v>
      </c>
      <c r="AC62" s="22">
        <f t="shared" si="3"/>
        <v>22.012749747063676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287.40000000000009</v>
      </c>
      <c r="AJ62" s="13">
        <f>AI62*VLOOKUP('Données projet'!$B$10,Paramètres!$A$1:$I$89,3,0)*VLOOKUP('Données projet'!$B$10,Paramètres!$A$1:$I$89,5,0)</f>
        <v>192.78792000000007</v>
      </c>
      <c r="AK62" s="13">
        <f t="shared" si="35"/>
        <v>48.155798862162044</v>
      </c>
      <c r="AL62" s="20">
        <f t="shared" si="4"/>
        <v>419.64364368493239</v>
      </c>
      <c r="AM62" s="59">
        <f t="shared" si="5"/>
        <v>712.97697701826564</v>
      </c>
      <c r="AN62" s="59">
        <f ca="1">AVERAGE(OFFSET($AM$3,0,0,'Données projet'!$E$10+1,1))-AVERAGE(OFFSET($H$3,0,0,'Données projet'!$E$10+1,1))</f>
        <v>269.67260882504996</v>
      </c>
      <c r="AO62" s="59">
        <f t="shared" si="36"/>
        <v>272.13858200810074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23.546192770804083</v>
      </c>
      <c r="AV62" s="21">
        <f>EXP(-LN(2)/25)*AV61+(1-EXP(-LN(2)/25))/(LN(2)/25)*Calculateur!AQ62*Calculateur!AS62*VLOOKUP('Données projet'!$B$10,Paramètres!$A$1:$I$89,3,0)*0.475*44/12</f>
        <v>1.8923534889314813</v>
      </c>
      <c r="AW62" s="21">
        <f>EXP(-LN(2)/2)*AW61+(1-EXP(-LN(2)/2))/(LN(2)/2)*AQ62*AT62*VLOOKUP('Données projet'!$B$10,Paramètres!$A$1:$I$89,3,0)*0.475*44/12</f>
        <v>0.24446035663985041</v>
      </c>
      <c r="AX62" s="21">
        <f t="shared" si="6"/>
        <v>25.683006616375415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15.571428571428571</v>
      </c>
      <c r="BD62" s="12">
        <f>IF('Données projet'!$A$88&gt;35,BD61+BC62-BL61,IF(A62&lt;'Données projet'!$A$88,$BA$205^A62,IF(A62='Données projet'!$A$88,'Données projet'!$B$88,BD61+BC62-BL61)))</f>
        <v>478.71428571428555</v>
      </c>
      <c r="BE62" s="13">
        <f>BD62*VLOOKUP('Données projet'!$B$11,Paramètres!$A$1:$I$89,3,0)*VLOOKUP('Données projet'!$B$11,Paramètres!$A$1:$I$89,5,0)</f>
        <v>267.60128571428561</v>
      </c>
      <c r="BF62" s="13">
        <f t="shared" si="37"/>
        <v>64.339937485984208</v>
      </c>
      <c r="BG62" s="20">
        <f t="shared" si="7"/>
        <v>578.13096374046995</v>
      </c>
      <c r="BH62" s="59">
        <f t="shared" si="8"/>
        <v>871.46429707380321</v>
      </c>
      <c r="BI62" s="59">
        <f ca="1">AVERAGE(OFFSET($BH$3,0,0,'Données projet'!$E$11+1,1))-AVERAGE(OFFSET($H$3,0,0,'Données projet'!$E$11+1,1))</f>
        <v>330.33728077846268</v>
      </c>
      <c r="BJ62" s="59">
        <f t="shared" si="38"/>
        <v>358.38872754175208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41.866141880993105</v>
      </c>
      <c r="BQ62" s="21">
        <f>EXP(-LN(2)/25)*BQ61+(1-EXP(-LN(2)/25))/(LN(2)/25)*Calculateur!BL62*Calculateur!BN62*VLOOKUP('Données projet'!$B$11,Paramètres!$A$1:$I$89,3,0)*0.475*44/12</f>
        <v>25.869112777270207</v>
      </c>
      <c r="BR62" s="21">
        <f>EXP(-LN(2)/2)*BR61+(1-EXP(-LN(2)/2))/(LN(2)/2)*BL62*BO62*VLOOKUP('Données projet'!$B$11,Paramètres!$A$1:$I$89,3,0)*0.475*44/12</f>
        <v>6.1919908331422473</v>
      </c>
      <c r="BS62" s="22">
        <f t="shared" si="9"/>
        <v>73.927245491405557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281.39999999999992</v>
      </c>
      <c r="BZ62" s="13">
        <f>BY62*VLOOKUP('Données projet'!$B$12,Paramètres!$A$1:$I$89,3,0)*VLOOKUP('Données projet'!$B$12,Paramètres!$A$1:$I$89,5,0)</f>
        <v>267.78023999999994</v>
      </c>
      <c r="CA62" s="13">
        <f t="shared" si="39"/>
        <v>64.377954092757676</v>
      </c>
      <c r="CB62" s="20">
        <f t="shared" si="10"/>
        <v>578.50885471155289</v>
      </c>
      <c r="CC62" s="59">
        <f t="shared" si="11"/>
        <v>871.84218804488614</v>
      </c>
      <c r="CD62" s="59">
        <f ca="1">AVERAGE(OFFSET($CC$3,0,0,'Données projet'!$E$12+1,1))-AVERAGE(OFFSET($H$3,0,0,'Données projet'!$E$12+1,1))</f>
        <v>367.39143258674738</v>
      </c>
      <c r="CE62" s="59">
        <f t="shared" si="40"/>
        <v>376.02790658970292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28.728556711192027</v>
      </c>
      <c r="CL62" s="21">
        <f>EXP(-LN(2)/25)*CL61+(1-EXP(-LN(2)/25))/(LN(2)/25)*Calculateur!CG62*Calculateur!CI62*VLOOKUP('Données projet'!$B$12,Paramètres!$A$1:$I$89,3,0)*0.475*44/12</f>
        <v>2.2593873448996127</v>
      </c>
      <c r="CM62" s="21">
        <f>EXP(-LN(2)/2)*CM61+(1-EXP(-LN(2)/2))/(LN(2)/2)*CG62*CJ62*VLOOKUP('Données projet'!$B$12,Paramètres!$A$1:$I$89,3,0)*0.475*44/12</f>
        <v>0.37940535043539103</v>
      </c>
      <c r="CN62" s="22">
        <f t="shared" si="12"/>
        <v>31.36734940652703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21</v>
      </c>
      <c r="CT62" s="12">
        <f>IF('Données projet'!$A$140&gt;35,CT61+CS62-DB61,IF(A62&lt;'Données projet'!$A$140,$CQ$205^A62,IF(A62='Données projet'!$A$140,'Données projet'!$B$140,CT61+CS62-DB61)))</f>
        <v>814.00000000000011</v>
      </c>
      <c r="CU62" s="17">
        <f>CT62*VLOOKUP('Données projet'!$B$13,Paramètres!$A$1:$I$89,3,0)*VLOOKUP('Données projet'!$B$13,Paramètres!$A$1:$I$89,5,0)</f>
        <v>359.78800000000007</v>
      </c>
      <c r="CV62" s="13">
        <f t="shared" si="41"/>
        <v>83.574715376538705</v>
      </c>
      <c r="CW62" s="20">
        <f t="shared" si="13"/>
        <v>772.19006261413824</v>
      </c>
      <c r="CX62" s="59">
        <f t="shared" si="14"/>
        <v>1065.5233959474715</v>
      </c>
      <c r="CY62" s="59">
        <f ca="1">AVERAGE(OFFSET($CX$3,0,0,'Données projet'!$E$13+1,1))-AVERAGE(OFFSET($H$3,0,0,'Données projet'!$E$13+1,1))</f>
        <v>500.13646131618248</v>
      </c>
      <c r="CZ62" s="59">
        <f t="shared" si="42"/>
        <v>417.58036817539306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56.589683418552205</v>
      </c>
      <c r="DG62" s="21">
        <f>EXP(-LN(2)/25)*DG61+(1-EXP(-LN(2)/25))/(LN(2)/25)*Calculateur!DB62*Calculateur!DD62*VLOOKUP('Données projet'!$B$13,Paramètres!$A$1:$I$89,3,0)*0.475*44/12</f>
        <v>33.682903739416197</v>
      </c>
      <c r="DH62" s="21">
        <f>EXP(-LN(2)/2)*DH61+(1-EXP(-LN(2)/2))/(LN(2)/2)*DB62*DE62*VLOOKUP('Données projet'!$B$13,Paramètres!$A$1:$I$89,3,0)*0.475*44/12</f>
        <v>1.220929178604415</v>
      </c>
      <c r="DI62" s="22">
        <f t="shared" si="15"/>
        <v>91.493516336572824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371.7282125501186</v>
      </c>
      <c r="T63" s="59">
        <f t="shared" si="34"/>
        <v>231.36959598460686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0.34400000000000003</v>
      </c>
      <c r="X63" s="16">
        <f>IF(ISNA(VLOOKUP(A63,'Données projet'!$A$35:$I$55,6,0)),0%,VLOOKUP(A63,'Données projet'!$A$35:$I$55,6,0)*VLOOKUP('Données projet'!$B$9,Paramètres!$A$1:$I$89,7,0))</f>
        <v>1.72E-2</v>
      </c>
      <c r="Y63" s="16">
        <f>IF(ISNA(VLOOKUP(A63,'Données projet'!$A$35:$I$55,7,0)),0%,VLOOKUP(A63,'Données projet'!$A$35:$I$55,7,0))</f>
        <v>0.06</v>
      </c>
      <c r="Z63" s="21">
        <f>EXP(-LN(2)/35)*Z62+(1-EXP(-LN(2)/35))/(LN(2)/35)*V63*W63*VLOOKUP('Données projet'!$B$9,Paramètres!$A$1:$I$89,3,0)*0.475*44/12</f>
        <v>26.875486825399086</v>
      </c>
      <c r="AA63" s="21">
        <f>EXP(-LN(2)/25)*AA62+(1-EXP(-LN(2)/25))/(LN(2)/25)*Calculateur!V63*Calculateur!X63*VLOOKUP('Données projet'!$B$9,Paramètres!$A$1:$I$89,3,0)*0.475*44/12</f>
        <v>1.956511154333135</v>
      </c>
      <c r="AB63" s="21">
        <f>EXP(-LN(2)/2)*AB62+(1-EXP(-LN(2)/2))/(LN(2)/2)*V63*Y63*VLOOKUP('Données projet'!$B$9,Paramètres!$A$1:$I$89,3,0)*0.475*44/12</f>
        <v>1.3078477824920831</v>
      </c>
      <c r="AC63" s="22">
        <f t="shared" si="3"/>
        <v>30.139845762224304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295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295.00000000000011</v>
      </c>
      <c r="AJ63" s="13">
        <f>AI63*VLOOKUP('Données projet'!$B$10,Paramètres!$A$1:$I$89,3,0)*VLOOKUP('Données projet'!$B$10,Paramètres!$A$1:$I$89,5,0)</f>
        <v>197.88600000000008</v>
      </c>
      <c r="AK63" s="13">
        <f t="shared" si="35"/>
        <v>49.279287573600612</v>
      </c>
      <c r="AL63" s="20">
        <f t="shared" si="4"/>
        <v>430.47954252402116</v>
      </c>
      <c r="AM63" s="59">
        <f t="shared" si="5"/>
        <v>723.81287585735447</v>
      </c>
      <c r="AN63" s="59">
        <f ca="1">AVERAGE(OFFSET($AM$3,0,0,'Données projet'!$E$10+1,1))-AVERAGE(OFFSET($H$3,0,0,'Données projet'!$E$10+1,1))</f>
        <v>269.67260882504996</v>
      </c>
      <c r="AO63" s="59">
        <f t="shared" si="36"/>
        <v>272.13858200810074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20</v>
      </c>
      <c r="AR63" s="16">
        <f>IF(ISNA(VLOOKUP(A63,'Données projet'!$A$61:$I$81,5,0)),0%,VLOOKUP(A63,'Données projet'!$A$61:$I$81,5,0)*VLOOKUP('Données projet'!$B$10,Paramètres!$A$1:$I$89,7,0))</f>
        <v>0.42400000000000004</v>
      </c>
      <c r="AS63" s="16">
        <f>IF(ISNA(VLOOKUP(A63,'Données projet'!$A$61:$I$81,6,0)),0%,VLOOKUP(A63,'Données projet'!$A$61:$I$81,6,0)*VLOOKUP('Données projet'!$B$10,Paramètres!$A$1:$I$89,7,0))</f>
        <v>2.12E-2</v>
      </c>
      <c r="AT63" s="16">
        <f>IF(ISNA(VLOOKUP(A63,'Données projet'!$A$61:$I$81,7,0)),0%,VLOOKUP(A63,'Données projet'!$A$61:$I$81,7,0))</f>
        <v>0.06</v>
      </c>
      <c r="AU63" s="21">
        <f>EXP(-LN(2)/35)*AU62+(1-EXP(-LN(2)/35))/(LN(2)/35)*AQ63*AR63*VLOOKUP('Données projet'!$B$10,Paramètres!$A$1:$I$89,3,0)*0.475*44/12</f>
        <v>29.372806311737261</v>
      </c>
      <c r="AV63" s="21">
        <f>EXP(-LN(2)/25)*AV62+(1-EXP(-LN(2)/25))/(LN(2)/25)*Calculateur!AQ63*Calculateur!AS63*VLOOKUP('Données projet'!$B$10,Paramètres!$A$1:$I$89,3,0)*0.475*44/12</f>
        <v>2.1537860046974728</v>
      </c>
      <c r="AW63" s="21">
        <f>EXP(-LN(2)/2)*AW62+(1-EXP(-LN(2)/2))/(LN(2)/2)*AQ63*AT63*VLOOKUP('Données projet'!$B$10,Paramètres!$A$1:$I$89,3,0)*0.475*44/12</f>
        <v>0.93236100109207343</v>
      </c>
      <c r="AX63" s="21">
        <f t="shared" si="6"/>
        <v>32.458953317526806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15.571428571428571</v>
      </c>
      <c r="BD63" s="12">
        <f>IF('Données projet'!$A$88&gt;35,BD62+BC63-BL62,IF(A63&lt;'Données projet'!$A$88,$BA$205^A63,IF(A63='Données projet'!$A$88,'Données projet'!$B$88,BD62+BC63-BL62)))</f>
        <v>494.28571428571411</v>
      </c>
      <c r="BE63" s="13">
        <f>BD63*VLOOKUP('Données projet'!$B$11,Paramètres!$A$1:$I$89,3,0)*VLOOKUP('Données projet'!$B$11,Paramètres!$A$1:$I$89,5,0)</f>
        <v>276.3057142857142</v>
      </c>
      <c r="BF63" s="13">
        <f t="shared" si="37"/>
        <v>66.185697653855897</v>
      </c>
      <c r="BG63" s="20">
        <f t="shared" si="7"/>
        <v>596.5058757947512</v>
      </c>
      <c r="BH63" s="59">
        <f t="shared" si="8"/>
        <v>889.83920912808458</v>
      </c>
      <c r="BI63" s="59">
        <f ca="1">AVERAGE(OFFSET($BH$3,0,0,'Données projet'!$E$11+1,1))-AVERAGE(OFFSET($H$3,0,0,'Données projet'!$E$11+1,1))</f>
        <v>330.33728077846268</v>
      </c>
      <c r="BJ63" s="59">
        <f t="shared" si="38"/>
        <v>358.38872754175208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41.045172374531923</v>
      </c>
      <c r="BQ63" s="21">
        <f>EXP(-LN(2)/25)*BQ62+(1-EXP(-LN(2)/25))/(LN(2)/25)*Calculateur!BL63*Calculateur!BN63*VLOOKUP('Données projet'!$B$11,Paramètres!$A$1:$I$89,3,0)*0.475*44/12</f>
        <v>25.161720527978236</v>
      </c>
      <c r="BR63" s="21">
        <f>EXP(-LN(2)/2)*BR62+(1-EXP(-LN(2)/2))/(LN(2)/2)*BL63*BO63*VLOOKUP('Données projet'!$B$11,Paramètres!$A$1:$I$89,3,0)*0.475*44/12</f>
        <v>4.3783987071598238</v>
      </c>
      <c r="BS63" s="22">
        <f t="shared" si="9"/>
        <v>70.58529160966998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289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288.99999999999994</v>
      </c>
      <c r="BZ63" s="13">
        <f>BY63*VLOOKUP('Données projet'!$B$12,Paramètres!$A$1:$I$89,3,0)*VLOOKUP('Données projet'!$B$12,Paramètres!$A$1:$I$89,5,0)</f>
        <v>275.01239999999996</v>
      </c>
      <c r="CA63" s="13">
        <f t="shared" si="39"/>
        <v>65.911885597558978</v>
      </c>
      <c r="CB63" s="20">
        <f t="shared" si="10"/>
        <v>593.77646408241515</v>
      </c>
      <c r="CC63" s="59">
        <f t="shared" si="11"/>
        <v>887.10979741574852</v>
      </c>
      <c r="CD63" s="59">
        <f ca="1">AVERAGE(OFFSET($CC$3,0,0,'Données projet'!$E$12+1,1))-AVERAGE(OFFSET($H$3,0,0,'Données projet'!$E$12+1,1))</f>
        <v>367.39143258674738</v>
      </c>
      <c r="CE63" s="59">
        <f t="shared" si="40"/>
        <v>376.02790658970292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23</v>
      </c>
      <c r="CH63" s="16">
        <f>IF(ISNA(VLOOKUP(A63,'Données projet'!$A$113:$I$133,5,0)),0%,VLOOKUP(A63,'Données projet'!$A$113:$I$133,5,0)*VLOOKUP('Données projet'!$B$12,Paramètres!$A$1:$I$89,7,0))</f>
        <v>0.34400000000000003</v>
      </c>
      <c r="CI63" s="16">
        <f>IF(ISNA(VLOOKUP(A63,'Données projet'!$A$113:$I$133,6,0)),0%,VLOOKUP(A63,'Données projet'!$A$113:$I$133,6,0)*VLOOKUP('Données projet'!$B$12,Paramètres!$A$1:$I$89,7,0))</f>
        <v>1.72E-2</v>
      </c>
      <c r="CJ63" s="16">
        <f>IF(ISNA(VLOOKUP(A63,'Données projet'!$A$113:$I$133,7,0)),0%,VLOOKUP(A63,'Données projet'!$A$113:$I$133,7,0))</f>
        <v>0.06</v>
      </c>
      <c r="CK63" s="21">
        <f>EXP(-LN(2)/35)*CK62+(1-EXP(-LN(2)/35))/(LN(2)/35)*CG63*CH63*VLOOKUP('Données projet'!$B$12,Paramètres!$A$1:$I$89,3,0)*0.475*44/12</f>
        <v>36.488359168124973</v>
      </c>
      <c r="CL63" s="21">
        <f>EXP(-LN(2)/25)*CL62+(1-EXP(-LN(2)/25))/(LN(2)/25)*Calculateur!CG63*Calculateur!CI63*VLOOKUP('Données projet'!$B$12,Paramètres!$A$1:$I$89,3,0)*0.475*44/12</f>
        <v>2.6121233046786565</v>
      </c>
      <c r="CM63" s="21">
        <f>EXP(-LN(2)/2)*CM62+(1-EXP(-LN(2)/2))/(LN(2)/2)*CG63*CJ63*VLOOKUP('Données projet'!$B$12,Paramètres!$A$1:$I$89,3,0)*0.475*44/12</f>
        <v>1.5073271885864359</v>
      </c>
      <c r="CN63" s="22">
        <f t="shared" si="12"/>
        <v>40.607809661390064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835</v>
      </c>
      <c r="CR63" s="12">
        <f>VLOOKUP(A63,'Données projet'!$A$139:$I$159,9,0)</f>
        <v>21</v>
      </c>
      <c r="CS63" s="12">
        <f t="array" ref="CS63">INDEX(CR:CR,MIN(IF(ISNUMBER(CR63:CR259),ROW(CR63:CR259),"")))</f>
        <v>21</v>
      </c>
      <c r="CT63" s="12">
        <f>IF('Données projet'!$A$140&gt;35,CT62+CS63-DB62,IF(A63&lt;'Données projet'!$A$140,$CQ$205^A63,IF(A63='Données projet'!$A$140,'Données projet'!$B$140,CT62+CS63-DB62)))</f>
        <v>835.00000000000011</v>
      </c>
      <c r="CU63" s="17">
        <f>CT63*VLOOKUP('Données projet'!$B$13,Paramètres!$A$1:$I$89,3,0)*VLOOKUP('Données projet'!$B$13,Paramètres!$A$1:$I$89,5,0)</f>
        <v>369.07000000000005</v>
      </c>
      <c r="CV63" s="13">
        <f t="shared" si="41"/>
        <v>85.477015853186089</v>
      </c>
      <c r="CW63" s="20">
        <f t="shared" si="13"/>
        <v>791.66938594429928</v>
      </c>
      <c r="CX63" s="59">
        <f t="shared" si="14"/>
        <v>1085.0027192776327</v>
      </c>
      <c r="CY63" s="59">
        <f ca="1">AVERAGE(OFFSET($CX$3,0,0,'Données projet'!$E$13+1,1))-AVERAGE(OFFSET($H$3,0,0,'Données projet'!$E$13+1,1))</f>
        <v>500.13646131618248</v>
      </c>
      <c r="CZ63" s="59">
        <f t="shared" si="42"/>
        <v>417.58036817539306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45</v>
      </c>
      <c r="DC63" s="16">
        <f>IF(ISNA(VLOOKUP(A63,'Données projet'!$A$139:$I$159,5,0)),0%,VLOOKUP(A63,'Données projet'!$A$139:$I$159,5,0)*VLOOKUP('Données projet'!$B$13,Paramètres!$A$1:$I$89,7,0))</f>
        <v>0.33</v>
      </c>
      <c r="DD63" s="16">
        <f>IF(ISNA(VLOOKUP(A63,'Données projet'!$A$139:$I$159,6,0)),0%,VLOOKUP(A63,'Données projet'!$A$139:$I$159,6,0)*VLOOKUP('Données projet'!$B$13,Paramètres!$A$1:$I$89,7,0))</f>
        <v>0.13750000000000001</v>
      </c>
      <c r="DE63" s="16">
        <f>IF(ISNA(VLOOKUP(A63,'Données projet'!$A$139:$I$159,7,0)),0%,VLOOKUP(A63,'Données projet'!$A$139:$I$159,7,0))</f>
        <v>0.15</v>
      </c>
      <c r="DF63" s="21">
        <f>EXP(-LN(2)/35)*DF62+(1-EXP(-LN(2)/35))/(LN(2)/35)*DB63*DC63*VLOOKUP('Données projet'!$B$13,Paramètres!$A$1:$I$89,3,0)*0.475*44/12</f>
        <v>64.187165359181591</v>
      </c>
      <c r="DG63" s="21">
        <f>EXP(-LN(2)/25)*DG62+(1-EXP(-LN(2)/25))/(LN(2)/25)*Calculateur!DB63*Calculateur!DD63*VLOOKUP('Données projet'!$B$13,Paramètres!$A$1:$I$89,3,0)*0.475*44/12</f>
        <v>36.375546159434876</v>
      </c>
      <c r="DH63" s="21">
        <f>EXP(-LN(2)/2)*DH62+(1-EXP(-LN(2)/2))/(LN(2)/2)*DB63*DE63*VLOOKUP('Données projet'!$B$13,Paramètres!$A$1:$I$89,3,0)*0.475*44/12</f>
        <v>4.2413423612099139</v>
      </c>
      <c r="DI63" s="22">
        <f t="shared" si="15"/>
        <v>104.80405387982638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371.7282125501186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26.348474921181356</v>
      </c>
      <c r="AA64" s="21">
        <f>EXP(-LN(2)/25)*AA63+(1-EXP(-LN(2)/25))/(LN(2)/25)*Calculateur!V64*Calculateur!X64*VLOOKUP('Données projet'!$B$9,Paramètres!$A$1:$I$89,3,0)*0.475*44/12</f>
        <v>1.9030102539294456</v>
      </c>
      <c r="AB64" s="21">
        <f>EXP(-LN(2)/2)*AB63+(1-EXP(-LN(2)/2))/(LN(2)/2)*V64*Y64*VLOOKUP('Données projet'!$B$9,Paramètres!$A$1:$I$89,3,0)*0.475*44/12</f>
        <v>0.92478803575994084</v>
      </c>
      <c r="AC64" s="22">
        <f t="shared" si="3"/>
        <v>29.176273210870743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282.00000000000011</v>
      </c>
      <c r="AJ64" s="13">
        <f>AI64*VLOOKUP('Données projet'!$B$10,Paramètres!$A$1:$I$89,3,0)*VLOOKUP('Données projet'!$B$10,Paramètres!$A$1:$I$89,5,0)</f>
        <v>189.16560000000007</v>
      </c>
      <c r="AK64" s="13">
        <f t="shared" si="35"/>
        <v>47.355431631295311</v>
      </c>
      <c r="AL64" s="20">
        <f t="shared" si="4"/>
        <v>411.94079675783945</v>
      </c>
      <c r="AM64" s="59">
        <f t="shared" si="5"/>
        <v>705.27413009117276</v>
      </c>
      <c r="AN64" s="59">
        <f ca="1">AVERAGE(OFFSET($AM$3,0,0,'Données projet'!$E$10+1,1))-AVERAGE(OFFSET($H$3,0,0,'Données projet'!$E$10+1,1))</f>
        <v>269.67260882504996</v>
      </c>
      <c r="AO64" s="59">
        <f t="shared" si="36"/>
        <v>272.13858200810074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28.796823495606919</v>
      </c>
      <c r="AV64" s="21">
        <f>EXP(-LN(2)/25)*AV63+(1-EXP(-LN(2)/25))/(LN(2)/25)*Calculateur!AQ64*Calculateur!AS64*VLOOKUP('Données projet'!$B$10,Paramètres!$A$1:$I$89,3,0)*0.475*44/12</f>
        <v>2.0948906131363372</v>
      </c>
      <c r="AW64" s="21">
        <f>EXP(-LN(2)/2)*AW63+(1-EXP(-LN(2)/2))/(LN(2)/2)*AQ64*AT64*VLOOKUP('Données projet'!$B$10,Paramètres!$A$1:$I$89,3,0)*0.475*44/12</f>
        <v>0.65927878638608317</v>
      </c>
      <c r="AX64" s="21">
        <f t="shared" si="6"/>
        <v>31.550992895129337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15.571428571428571</v>
      </c>
      <c r="BD64" s="12">
        <f>IF('Données projet'!$A$88&gt;35,BD63+BC64-BL63,IF(A64&lt;'Données projet'!$A$88,$BA$205^A64,IF(A64='Données projet'!$A$88,'Données projet'!$B$88,BD63+BC64-BL63)))</f>
        <v>509.85714285714266</v>
      </c>
      <c r="BE64" s="13">
        <f>BD64*VLOOKUP('Données projet'!$B$11,Paramètres!$A$1:$I$89,3,0)*VLOOKUP('Données projet'!$B$11,Paramètres!$A$1:$I$89,5,0)</f>
        <v>285.01014285714274</v>
      </c>
      <c r="BF64" s="13">
        <f t="shared" si="37"/>
        <v>68.024700750013466</v>
      </c>
      <c r="BG64" s="20">
        <f t="shared" si="7"/>
        <v>614.86901928246368</v>
      </c>
      <c r="BH64" s="59">
        <f t="shared" si="8"/>
        <v>908.20235261579705</v>
      </c>
      <c r="BI64" s="59">
        <f ca="1">AVERAGE(OFFSET($BH$3,0,0,'Données projet'!$E$11+1,1))-AVERAGE(OFFSET($H$3,0,0,'Données projet'!$E$11+1,1))</f>
        <v>330.33728077846268</v>
      </c>
      <c r="BJ64" s="59">
        <f t="shared" si="38"/>
        <v>358.38872754175208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40.240301579350493</v>
      </c>
      <c r="BQ64" s="21">
        <f>EXP(-LN(2)/25)*BQ63+(1-EXP(-LN(2)/25))/(LN(2)/25)*Calculateur!BL64*Calculateur!BN64*VLOOKUP('Données projet'!$B$11,Paramètres!$A$1:$I$89,3,0)*0.475*44/12</f>
        <v>24.473671956943296</v>
      </c>
      <c r="BR64" s="21">
        <f>EXP(-LN(2)/2)*BR63+(1-EXP(-LN(2)/2))/(LN(2)/2)*BL64*BO64*VLOOKUP('Données projet'!$B$11,Paramètres!$A$1:$I$89,3,0)*0.475*44/12</f>
        <v>3.0959954165711245</v>
      </c>
      <c r="BS64" s="22">
        <f t="shared" si="9"/>
        <v>67.809968952864921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273.19999999999993</v>
      </c>
      <c r="BZ64" s="13">
        <f>BY64*VLOOKUP('Données projet'!$B$12,Paramètres!$A$1:$I$89,3,0)*VLOOKUP('Données projet'!$B$12,Paramètres!$A$1:$I$89,5,0)</f>
        <v>259.97711999999996</v>
      </c>
      <c r="CA64" s="13">
        <f t="shared" si="39"/>
        <v>62.717500839785117</v>
      </c>
      <c r="CB64" s="20">
        <f t="shared" si="10"/>
        <v>562.02646462929238</v>
      </c>
      <c r="CC64" s="59">
        <f t="shared" si="11"/>
        <v>855.35979796262563</v>
      </c>
      <c r="CD64" s="59">
        <f ca="1">AVERAGE(OFFSET($CC$3,0,0,'Données projet'!$E$12+1,1))-AVERAGE(OFFSET($H$3,0,0,'Données projet'!$E$12+1,1))</f>
        <v>367.39143258674738</v>
      </c>
      <c r="CE64" s="59">
        <f t="shared" si="40"/>
        <v>376.02790658970292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35.772844700539565</v>
      </c>
      <c r="CL64" s="21">
        <f>EXP(-LN(2)/25)*CL63+(1-EXP(-LN(2)/25))/(LN(2)/25)*Calculateur!CG64*Calculateur!CI64*VLOOKUP('Données projet'!$B$12,Paramètres!$A$1:$I$89,3,0)*0.475*44/12</f>
        <v>2.5406946555466243</v>
      </c>
      <c r="CM64" s="21">
        <f>EXP(-LN(2)/2)*CM63+(1-EXP(-LN(2)/2))/(LN(2)/2)*CG64*CJ64*VLOOKUP('Données projet'!$B$12,Paramètres!$A$1:$I$89,3,0)*0.475*44/12</f>
        <v>1.0658412765163228</v>
      </c>
      <c r="CN64" s="22">
        <f t="shared" si="12"/>
        <v>39.379380632602512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17.600000000000001</v>
      </c>
      <c r="CT64" s="12">
        <f>IF('Données projet'!$A$140&gt;35,CT63+CS64-DB63,IF(A64&lt;'Données projet'!$A$140,$CQ$205^A64,IF(A64='Données projet'!$A$140,'Données projet'!$B$140,CT63+CS64-DB63)))</f>
        <v>807.60000000000014</v>
      </c>
      <c r="CU64" s="17">
        <f>CT64*VLOOKUP('Données projet'!$B$13,Paramètres!$A$1:$I$89,3,0)*VLOOKUP('Données projet'!$B$13,Paramètres!$A$1:$I$89,5,0)</f>
        <v>356.95920000000007</v>
      </c>
      <c r="CV64" s="13">
        <f t="shared" si="41"/>
        <v>82.993836678382237</v>
      </c>
      <c r="CW64" s="20">
        <f t="shared" si="13"/>
        <v>766.2515388815159</v>
      </c>
      <c r="CX64" s="59">
        <f t="shared" si="14"/>
        <v>1059.5848722148492</v>
      </c>
      <c r="CY64" s="59">
        <f ca="1">AVERAGE(OFFSET($CX$3,0,0,'Données projet'!$E$13+1,1))-AVERAGE(OFFSET($H$3,0,0,'Données projet'!$E$13+1,1))</f>
        <v>500.13646131618248</v>
      </c>
      <c r="CZ64" s="59">
        <f t="shared" si="42"/>
        <v>417.58036817539306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62.928494196793139</v>
      </c>
      <c r="DG64" s="21">
        <f>EXP(-LN(2)/25)*DG63+(1-EXP(-LN(2)/25))/(LN(2)/25)*Calculateur!DB64*Calculateur!DD64*VLOOKUP('Données projet'!$B$13,Paramètres!$A$1:$I$89,3,0)*0.475*44/12</f>
        <v>35.380854936798293</v>
      </c>
      <c r="DH64" s="21">
        <f>EXP(-LN(2)/2)*DH63+(1-EXP(-LN(2)/2))/(LN(2)/2)*DB64*DE64*VLOOKUP('Données projet'!$B$13,Paramètres!$A$1:$I$89,3,0)*0.475*44/12</f>
        <v>2.9990819449452935</v>
      </c>
      <c r="DI64" s="22">
        <f t="shared" si="15"/>
        <v>101.30843107853673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371.7282125501186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25.831797398959814</v>
      </c>
      <c r="AA65" s="21">
        <f>EXP(-LN(2)/25)*AA64+(1-EXP(-LN(2)/25))/(LN(2)/25)*Calculateur!V65*Calculateur!X65*VLOOKUP('Données projet'!$B$9,Paramètres!$A$1:$I$89,3,0)*0.475*44/12</f>
        <v>1.850972338460785</v>
      </c>
      <c r="AB65" s="21">
        <f>EXP(-LN(2)/2)*AB64+(1-EXP(-LN(2)/2))/(LN(2)/2)*V65*Y65*VLOOKUP('Données projet'!$B$9,Paramètres!$A$1:$I$89,3,0)*0.475*44/12</f>
        <v>0.65392389124604167</v>
      </c>
      <c r="AC65" s="22">
        <f t="shared" si="3"/>
        <v>28.336693628666641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289.00000000000011</v>
      </c>
      <c r="AJ65" s="13">
        <f>AI65*VLOOKUP('Données projet'!$B$10,Paramètres!$A$1:$I$89,3,0)*VLOOKUP('Données projet'!$B$10,Paramètres!$A$1:$I$89,5,0)</f>
        <v>193.86120000000008</v>
      </c>
      <c r="AK65" s="13">
        <f t="shared" si="35"/>
        <v>48.392607244332581</v>
      </c>
      <c r="AL65" s="20">
        <f t="shared" si="4"/>
        <v>421.92538095054601</v>
      </c>
      <c r="AM65" s="59">
        <f t="shared" si="5"/>
        <v>715.25871428387927</v>
      </c>
      <c r="AN65" s="59">
        <f ca="1">AVERAGE(OFFSET($AM$3,0,0,'Données projet'!$E$10+1,1))-AVERAGE(OFFSET($H$3,0,0,'Données projet'!$E$10+1,1))</f>
        <v>269.67260882504996</v>
      </c>
      <c r="AO65" s="59">
        <f t="shared" si="36"/>
        <v>272.13858200810074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28.232135351186066</v>
      </c>
      <c r="AV65" s="21">
        <f>EXP(-LN(2)/25)*AV64+(1-EXP(-LN(2)/25))/(LN(2)/25)*Calculateur!AQ65*Calculateur!AS65*VLOOKUP('Données projet'!$B$10,Paramètres!$A$1:$I$89,3,0)*0.475*44/12</f>
        <v>2.0376057191546146</v>
      </c>
      <c r="AW65" s="21">
        <f>EXP(-LN(2)/2)*AW64+(1-EXP(-LN(2)/2))/(LN(2)/2)*AQ65*AT65*VLOOKUP('Données projet'!$B$10,Paramètres!$A$1:$I$89,3,0)*0.475*44/12</f>
        <v>0.46618050054603677</v>
      </c>
      <c r="AX65" s="21">
        <f t="shared" si="6"/>
        <v>30.73592157088672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15.571428571428571</v>
      </c>
      <c r="BD65" s="12">
        <f>IF('Données projet'!$A$88&gt;35,BD64+BC65-BL64,IF(A65&lt;'Données projet'!$A$88,$BA$205^A65,IF(A65='Données projet'!$A$88,'Données projet'!$B$88,BD64+BC65-BL64)))</f>
        <v>525.42857142857122</v>
      </c>
      <c r="BE65" s="13">
        <f>BD65*VLOOKUP('Données projet'!$B$11,Paramètres!$A$1:$I$89,3,0)*VLOOKUP('Données projet'!$B$11,Paramètres!$A$1:$I$89,5,0)</f>
        <v>293.71457142857128</v>
      </c>
      <c r="BF65" s="13">
        <f t="shared" si="37"/>
        <v>69.857176825154781</v>
      </c>
      <c r="BG65" s="20">
        <f t="shared" si="7"/>
        <v>633.22079487523945</v>
      </c>
      <c r="BH65" s="59">
        <f t="shared" si="8"/>
        <v>926.55412820857282</v>
      </c>
      <c r="BI65" s="59">
        <f ca="1">AVERAGE(OFFSET($BH$3,0,0,'Données projet'!$E$11+1,1))-AVERAGE(OFFSET($H$3,0,0,'Données projet'!$E$11+1,1))</f>
        <v>330.33728077846268</v>
      </c>
      <c r="BJ65" s="59">
        <f t="shared" si="38"/>
        <v>358.38872754175208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39.451213809539858</v>
      </c>
      <c r="BQ65" s="21">
        <f>EXP(-LN(2)/25)*BQ64+(1-EXP(-LN(2)/25))/(LN(2)/25)*Calculateur!BL65*Calculateur!BN65*VLOOKUP('Données projet'!$B$11,Paramètres!$A$1:$I$89,3,0)*0.475*44/12</f>
        <v>23.804438110266208</v>
      </c>
      <c r="BR65" s="21">
        <f>EXP(-LN(2)/2)*BR64+(1-EXP(-LN(2)/2))/(LN(2)/2)*BL65*BO65*VLOOKUP('Données projet'!$B$11,Paramètres!$A$1:$I$89,3,0)*0.475*44/12</f>
        <v>2.1891993535799124</v>
      </c>
      <c r="BS65" s="22">
        <f t="shared" si="9"/>
        <v>65.444851273385979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280.39999999999992</v>
      </c>
      <c r="BZ65" s="13">
        <f>BY65*VLOOKUP('Données projet'!$B$12,Paramètres!$A$1:$I$89,3,0)*VLOOKUP('Données projet'!$B$12,Paramètres!$A$1:$I$89,5,0)</f>
        <v>266.82863999999995</v>
      </c>
      <c r="CA65" s="13">
        <f t="shared" si="39"/>
        <v>64.175764537605787</v>
      </c>
      <c r="CB65" s="20">
        <f t="shared" si="10"/>
        <v>576.49933790299667</v>
      </c>
      <c r="CC65" s="59">
        <f t="shared" si="11"/>
        <v>869.83267123633004</v>
      </c>
      <c r="CD65" s="59">
        <f ca="1">AVERAGE(OFFSET($CC$3,0,0,'Données projet'!$E$12+1,1))-AVERAGE(OFFSET($H$3,0,0,'Données projet'!$E$12+1,1))</f>
        <v>367.39143258674738</v>
      </c>
      <c r="CE65" s="59">
        <f t="shared" si="40"/>
        <v>376.02790658970292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35.071361035242774</v>
      </c>
      <c r="CL65" s="21">
        <f>EXP(-LN(2)/25)*CL64+(1-EXP(-LN(2)/25))/(LN(2)/25)*Calculateur!CG65*Calculateur!CI65*VLOOKUP('Données projet'!$B$12,Paramètres!$A$1:$I$89,3,0)*0.475*44/12</f>
        <v>2.4712192265813768</v>
      </c>
      <c r="CM65" s="21">
        <f>EXP(-LN(2)/2)*CM64+(1-EXP(-LN(2)/2))/(LN(2)/2)*CG65*CJ65*VLOOKUP('Données projet'!$B$12,Paramètres!$A$1:$I$89,3,0)*0.475*44/12</f>
        <v>0.75366359429321794</v>
      </c>
      <c r="CN65" s="22">
        <f t="shared" si="12"/>
        <v>38.296243856117364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17.600000000000001</v>
      </c>
      <c r="CT65" s="12">
        <f>IF('Données projet'!$A$140&gt;35,CT64+CS65-DB64,IF(A65&lt;'Données projet'!$A$140,$CQ$205^A65,IF(A65='Données projet'!$A$140,'Données projet'!$B$140,CT64+CS65-DB64)))</f>
        <v>825.20000000000016</v>
      </c>
      <c r="CU65" s="17">
        <f>CT65*VLOOKUP('Données projet'!$B$13,Paramètres!$A$1:$I$89,3,0)*VLOOKUP('Données projet'!$B$13,Paramètres!$A$1:$I$89,5,0)</f>
        <v>364.73840000000013</v>
      </c>
      <c r="CV65" s="13">
        <f t="shared" si="41"/>
        <v>84.58997726602351</v>
      </c>
      <c r="CW65" s="20">
        <f t="shared" si="13"/>
        <v>782.5802570716578</v>
      </c>
      <c r="CX65" s="59">
        <f t="shared" si="14"/>
        <v>1075.9135904049911</v>
      </c>
      <c r="CY65" s="59">
        <f ca="1">AVERAGE(OFFSET($CX$3,0,0,'Données projet'!$E$13+1,1))-AVERAGE(OFFSET($H$3,0,0,'Données projet'!$E$13+1,1))</f>
        <v>500.13646131618248</v>
      </c>
      <c r="CZ65" s="59">
        <f t="shared" si="42"/>
        <v>417.58036817539306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61.694504808185521</v>
      </c>
      <c r="DG65" s="21">
        <f>EXP(-LN(2)/25)*DG64+(1-EXP(-LN(2)/25))/(LN(2)/25)*Calculateur!DB65*Calculateur!DD65*VLOOKUP('Données projet'!$B$13,Paramètres!$A$1:$I$89,3,0)*0.475*44/12</f>
        <v>34.41336359795325</v>
      </c>
      <c r="DH65" s="21">
        <f>EXP(-LN(2)/2)*DH64+(1-EXP(-LN(2)/2))/(LN(2)/2)*DB65*DE65*VLOOKUP('Données projet'!$B$13,Paramètres!$A$1:$I$89,3,0)*0.475*44/12</f>
        <v>2.120671180604957</v>
      </c>
      <c r="DI65" s="22">
        <f t="shared" si="15"/>
        <v>98.228539586743736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371.7282125501186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25.325251607806866</v>
      </c>
      <c r="AA66" s="21">
        <f>EXP(-LN(2)/25)*AA65+(1-EXP(-LN(2)/25))/(LN(2)/25)*Calculateur!V66*Calculateur!X66*VLOOKUP('Données projet'!$B$9,Paramètres!$A$1:$I$89,3,0)*0.475*44/12</f>
        <v>1.80035740252717</v>
      </c>
      <c r="AB66" s="21">
        <f>EXP(-LN(2)/2)*AB65+(1-EXP(-LN(2)/2))/(LN(2)/2)*V66*Y66*VLOOKUP('Données projet'!$B$9,Paramètres!$A$1:$I$89,3,0)*0.475*44/12</f>
        <v>0.46239401787997053</v>
      </c>
      <c r="AC66" s="22">
        <f t="shared" si="3"/>
        <v>27.588003028214004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296.00000000000011</v>
      </c>
      <c r="AJ66" s="13">
        <f>AI66*VLOOKUP('Données projet'!$B$10,Paramètres!$A$1:$I$89,3,0)*VLOOKUP('Données projet'!$B$10,Paramètres!$A$1:$I$89,5,0)</f>
        <v>198.55680000000007</v>
      </c>
      <c r="AK66" s="13">
        <f t="shared" si="35"/>
        <v>49.426862484667936</v>
      </c>
      <c r="AL66" s="20">
        <f t="shared" si="4"/>
        <v>431.90487882746339</v>
      </c>
      <c r="AM66" s="59">
        <f t="shared" si="5"/>
        <v>725.23821216079671</v>
      </c>
      <c r="AN66" s="59">
        <f ca="1">AVERAGE(OFFSET($AM$3,0,0,'Données projet'!$E$10+1,1))-AVERAGE(OFFSET($H$3,0,0,'Données projet'!$E$10+1,1))</f>
        <v>269.67260882504996</v>
      </c>
      <c r="AO66" s="59">
        <f t="shared" si="36"/>
        <v>272.13858200810074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27.678520396851546</v>
      </c>
      <c r="AV66" s="21">
        <f>EXP(-LN(2)/25)*AV65+(1-EXP(-LN(2)/25))/(LN(2)/25)*Calculateur!AQ66*Calculateur!AS66*VLOOKUP('Données projet'!$B$10,Paramètres!$A$1:$I$89,3,0)*0.475*44/12</f>
        <v>1.981887283611304</v>
      </c>
      <c r="AW66" s="21">
        <f>EXP(-LN(2)/2)*AW65+(1-EXP(-LN(2)/2))/(LN(2)/2)*AQ66*AT66*VLOOKUP('Données projet'!$B$10,Paramètres!$A$1:$I$89,3,0)*0.475*44/12</f>
        <v>0.32963939319304164</v>
      </c>
      <c r="AX66" s="21">
        <f t="shared" si="6"/>
        <v>29.990047073655891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541</v>
      </c>
      <c r="BB66" s="12">
        <f>VLOOKUP(A66,'Données projet'!$A$87:$I$107,9,0)</f>
        <v>15.571428571428571</v>
      </c>
      <c r="BC66" s="12">
        <f t="array" ref="BC66">INDEX(BB:BB,MIN(IF(ISNUMBER(BB66:BB262),ROW(BB66:BB262),"")))</f>
        <v>15.571428571428571</v>
      </c>
      <c r="BD66" s="12">
        <f>IF('Données projet'!$A$88&gt;35,BD65+BC66-BL65,IF(A66&lt;'Données projet'!$A$88,$BA$205^A66,IF(A66='Données projet'!$A$88,'Données projet'!$B$88,BD65+BC66-BL65)))</f>
        <v>540.99999999999977</v>
      </c>
      <c r="BE66" s="13">
        <f>BD66*VLOOKUP('Données projet'!$B$11,Paramètres!$A$1:$I$89,3,0)*VLOOKUP('Données projet'!$B$11,Paramètres!$A$1:$I$89,5,0)</f>
        <v>302.41899999999987</v>
      </c>
      <c r="BF66" s="13">
        <f t="shared" si="37"/>
        <v>71.683341519451801</v>
      </c>
      <c r="BG66" s="20">
        <f t="shared" si="7"/>
        <v>651.56157814637822</v>
      </c>
      <c r="BH66" s="59">
        <f t="shared" si="8"/>
        <v>944.89491147971148</v>
      </c>
      <c r="BI66" s="59">
        <f ca="1">AVERAGE(OFFSET($BH$3,0,0,'Données projet'!$E$11+1,1))-AVERAGE(OFFSET($H$3,0,0,'Données projet'!$E$11+1,1))</f>
        <v>330.33728077846268</v>
      </c>
      <c r="BJ66" s="59">
        <f t="shared" si="38"/>
        <v>358.38872754175208</v>
      </c>
      <c r="BK66" s="15">
        <f>IF(ISNA(VLOOKUP(A66,'Données projet'!$A$87:$I$107,3,0)),0,VLOOKUP(A66,'Données projet'!$A$87:$I$107,3,0))</f>
        <v>6</v>
      </c>
      <c r="BL66" s="15">
        <f>IF(ISNA(VLOOKUP(A66,'Données projet'!$A$87:$I$107,4,0)),0,VLOOKUP(A66,'Données projet'!$A$87:$I$107,4,0))</f>
        <v>87</v>
      </c>
      <c r="BM66" s="16">
        <f>IF(ISNA(VLOOKUP(A66,'Données projet'!$A$87:$I$107,5,0)),0%,VLOOKUP(A66,'Données projet'!$A$87:$I$107,5,0)*VLOOKUP('Données projet'!$B$11,Paramètres!$A$1:$I$89,7,0))</f>
        <v>0.27500000000000002</v>
      </c>
      <c r="BN66" s="16">
        <f>IF(ISNA(VLOOKUP(A66,'Données projet'!$A$87:$I$107,6,0)),0%,VLOOKUP(A66,'Données projet'!$A$87:$I$107,6,0)*VLOOKUP('Données projet'!$B$11,Paramètres!$A$1:$I$89,7,0))</f>
        <v>0.11000000000000001</v>
      </c>
      <c r="BO66" s="16">
        <f>IF(ISNA(VLOOKUP(A66,'Données projet'!$A$87:$I$107,7,0)),0%,VLOOKUP(A66,'Données projet'!$A$87:$I$107,7,0))</f>
        <v>0.3</v>
      </c>
      <c r="BP66" s="21">
        <f>EXP(-LN(2)/35)*BP65+(1-EXP(-LN(2)/35))/(LN(2)/35)*BL66*BM66*VLOOKUP('Données projet'!$B$11,Paramètres!$A$1:$I$89,3,0)*0.475*44/12</f>
        <v>56.419172088981767</v>
      </c>
      <c r="BQ66" s="21">
        <f>EXP(-LN(2)/25)*BQ65+(1-EXP(-LN(2)/25))/(LN(2)/25)*Calculateur!BL66*Calculateur!BN66*VLOOKUP('Données projet'!$B$11,Paramètres!$A$1:$I$89,3,0)*0.475*44/12</f>
        <v>30.222191373641841</v>
      </c>
      <c r="BR66" s="21">
        <f>EXP(-LN(2)/2)*BR65+(1-EXP(-LN(2)/2))/(LN(2)/2)*BL66*BO66*VLOOKUP('Données projet'!$B$11,Paramètres!$A$1:$I$89,3,0)*0.475*44/12</f>
        <v>18.067153705966948</v>
      </c>
      <c r="BS66" s="22">
        <f t="shared" si="9"/>
        <v>104.70851716859056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287.59999999999991</v>
      </c>
      <c r="BZ66" s="13">
        <f>BY66*VLOOKUP('Données projet'!$B$12,Paramètres!$A$1:$I$89,3,0)*VLOOKUP('Données projet'!$B$12,Paramètres!$A$1:$I$89,5,0)</f>
        <v>273.68015999999994</v>
      </c>
      <c r="CA66" s="13">
        <f t="shared" si="39"/>
        <v>65.629675672026437</v>
      </c>
      <c r="CB66" s="20">
        <f t="shared" si="10"/>
        <v>590.96463046211261</v>
      </c>
      <c r="CC66" s="59">
        <f t="shared" si="11"/>
        <v>884.29796379544587</v>
      </c>
      <c r="CD66" s="59">
        <f ca="1">AVERAGE(OFFSET($CC$3,0,0,'Données projet'!$E$12+1,1))-AVERAGE(OFFSET($H$3,0,0,'Données projet'!$E$12+1,1))</f>
        <v>367.39143258674738</v>
      </c>
      <c r="CE66" s="59">
        <f t="shared" si="40"/>
        <v>376.02790658970292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34.383633036759669</v>
      </c>
      <c r="CL66" s="21">
        <f>EXP(-LN(2)/25)*CL65+(1-EXP(-LN(2)/25))/(LN(2)/25)*Calculateur!CG66*Calculateur!CI66*VLOOKUP('Données projet'!$B$12,Paramètres!$A$1:$I$89,3,0)*0.475*44/12</f>
        <v>2.4036436068747382</v>
      </c>
      <c r="CM66" s="21">
        <f>EXP(-LN(2)/2)*CM65+(1-EXP(-LN(2)/2))/(LN(2)/2)*CG66*CJ66*VLOOKUP('Données projet'!$B$12,Paramètres!$A$1:$I$89,3,0)*0.475*44/12</f>
        <v>0.53292063825816138</v>
      </c>
      <c r="CN66" s="22">
        <f t="shared" si="12"/>
        <v>37.320197281892568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17.600000000000001</v>
      </c>
      <c r="CT66" s="12">
        <f>IF('Données projet'!$A$140&gt;35,CT65+CS66-DB65,IF(A66&lt;'Données projet'!$A$140,$CQ$205^A66,IF(A66='Données projet'!$A$140,'Données projet'!$B$140,CT65+CS66-DB65)))</f>
        <v>842.80000000000018</v>
      </c>
      <c r="CU66" s="17">
        <f>CT66*VLOOKUP('Données projet'!$B$13,Paramètres!$A$1:$I$89,3,0)*VLOOKUP('Données projet'!$B$13,Paramètres!$A$1:$I$89,5,0)</f>
        <v>372.51760000000013</v>
      </c>
      <c r="CV66" s="13">
        <f t="shared" si="41"/>
        <v>86.182159875475833</v>
      </c>
      <c r="CW66" s="20">
        <f t="shared" si="13"/>
        <v>798.90208178312059</v>
      </c>
      <c r="CX66" s="59">
        <f t="shared" si="14"/>
        <v>1092.2354151164539</v>
      </c>
      <c r="CY66" s="59">
        <f ca="1">AVERAGE(OFFSET($CX$3,0,0,'Données projet'!$E$13+1,1))-AVERAGE(OFFSET($H$3,0,0,'Données projet'!$E$13+1,1))</f>
        <v>500.13646131618248</v>
      </c>
      <c r="CZ66" s="59">
        <f t="shared" si="42"/>
        <v>417.58036817539306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60.48471319882929</v>
      </c>
      <c r="DG66" s="21">
        <f>EXP(-LN(2)/25)*DG65+(1-EXP(-LN(2)/25))/(LN(2)/25)*Calculateur!DB66*Calculateur!DD66*VLOOKUP('Données projet'!$B$13,Paramètres!$A$1:$I$89,3,0)*0.475*44/12</f>
        <v>33.472328360647083</v>
      </c>
      <c r="DH66" s="21">
        <f>EXP(-LN(2)/2)*DH65+(1-EXP(-LN(2)/2))/(LN(2)/2)*DB66*DE66*VLOOKUP('Données projet'!$B$13,Paramètres!$A$1:$I$89,3,0)*0.475*44/12</f>
        <v>1.4995409724726467</v>
      </c>
      <c r="DI66" s="22">
        <f t="shared" si="15"/>
        <v>95.456582531949024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371.7282125501186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24.828638870656</v>
      </c>
      <c r="AA67" s="21">
        <f>EXP(-LN(2)/25)*AA66+(1-EXP(-LN(2)/25))/(LN(2)/25)*Calculateur!V67*Calculateur!X67*VLOOKUP('Données projet'!$B$9,Paramètres!$A$1:$I$89,3,0)*0.475*44/12</f>
        <v>1.7511265346783835</v>
      </c>
      <c r="AB67" s="21">
        <f>EXP(-LN(2)/2)*AB66+(1-EXP(-LN(2)/2))/(LN(2)/2)*V67*Y67*VLOOKUP('Données projet'!$B$9,Paramètres!$A$1:$I$89,3,0)*0.475*44/12</f>
        <v>0.32696194562302089</v>
      </c>
      <c r="AC67" s="22">
        <f t="shared" si="3"/>
        <v>26.906727350957407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303.00000000000011</v>
      </c>
      <c r="AJ67" s="13">
        <f>AI67*VLOOKUP('Données projet'!$B$10,Paramètres!$A$1:$I$89,3,0)*VLOOKUP('Données projet'!$B$10,Paramètres!$A$1:$I$89,5,0)</f>
        <v>203.25240000000008</v>
      </c>
      <c r="AK67" s="13">
        <f t="shared" si="35"/>
        <v>50.458274362577384</v>
      </c>
      <c r="AL67" s="20">
        <f t="shared" si="4"/>
        <v>441.8794245148224</v>
      </c>
      <c r="AM67" s="59">
        <f t="shared" si="5"/>
        <v>735.21275784815566</v>
      </c>
      <c r="AN67" s="59">
        <f ca="1">AVERAGE(OFFSET($AM$3,0,0,'Données projet'!$E$10+1,1))-AVERAGE(OFFSET($H$3,0,0,'Données projet'!$E$10+1,1))</f>
        <v>269.67260882504996</v>
      </c>
      <c r="AO67" s="59">
        <f t="shared" si="36"/>
        <v>272.13858200810074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27.135761494099746</v>
      </c>
      <c r="AV67" s="21">
        <f>EXP(-LN(2)/25)*AV66+(1-EXP(-LN(2)/25))/(LN(2)/25)*Calculateur!AQ67*Calculateur!AS67*VLOOKUP('Données projet'!$B$10,Paramètres!$A$1:$I$89,3,0)*0.475*44/12</f>
        <v>1.9276924716180304</v>
      </c>
      <c r="AW67" s="21">
        <f>EXP(-LN(2)/2)*AW66+(1-EXP(-LN(2)/2))/(LN(2)/2)*AQ67*AT67*VLOOKUP('Données projet'!$B$10,Paramètres!$A$1:$I$89,3,0)*0.475*44/12</f>
        <v>0.23309025027301841</v>
      </c>
      <c r="AX67" s="21">
        <f t="shared" si="6"/>
        <v>29.296544215990796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453.99999999999977</v>
      </c>
      <c r="BE67" s="13">
        <f>BD67*VLOOKUP('Données projet'!$B$11,Paramètres!$A$1:$I$89,3,0)*VLOOKUP('Données projet'!$B$11,Paramètres!$A$1:$I$89,5,0)</f>
        <v>253.78599999999986</v>
      </c>
      <c r="BF67" s="13">
        <f t="shared" si="37"/>
        <v>61.395945216950906</v>
      </c>
      <c r="BG67" s="20">
        <f t="shared" si="7"/>
        <v>548.94188791952263</v>
      </c>
      <c r="BH67" s="59">
        <f t="shared" si="8"/>
        <v>842.275221252856</v>
      </c>
      <c r="BI67" s="59">
        <f ca="1">AVERAGE(OFFSET($BH$3,0,0,'Données projet'!$E$11+1,1))-AVERAGE(OFFSET($H$3,0,0,'Données projet'!$E$11+1,1))</f>
        <v>330.33728077846268</v>
      </c>
      <c r="BJ67" s="59">
        <f t="shared" si="38"/>
        <v>358.38872754175208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55.312826536613876</v>
      </c>
      <c r="BQ67" s="21">
        <f>EXP(-LN(2)/25)*BQ66+(1-EXP(-LN(2)/25))/(LN(2)/25)*Calculateur!BL67*Calculateur!BN67*VLOOKUP('Données projet'!$B$11,Paramètres!$A$1:$I$89,3,0)*0.475*44/12</f>
        <v>29.395763961213635</v>
      </c>
      <c r="BR67" s="21">
        <f>EXP(-LN(2)/2)*BR66+(1-EXP(-LN(2)/2))/(LN(2)/2)*BL67*BO67*VLOOKUP('Données projet'!$B$11,Paramètres!$A$1:$I$89,3,0)*0.475*44/12</f>
        <v>12.775406902228893</v>
      </c>
      <c r="BS67" s="22">
        <f t="shared" si="9"/>
        <v>97.48399740005641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294.7999999999999</v>
      </c>
      <c r="BZ67" s="13">
        <f>BY67*VLOOKUP('Données projet'!$B$12,Paramètres!$A$1:$I$89,3,0)*VLOOKUP('Données projet'!$B$12,Paramètres!$A$1:$I$89,5,0)</f>
        <v>280.53167999999994</v>
      </c>
      <c r="CA67" s="13">
        <f t="shared" si="39"/>
        <v>67.079355740650215</v>
      </c>
      <c r="CB67" s="20">
        <f t="shared" si="10"/>
        <v>605.42255391496565</v>
      </c>
      <c r="CC67" s="59">
        <f t="shared" si="11"/>
        <v>898.7558872482989</v>
      </c>
      <c r="CD67" s="59">
        <f ca="1">AVERAGE(OFFSET($CC$3,0,0,'Données projet'!$E$12+1,1))-AVERAGE(OFFSET($H$3,0,0,'Données projet'!$E$12+1,1))</f>
        <v>367.39143258674738</v>
      </c>
      <c r="CE67" s="59">
        <f t="shared" si="40"/>
        <v>376.02790658970292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33.709390964854158</v>
      </c>
      <c r="CL67" s="21">
        <f>EXP(-LN(2)/25)*CL66+(1-EXP(-LN(2)/25))/(LN(2)/25)*Calculateur!CG67*Calculateur!CI67*VLOOKUP('Données projet'!$B$12,Paramètres!$A$1:$I$89,3,0)*0.475*44/12</f>
        <v>2.337915846042625</v>
      </c>
      <c r="CM67" s="21">
        <f>EXP(-LN(2)/2)*CM66+(1-EXP(-LN(2)/2))/(LN(2)/2)*CG67*CJ67*VLOOKUP('Données projet'!$B$12,Paramètres!$A$1:$I$89,3,0)*0.475*44/12</f>
        <v>0.37683179714660897</v>
      </c>
      <c r="CN67" s="22">
        <f t="shared" si="12"/>
        <v>36.424138608043393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17.600000000000001</v>
      </c>
      <c r="CT67" s="12">
        <f>IF('Données projet'!$A$140&gt;35,CT66+CS67-DB66,IF(A67&lt;'Données projet'!$A$140,$CQ$205^A67,IF(A67='Données projet'!$A$140,'Données projet'!$B$140,CT66+CS67-DB66)))</f>
        <v>860.4000000000002</v>
      </c>
      <c r="CU67" s="17">
        <f>CT67*VLOOKUP('Données projet'!$B$13,Paramètres!$A$1:$I$89,3,0)*VLOOKUP('Données projet'!$B$13,Paramètres!$A$1:$I$89,5,0)</f>
        <v>380.29680000000019</v>
      </c>
      <c r="CV67" s="13">
        <f t="shared" si="41"/>
        <v>87.770476682637394</v>
      </c>
      <c r="CW67" s="20">
        <f t="shared" si="13"/>
        <v>815.21717355559383</v>
      </c>
      <c r="CX67" s="59">
        <f t="shared" si="14"/>
        <v>1108.5505068889272</v>
      </c>
      <c r="CY67" s="59">
        <f ca="1">AVERAGE(OFFSET($CX$3,0,0,'Données projet'!$E$13+1,1))-AVERAGE(OFFSET($H$3,0,0,'Données projet'!$E$13+1,1))</f>
        <v>500.13646131618248</v>
      </c>
      <c r="CZ67" s="59">
        <f t="shared" si="42"/>
        <v>417.58036817539306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59.298644865032514</v>
      </c>
      <c r="DG67" s="21">
        <f>EXP(-LN(2)/25)*DG66+(1-EXP(-LN(2)/25))/(LN(2)/25)*Calculateur!DB67*Calculateur!DD67*VLOOKUP('Données projet'!$B$13,Paramètres!$A$1:$I$89,3,0)*0.475*44/12</f>
        <v>32.557025781391943</v>
      </c>
      <c r="DH67" s="21">
        <f>EXP(-LN(2)/2)*DH66+(1-EXP(-LN(2)/2))/(LN(2)/2)*DB67*DE67*VLOOKUP('Données projet'!$B$13,Paramètres!$A$1:$I$89,3,0)*0.475*44/12</f>
        <v>1.0603355903024785</v>
      </c>
      <c r="DI67" s="22">
        <f t="shared" si="15"/>
        <v>92.916006236726929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371.7282125501186</v>
      </c>
      <c r="T68" s="59">
        <f t="shared" si="34"/>
        <v>231.36959598460686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0.34400000000000003</v>
      </c>
      <c r="X68" s="16">
        <f>IF(ISNA(VLOOKUP(A68,'Données projet'!$A$35:$I$55,6,0)),0%,VLOOKUP(A68,'Données projet'!$A$35:$I$55,6,0)*VLOOKUP('Données projet'!$B$9,Paramètres!$A$1:$I$89,7,0))</f>
        <v>1.72E-2</v>
      </c>
      <c r="Y68" s="16">
        <f>IF(ISNA(VLOOKUP(A68,'Données projet'!$A$35:$I$55,7,0)),0%,VLOOKUP(A68,'Données projet'!$A$35:$I$55,7,0))</f>
        <v>0.06</v>
      </c>
      <c r="Z68" s="21">
        <f>EXP(-LN(2)/35)*Z67+(1-EXP(-LN(2)/35))/(LN(2)/35)*V68*W68*VLOOKUP('Données projet'!$B$9,Paramètres!$A$1:$I$89,3,0)*0.475*44/12</f>
        <v>31.567423032452613</v>
      </c>
      <c r="AA68" s="21">
        <f>EXP(-LN(2)/25)*AA67+(1-EXP(-LN(2)/25))/(LN(2)/25)*Calculateur!V68*Calculateur!X68*VLOOKUP('Données projet'!$B$9,Paramètres!$A$1:$I$89,3,0)*0.475*44/12</f>
        <v>2.0631023102435191</v>
      </c>
      <c r="AB68" s="21">
        <f>EXP(-LN(2)/2)*AB67+(1-EXP(-LN(2)/2))/(LN(2)/2)*V68*Y68*VLOOKUP('Données projet'!$B$9,Paramètres!$A$1:$I$89,3,0)*0.475*44/12</f>
        <v>1.3068629808820287</v>
      </c>
      <c r="AC68" s="22">
        <f t="shared" ref="AC68:AC131" si="57">SUM(Z68:AB68)</f>
        <v>34.937388323578162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310</v>
      </c>
      <c r="AG68" s="12">
        <f>VLOOKUP(A68,'Données projet'!$A$61:$I$81,9,0)</f>
        <v>7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310.00000000000011</v>
      </c>
      <c r="AJ68" s="13">
        <f>AI68*VLOOKUP('Données projet'!$B$10,Paramètres!$A$1:$I$89,3,0)*VLOOKUP('Données projet'!$B$10,Paramètres!$A$1:$I$89,5,0)</f>
        <v>207.94800000000006</v>
      </c>
      <c r="AK68" s="13">
        <f t="shared" si="35"/>
        <v>51.486916127068881</v>
      </c>
      <c r="AL68" s="20">
        <f t="shared" ref="AL68:AL131" si="58">(AJ68+AK68)*0.475*44/12</f>
        <v>451.84914558797846</v>
      </c>
      <c r="AM68" s="59">
        <f t="shared" ref="AM68:AM131" si="59">AL68+(AD68+AE68)*44/12</f>
        <v>745.18247892131171</v>
      </c>
      <c r="AN68" s="59">
        <f ca="1">AVERAGE(OFFSET($AM$3,0,0,'Données projet'!$E$10+1,1))-AVERAGE(OFFSET($H$3,0,0,'Données projet'!$E$10+1,1))</f>
        <v>269.67260882504996</v>
      </c>
      <c r="AO68" s="59">
        <f t="shared" si="36"/>
        <v>272.13858200810074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20</v>
      </c>
      <c r="AR68" s="16">
        <f>IF(ISNA(VLOOKUP(A68,'Données projet'!$A$61:$I$81,5,0)),0%,VLOOKUP(A68,'Données projet'!$A$61:$I$81,5,0)*VLOOKUP('Données projet'!$B$10,Paramètres!$A$1:$I$89,7,0))</f>
        <v>0.42400000000000004</v>
      </c>
      <c r="AS68" s="16">
        <f>IF(ISNA(VLOOKUP(A68,'Données projet'!$A$61:$I$81,6,0)),0%,VLOOKUP(A68,'Données projet'!$A$61:$I$81,6,0)*VLOOKUP('Données projet'!$B$10,Paramètres!$A$1:$I$89,7,0))</f>
        <v>2.12E-2</v>
      </c>
      <c r="AT68" s="16">
        <f>IF(ISNA(VLOOKUP(A68,'Données projet'!$A$61:$I$81,7,0)),0%,VLOOKUP(A68,'Données projet'!$A$61:$I$81,7,0))</f>
        <v>0.06</v>
      </c>
      <c r="AU68" s="21">
        <f>EXP(-LN(2)/35)*AU67+(1-EXP(-LN(2)/35))/(LN(2)/35)*AQ68*AR68*VLOOKUP('Données projet'!$B$10,Paramètres!$A$1:$I$89,3,0)*0.475*44/12</f>
        <v>32.891985781789828</v>
      </c>
      <c r="AV68" s="21">
        <f>EXP(-LN(2)/25)*AV67+(1-EXP(-LN(2)/25))/(LN(2)/25)*Calculateur!AQ68*Calculateur!AS68*VLOOKUP('Données projet'!$B$10,Paramètres!$A$1:$I$89,3,0)*0.475*44/12</f>
        <v>2.1881586410440619</v>
      </c>
      <c r="AW68" s="21">
        <f>EXP(-LN(2)/2)*AW67+(1-EXP(-LN(2)/2))/(LN(2)/2)*AQ68*AT68*VLOOKUP('Données projet'!$B$10,Paramètres!$A$1:$I$89,3,0)*0.475*44/12</f>
        <v>0.92432112177727421</v>
      </c>
      <c r="AX68" s="21">
        <f t="shared" ref="AX68:AX131" si="60">SUM(AU68:AW68)</f>
        <v>36.004465544611165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453.99999999999977</v>
      </c>
      <c r="BE68" s="13">
        <f>BD68*VLOOKUP('Données projet'!$B$11,Paramètres!$A$1:$I$89,3,0)*VLOOKUP('Données projet'!$B$11,Paramètres!$A$1:$I$89,5,0)</f>
        <v>253.78599999999986</v>
      </c>
      <c r="BF68" s="13">
        <f t="shared" si="37"/>
        <v>61.395945216950906</v>
      </c>
      <c r="BG68" s="20">
        <f t="shared" ref="BG68:BG131" si="61">(BE68+BF68)*0.475*44/12</f>
        <v>548.94188791952263</v>
      </c>
      <c r="BH68" s="59">
        <f t="shared" ref="BH68:BH131" si="62">BG68+(AY68+AZ68)*44/12</f>
        <v>842.275221252856</v>
      </c>
      <c r="BI68" s="59">
        <f ca="1">AVERAGE(OFFSET($BH$3,0,0,'Données projet'!$E$11+1,1))-AVERAGE(OFFSET($H$3,0,0,'Données projet'!$E$11+1,1))</f>
        <v>330.33728077846268</v>
      </c>
      <c r="BJ68" s="59">
        <f t="shared" si="38"/>
        <v>358.38872754175208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54.228175745723767</v>
      </c>
      <c r="BQ68" s="21">
        <f>EXP(-LN(2)/25)*BQ67+(1-EXP(-LN(2)/25))/(LN(2)/25)*Calculateur!BL68*Calculateur!BN68*VLOOKUP('Données projet'!$B$11,Paramètres!$A$1:$I$89,3,0)*0.475*44/12</f>
        <v>28.591935249838208</v>
      </c>
      <c r="BR68" s="21">
        <f>EXP(-LN(2)/2)*BR67+(1-EXP(-LN(2)/2))/(LN(2)/2)*BL68*BO68*VLOOKUP('Données projet'!$B$11,Paramètres!$A$1:$I$89,3,0)*0.475*44/12</f>
        <v>9.0335768529834759</v>
      </c>
      <c r="BS68" s="22">
        <f t="shared" ref="BS68:BS131" si="63">SUM(BP68:BR68)</f>
        <v>91.853687848545448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302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301.99999999999989</v>
      </c>
      <c r="BZ68" s="13">
        <f>BY68*VLOOKUP('Données projet'!$B$12,Paramètres!$A$1:$I$89,3,0)*VLOOKUP('Données projet'!$B$12,Paramètres!$A$1:$I$89,5,0)</f>
        <v>287.38319999999987</v>
      </c>
      <c r="CA68" s="13">
        <f t="shared" si="39"/>
        <v>68.524919967962703</v>
      </c>
      <c r="CB68" s="20">
        <f t="shared" ref="CB68:CB131" si="64">(BZ68+CA68)*0.475*44/12</f>
        <v>619.87330894420143</v>
      </c>
      <c r="CC68" s="59">
        <f t="shared" ref="CC68:CC131" si="65">CB68+(BT68+BU68)*44/12</f>
        <v>913.20664227753468</v>
      </c>
      <c r="CD68" s="59">
        <f ca="1">AVERAGE(OFFSET($CC$3,0,0,'Données projet'!$E$12+1,1))-AVERAGE(OFFSET($H$3,0,0,'Données projet'!$E$12+1,1))</f>
        <v>367.39143258674738</v>
      </c>
      <c r="CE68" s="59">
        <f t="shared" si="40"/>
        <v>376.02790658970292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23</v>
      </c>
      <c r="CH68" s="16">
        <f>IF(ISNA(VLOOKUP(A68,'Données projet'!$A$113:$I$133,5,0)),0%,VLOOKUP(A68,'Données projet'!$A$113:$I$133,5,0)*VLOOKUP('Données projet'!$B$12,Paramètres!$A$1:$I$89,7,0))</f>
        <v>0.34400000000000003</v>
      </c>
      <c r="CI68" s="16">
        <f>IF(ISNA(VLOOKUP(A68,'Données projet'!$A$113:$I$133,6,0)),0%,VLOOKUP(A68,'Données projet'!$A$113:$I$133,6,0)*VLOOKUP('Données projet'!$B$12,Paramètres!$A$1:$I$89,7,0))</f>
        <v>1.72E-2</v>
      </c>
      <c r="CJ68" s="16">
        <f>IF(ISNA(VLOOKUP(A68,'Données projet'!$A$113:$I$133,7,0)),0%,VLOOKUP(A68,'Données projet'!$A$113:$I$133,7,0))</f>
        <v>0.06</v>
      </c>
      <c r="CK68" s="21">
        <f>EXP(-LN(2)/35)*CK67+(1-EXP(-LN(2)/35))/(LN(2)/35)*CG68*CH68*VLOOKUP('Données projet'!$B$12,Paramètres!$A$1:$I$89,3,0)*0.475*44/12</f>
        <v>41.371522300081708</v>
      </c>
      <c r="CL68" s="21">
        <f>EXP(-LN(2)/25)*CL67+(1-EXP(-LN(2)/25))/(LN(2)/25)*Calculateur!CG68*Calculateur!CI68*VLOOKUP('Données projet'!$B$12,Paramètres!$A$1:$I$89,3,0)*0.475*44/12</f>
        <v>2.6885044398282791</v>
      </c>
      <c r="CM68" s="21">
        <f>EXP(-LN(2)/2)*CM67+(1-EXP(-LN(2)/2))/(LN(2)/2)*CG68*CJ68*VLOOKUP('Données projet'!$B$12,Paramètres!$A$1:$I$89,3,0)*0.475*44/12</f>
        <v>1.5055074116041931</v>
      </c>
      <c r="CN68" s="22">
        <f t="shared" ref="CN68:CN131" si="66">SUM(CK68:CM68)</f>
        <v>45.565534151514179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878</v>
      </c>
      <c r="CR68" s="12">
        <f>VLOOKUP(A68,'Données projet'!$A$139:$I$159,9,0)</f>
        <v>17.600000000000001</v>
      </c>
      <c r="CS68" s="12">
        <f t="array" ref="CS68">INDEX(CR:CR,MIN(IF(ISNUMBER(CR68:CR264),ROW(CR68:CR264),"")))</f>
        <v>17.600000000000001</v>
      </c>
      <c r="CT68" s="12">
        <f>IF('Données projet'!$A$140&gt;35,CT67+CS68-DB67,IF(A68&lt;'Données projet'!$A$140,$CQ$205^A68,IF(A68='Données projet'!$A$140,'Données projet'!$B$140,CT67+CS68-DB67)))</f>
        <v>878.00000000000023</v>
      </c>
      <c r="CU68" s="17">
        <f>CT68*VLOOKUP('Données projet'!$B$13,Paramètres!$A$1:$I$89,3,0)*VLOOKUP('Données projet'!$B$13,Paramètres!$A$1:$I$89,5,0)</f>
        <v>388.07600000000014</v>
      </c>
      <c r="CV68" s="13">
        <f t="shared" si="41"/>
        <v>89.355015876818186</v>
      </c>
      <c r="CW68" s="20">
        <f t="shared" ref="CW68:CW131" si="67">(CU68+CV68)*0.475*44/12</f>
        <v>831.52568598545849</v>
      </c>
      <c r="CX68" s="59">
        <f t="shared" ref="CX68:CX131" si="68">CW68+(CO68+CP68)*44/12</f>
        <v>1124.8590193187918</v>
      </c>
      <c r="CY68" s="59">
        <f ca="1">AVERAGE(OFFSET($CX$3,0,0,'Données projet'!$E$13+1,1))-AVERAGE(OFFSET($H$3,0,0,'Données projet'!$E$13+1,1))</f>
        <v>500.13646131618248</v>
      </c>
      <c r="CZ68" s="59">
        <f t="shared" si="42"/>
        <v>417.58036817539306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40</v>
      </c>
      <c r="DC68" s="16">
        <f>IF(ISNA(VLOOKUP(A68,'Données projet'!$A$139:$I$159,5,0)),0%,VLOOKUP(A68,'Données projet'!$A$139:$I$159,5,0)*VLOOKUP('Données projet'!$B$13,Paramètres!$A$1:$I$89,7,0))</f>
        <v>0.38500000000000001</v>
      </c>
      <c r="DD68" s="16">
        <f>IF(ISNA(VLOOKUP(A68,'Données projet'!$A$139:$I$159,6,0)),0%,VLOOKUP(A68,'Données projet'!$A$139:$I$159,6,0)*VLOOKUP('Données projet'!$B$13,Paramètres!$A$1:$I$89,7,0))</f>
        <v>0.13750000000000001</v>
      </c>
      <c r="DE68" s="16">
        <f>IF(ISNA(VLOOKUP(A68,'Données projet'!$A$139:$I$159,7,0)),0%,VLOOKUP(A68,'Données projet'!$A$139:$I$159,7,0))</f>
        <v>0.15</v>
      </c>
      <c r="DF68" s="21">
        <f>EXP(-LN(2)/35)*DF67+(1-EXP(-LN(2)/35))/(LN(2)/35)*DB68*DC68*VLOOKUP('Données projet'!$B$13,Paramètres!$A$1:$I$89,3,0)*0.475*44/12</f>
        <v>67.165493543117108</v>
      </c>
      <c r="DG68" s="21">
        <f>EXP(-LN(2)/25)*DG67+(1-EXP(-LN(2)/25))/(LN(2)/25)*Calculateur!DB68*Calculateur!DD68*VLOOKUP('Données projet'!$B$13,Paramètres!$A$1:$I$89,3,0)*0.475*44/12</f>
        <v>34.878932816260154</v>
      </c>
      <c r="DH68" s="21">
        <f>EXP(-LN(2)/2)*DH67+(1-EXP(-LN(2)/2))/(LN(2)/2)*DB68*DE68*VLOOKUP('Données projet'!$B$13,Paramètres!$A$1:$I$89,3,0)*0.475*44/12</f>
        <v>3.7524505392765106</v>
      </c>
      <c r="DI68" s="22">
        <f t="shared" ref="DI68:DI131" si="69">SUM(DF68:DH68)</f>
        <v>105.79687689865378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371.7282125501186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30.948405121013071</v>
      </c>
      <c r="AA69" s="21">
        <f>EXP(-LN(2)/25)*AA68+(1-EXP(-LN(2)/25))/(LN(2)/25)*Calculateur!V69*Calculateur!X69*VLOOKUP('Données projet'!$B$9,Paramètres!$A$1:$I$89,3,0)*0.475*44/12</f>
        <v>2.0066866690760747</v>
      </c>
      <c r="AB69" s="21">
        <f>EXP(-LN(2)/2)*AB68+(1-EXP(-LN(2)/2))/(LN(2)/2)*V69*Y69*VLOOKUP('Données projet'!$B$9,Paramètres!$A$1:$I$89,3,0)*0.475*44/12</f>
        <v>0.92409167586334795</v>
      </c>
      <c r="AC69" s="22">
        <f t="shared" si="57"/>
        <v>33.879183465952487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296.80000000000013</v>
      </c>
      <c r="AJ69" s="13">
        <f>AI69*VLOOKUP('Données projet'!$B$10,Paramètres!$A$1:$I$89,3,0)*VLOOKUP('Données projet'!$B$10,Paramètres!$A$1:$I$89,5,0)</f>
        <v>199.0934400000001</v>
      </c>
      <c r="AK69" s="13">
        <f t="shared" ref="AK69:AK132" si="89">EXP(-1.0587+0.8836*LN(AJ69)+0.284)</f>
        <v>49.544880627520683</v>
      </c>
      <c r="AL69" s="20">
        <f t="shared" si="58"/>
        <v>433.045075092932</v>
      </c>
      <c r="AM69" s="59">
        <f t="shared" si="59"/>
        <v>726.37840842626531</v>
      </c>
      <c r="AN69" s="59">
        <f ca="1">AVERAGE(OFFSET($AM$3,0,0,'Données projet'!$E$10+1,1))-AVERAGE(OFFSET($H$3,0,0,'Données projet'!$E$10+1,1))</f>
        <v>269.67260882504996</v>
      </c>
      <c r="AO69" s="59">
        <f t="shared" ref="AO69:AO132" si="90">$AO$3</f>
        <v>272.13858200810074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32.246994002739285</v>
      </c>
      <c r="AV69" s="21">
        <f>EXP(-LN(2)/25)*AV68+(1-EXP(-LN(2)/25))/(LN(2)/25)*Calculateur!AQ69*Calculateur!AS69*VLOOKUP('Données projet'!$B$10,Paramètres!$A$1:$I$89,3,0)*0.475*44/12</f>
        <v>2.1283233279344502</v>
      </c>
      <c r="AW69" s="21">
        <f>EXP(-LN(2)/2)*AW68+(1-EXP(-LN(2)/2))/(LN(2)/2)*AQ69*AT69*VLOOKUP('Données projet'!$B$10,Paramètres!$A$1:$I$89,3,0)*0.475*44/12</f>
        <v>0.65359373320266723</v>
      </c>
      <c r="AX69" s="21">
        <f t="shared" si="60"/>
        <v>35.028911063876407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453.99999999999977</v>
      </c>
      <c r="BE69" s="13">
        <f>BD69*VLOOKUP('Données projet'!$B$11,Paramètres!$A$1:$I$89,3,0)*VLOOKUP('Données projet'!$B$11,Paramètres!$A$1:$I$89,5,0)</f>
        <v>253.78599999999986</v>
      </c>
      <c r="BF69" s="13">
        <f t="shared" ref="BF69:BF132" si="91">EXP(-1.0587+0.8836*LN(BE69)+0.284)</f>
        <v>61.395945216950906</v>
      </c>
      <c r="BG69" s="20">
        <f t="shared" si="61"/>
        <v>548.94188791952263</v>
      </c>
      <c r="BH69" s="59">
        <f t="shared" si="62"/>
        <v>842.275221252856</v>
      </c>
      <c r="BI69" s="59">
        <f ca="1">AVERAGE(OFFSET($BH$3,0,0,'Données projet'!$E$11+1,1))-AVERAGE(OFFSET($H$3,0,0,'Données projet'!$E$11+1,1))</f>
        <v>330.33728077846268</v>
      </c>
      <c r="BJ69" s="59">
        <f t="shared" ref="BJ69:BJ132" si="92">$BJ$3</f>
        <v>358.38872754175208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53.164794295271356</v>
      </c>
      <c r="BQ69" s="21">
        <f>EXP(-LN(2)/25)*BQ68+(1-EXP(-LN(2)/25))/(LN(2)/25)*Calculateur!BL69*Calculateur!BN69*VLOOKUP('Données projet'!$B$11,Paramètres!$A$1:$I$89,3,0)*0.475*44/12</f>
        <v>27.810087276846854</v>
      </c>
      <c r="BR69" s="21">
        <f>EXP(-LN(2)/2)*BR68+(1-EXP(-LN(2)/2))/(LN(2)/2)*BL69*BO69*VLOOKUP('Données projet'!$B$11,Paramètres!$A$1:$I$89,3,0)*0.475*44/12</f>
        <v>6.3877034511144481</v>
      </c>
      <c r="BS69" s="22">
        <f t="shared" si="63"/>
        <v>87.362585023232654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285.7999999999999</v>
      </c>
      <c r="BZ69" s="13">
        <f>BY69*VLOOKUP('Données projet'!$B$12,Paramètres!$A$1:$I$89,3,0)*VLOOKUP('Données projet'!$B$12,Paramètres!$A$1:$I$89,5,0)</f>
        <v>271.9672799999999</v>
      </c>
      <c r="CA69" s="13">
        <f t="shared" ref="CA69:CA132" si="93">EXP(-1.0587+0.8836*LN(BZ69)+0.284)</f>
        <v>65.266599185852357</v>
      </c>
      <c r="CB69" s="20">
        <f t="shared" si="64"/>
        <v>587.34900624869272</v>
      </c>
      <c r="CC69" s="59">
        <f t="shared" si="65"/>
        <v>880.68233958202609</v>
      </c>
      <c r="CD69" s="59">
        <f ca="1">AVERAGE(OFFSET($CC$3,0,0,'Données projet'!$E$12+1,1))-AVERAGE(OFFSET($H$3,0,0,'Données projet'!$E$12+1,1))</f>
        <v>367.39143258674738</v>
      </c>
      <c r="CE69" s="59">
        <f t="shared" ref="CE69:CE132" si="94">$CE$3</f>
        <v>376.02790658970292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40.560251981914043</v>
      </c>
      <c r="CL69" s="21">
        <f>EXP(-LN(2)/25)*CL68+(1-EXP(-LN(2)/25))/(LN(2)/25)*Calculateur!CG69*Calculateur!CI69*VLOOKUP('Données projet'!$B$12,Paramètres!$A$1:$I$89,3,0)*0.475*44/12</f>
        <v>2.6149871445388708</v>
      </c>
      <c r="CM69" s="21">
        <f>EXP(-LN(2)/2)*CM68+(1-EXP(-LN(2)/2))/(LN(2)/2)*CG69*CJ69*VLOOKUP('Données projet'!$B$12,Paramètres!$A$1:$I$89,3,0)*0.475*44/12</f>
        <v>1.0645544998719318</v>
      </c>
      <c r="CN69" s="22">
        <f t="shared" si="66"/>
        <v>44.239793626324847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14.6</v>
      </c>
      <c r="CT69" s="12">
        <f>IF('Données projet'!$A$140&gt;35,CT68+CS69-DB68,IF(A69&lt;'Données projet'!$A$140,$CQ$205^A69,IF(A69='Données projet'!$A$140,'Données projet'!$B$140,CT68+CS69-DB68)))</f>
        <v>852.60000000000025</v>
      </c>
      <c r="CU69" s="17">
        <f>CT69*VLOOKUP('Données projet'!$B$13,Paramètres!$A$1:$I$89,3,0)*VLOOKUP('Données projet'!$B$13,Paramètres!$A$1:$I$89,5,0)</f>
        <v>376.84920000000017</v>
      </c>
      <c r="CV69" s="13">
        <f t="shared" ref="CV69:CV132" si="95">EXP(-1.0587+0.8836*LN(CU69)+0.284)</f>
        <v>87.067034801683633</v>
      </c>
      <c r="CW69" s="20">
        <f t="shared" si="67"/>
        <v>807.98744227959924</v>
      </c>
      <c r="CX69" s="59">
        <f t="shared" si="68"/>
        <v>1101.3207756129325</v>
      </c>
      <c r="CY69" s="59">
        <f ca="1">AVERAGE(OFFSET($CX$3,0,0,'Données projet'!$E$13+1,1))-AVERAGE(OFFSET($H$3,0,0,'Données projet'!$E$13+1,1))</f>
        <v>500.13646131618248</v>
      </c>
      <c r="CZ69" s="59">
        <f t="shared" ref="CZ69:CZ132" si="96">$CZ$3</f>
        <v>417.58036817539306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65.848419181642498</v>
      </c>
      <c r="DG69" s="21">
        <f>EXP(-LN(2)/25)*DG68+(1-EXP(-LN(2)/25))/(LN(2)/25)*Calculateur!DB69*Calculateur!DD69*VLOOKUP('Données projet'!$B$13,Paramètres!$A$1:$I$89,3,0)*0.475*44/12</f>
        <v>33.925166564196161</v>
      </c>
      <c r="DH69" s="21">
        <f>EXP(-LN(2)/2)*DH68+(1-EXP(-LN(2)/2))/(LN(2)/2)*DB69*DE69*VLOOKUP('Données projet'!$B$13,Paramètres!$A$1:$I$89,3,0)*0.475*44/12</f>
        <v>2.6533832223895382</v>
      </c>
      <c r="DI69" s="22">
        <f t="shared" si="69"/>
        <v>102.42696896822819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371.7282125501186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30.341525773253213</v>
      </c>
      <c r="AA70" s="21">
        <f>EXP(-LN(2)/25)*AA69+(1-EXP(-LN(2)/25))/(LN(2)/25)*Calculateur!V70*Calculateur!X70*VLOOKUP('Données projet'!$B$9,Paramètres!$A$1:$I$89,3,0)*0.475*44/12</f>
        <v>1.951813716583124</v>
      </c>
      <c r="AB70" s="21">
        <f>EXP(-LN(2)/2)*AB69+(1-EXP(-LN(2)/2))/(LN(2)/2)*V70*Y70*VLOOKUP('Données projet'!$B$9,Paramètres!$A$1:$I$89,3,0)*0.475*44/12</f>
        <v>0.65343149044101445</v>
      </c>
      <c r="AC70" s="22">
        <f t="shared" si="57"/>
        <v>32.94677098027735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303.60000000000014</v>
      </c>
      <c r="AJ70" s="13">
        <f>AI70*VLOOKUP('Données projet'!$B$10,Paramètres!$A$1:$I$89,3,0)*VLOOKUP('Données projet'!$B$10,Paramètres!$A$1:$I$89,5,0)</f>
        <v>203.65488000000011</v>
      </c>
      <c r="AK70" s="13">
        <f t="shared" si="89"/>
        <v>50.546551187738309</v>
      </c>
      <c r="AL70" s="20">
        <f t="shared" si="58"/>
        <v>442.73415931864434</v>
      </c>
      <c r="AM70" s="59">
        <f t="shared" si="59"/>
        <v>736.06749265197766</v>
      </c>
      <c r="AN70" s="59">
        <f ca="1">AVERAGE(OFFSET($AM$3,0,0,'Données projet'!$E$10+1,1))-AVERAGE(OFFSET($H$3,0,0,'Données projet'!$E$10+1,1))</f>
        <v>269.67260882504996</v>
      </c>
      <c r="AO70" s="59">
        <f t="shared" si="90"/>
        <v>272.13858200810074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31.614650119069783</v>
      </c>
      <c r="AV70" s="21">
        <f>EXP(-LN(2)/25)*AV69+(1-EXP(-LN(2)/25))/(LN(2)/25)*Calculateur!AQ70*Calculateur!AS70*VLOOKUP('Données projet'!$B$10,Paramètres!$A$1:$I$89,3,0)*0.475*44/12</f>
        <v>2.0701242146084233</v>
      </c>
      <c r="AW70" s="21">
        <f>EXP(-LN(2)/2)*AW69+(1-EXP(-LN(2)/2))/(LN(2)/2)*AQ70*AT70*VLOOKUP('Données projet'!$B$10,Paramètres!$A$1:$I$89,3,0)*0.475*44/12</f>
        <v>0.46216056088863716</v>
      </c>
      <c r="AX70" s="21">
        <f t="shared" si="60"/>
        <v>34.14693489456684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453.99999999999977</v>
      </c>
      <c r="BE70" s="13">
        <f>BD70*VLOOKUP('Données projet'!$B$11,Paramètres!$A$1:$I$89,3,0)*VLOOKUP('Données projet'!$B$11,Paramètres!$A$1:$I$89,5,0)</f>
        <v>253.78599999999986</v>
      </c>
      <c r="BF70" s="13">
        <f t="shared" si="91"/>
        <v>61.395945216950906</v>
      </c>
      <c r="BG70" s="20">
        <f t="shared" si="61"/>
        <v>548.94188791952263</v>
      </c>
      <c r="BH70" s="59">
        <f t="shared" si="62"/>
        <v>842.275221252856</v>
      </c>
      <c r="BI70" s="59">
        <f ca="1">AVERAGE(OFFSET($BH$3,0,0,'Données projet'!$E$11+1,1))-AVERAGE(OFFSET($H$3,0,0,'Données projet'!$E$11+1,1))</f>
        <v>330.33728077846268</v>
      </c>
      <c r="BJ70" s="59">
        <f t="shared" si="92"/>
        <v>358.38872754175208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52.122265106463672</v>
      </c>
      <c r="BQ70" s="21">
        <f>EXP(-LN(2)/25)*BQ69+(1-EXP(-LN(2)/25))/(LN(2)/25)*Calculateur!BL70*Calculateur!BN70*VLOOKUP('Données projet'!$B$11,Paramètres!$A$1:$I$89,3,0)*0.475*44/12</f>
        <v>27.049618977792548</v>
      </c>
      <c r="BR70" s="21">
        <f>EXP(-LN(2)/2)*BR69+(1-EXP(-LN(2)/2))/(LN(2)/2)*BL70*BO70*VLOOKUP('Données projet'!$B$11,Paramètres!$A$1:$I$89,3,0)*0.475*44/12</f>
        <v>4.5167884264917388</v>
      </c>
      <c r="BS70" s="22">
        <f t="shared" si="63"/>
        <v>83.688672510747963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292.59999999999991</v>
      </c>
      <c r="BZ70" s="13">
        <f>BY70*VLOOKUP('Données projet'!$B$12,Paramètres!$A$1:$I$89,3,0)*VLOOKUP('Données projet'!$B$12,Paramètres!$A$1:$I$89,5,0)</f>
        <v>278.43815999999993</v>
      </c>
      <c r="CA70" s="13">
        <f t="shared" si="93"/>
        <v>66.636839817348402</v>
      </c>
      <c r="CB70" s="20">
        <f t="shared" si="64"/>
        <v>601.00562468188161</v>
      </c>
      <c r="CC70" s="59">
        <f t="shared" si="65"/>
        <v>894.33895801521498</v>
      </c>
      <c r="CD70" s="59">
        <f ca="1">AVERAGE(OFFSET($CC$3,0,0,'Données projet'!$E$12+1,1))-AVERAGE(OFFSET($H$3,0,0,'Données projet'!$E$12+1,1))</f>
        <v>367.39143258674738</v>
      </c>
      <c r="CE70" s="59">
        <f t="shared" si="94"/>
        <v>376.02790658970292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39.764890179859613</v>
      </c>
      <c r="CL70" s="21">
        <f>EXP(-LN(2)/25)*CL69+(1-EXP(-LN(2)/25))/(LN(2)/25)*Calculateur!CG70*Calculateur!CI70*VLOOKUP('Données projet'!$B$12,Paramètres!$A$1:$I$89,3,0)*0.475*44/12</f>
        <v>2.5434801835552583</v>
      </c>
      <c r="CM70" s="21">
        <f>EXP(-LN(2)/2)*CM69+(1-EXP(-LN(2)/2))/(LN(2)/2)*CG70*CJ70*VLOOKUP('Données projet'!$B$12,Paramètres!$A$1:$I$89,3,0)*0.475*44/12</f>
        <v>0.75275370580209666</v>
      </c>
      <c r="CN70" s="22">
        <f t="shared" si="66"/>
        <v>43.061124069216973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14.6</v>
      </c>
      <c r="CT70" s="12">
        <f>IF('Données projet'!$A$140&gt;35,CT69+CS70-DB69,IF(A70&lt;'Données projet'!$A$140,$CQ$205^A70,IF(A70='Données projet'!$A$140,'Données projet'!$B$140,CT69+CS70-DB69)))</f>
        <v>867.20000000000027</v>
      </c>
      <c r="CU70" s="17">
        <f>CT70*VLOOKUP('Données projet'!$B$13,Paramètres!$A$1:$I$89,3,0)*VLOOKUP('Données projet'!$B$13,Paramètres!$A$1:$I$89,5,0)</f>
        <v>383.3024000000002</v>
      </c>
      <c r="CV70" s="13">
        <f t="shared" si="95"/>
        <v>88.383128112227695</v>
      </c>
      <c r="CW70" s="20">
        <f t="shared" si="67"/>
        <v>821.51896146213005</v>
      </c>
      <c r="CX70" s="59">
        <f t="shared" si="68"/>
        <v>1114.8522947954634</v>
      </c>
      <c r="CY70" s="59">
        <f ca="1">AVERAGE(OFFSET($CX$3,0,0,'Données projet'!$E$13+1,1))-AVERAGE(OFFSET($H$3,0,0,'Données projet'!$E$13+1,1))</f>
        <v>500.13646131618248</v>
      </c>
      <c r="CZ70" s="59">
        <f t="shared" si="96"/>
        <v>417.58036817539306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64.557171845060367</v>
      </c>
      <c r="DG70" s="21">
        <f>EXP(-LN(2)/25)*DG69+(1-EXP(-LN(2)/25))/(LN(2)/25)*Calculateur!DB70*Calculateur!DD70*VLOOKUP('Données projet'!$B$13,Paramètres!$A$1:$I$89,3,0)*0.475*44/12</f>
        <v>32.997481100451246</v>
      </c>
      <c r="DH70" s="21">
        <f>EXP(-LN(2)/2)*DH69+(1-EXP(-LN(2)/2))/(LN(2)/2)*DB70*DE70*VLOOKUP('Données projet'!$B$13,Paramètres!$A$1:$I$89,3,0)*0.475*44/12</f>
        <v>1.8762252696382558</v>
      </c>
      <c r="DI70" s="22">
        <f t="shared" si="69"/>
        <v>99.43087821514986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371.7282125501186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29.746546959343075</v>
      </c>
      <c r="AA71" s="21">
        <f>EXP(-LN(2)/25)*AA70+(1-EXP(-LN(2)/25))/(LN(2)/25)*Calculateur!V71*Calculateur!X71*VLOOKUP('Données projet'!$B$9,Paramètres!$A$1:$I$89,3,0)*0.475*44/12</f>
        <v>1.8984412678617359</v>
      </c>
      <c r="AB71" s="21">
        <f>EXP(-LN(2)/2)*AB70+(1-EXP(-LN(2)/2))/(LN(2)/2)*V71*Y71*VLOOKUP('Données projet'!$B$9,Paramètres!$A$1:$I$89,3,0)*0.475*44/12</f>
        <v>0.46204583793167403</v>
      </c>
      <c r="AC71" s="22">
        <f t="shared" si="57"/>
        <v>32.107034065136482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310.40000000000015</v>
      </c>
      <c r="AJ71" s="13">
        <f>AI71*VLOOKUP('Données projet'!$B$10,Paramètres!$A$1:$I$89,3,0)*VLOOKUP('Données projet'!$B$10,Paramètres!$A$1:$I$89,5,0)</f>
        <v>208.21632000000011</v>
      </c>
      <c r="AK71" s="13">
        <f t="shared" si="89"/>
        <v>51.545613448731707</v>
      </c>
      <c r="AL71" s="20">
        <f t="shared" si="58"/>
        <v>452.41870075654128</v>
      </c>
      <c r="AM71" s="59">
        <f t="shared" si="59"/>
        <v>745.75203408987454</v>
      </c>
      <c r="AN71" s="59">
        <f ca="1">AVERAGE(OFFSET($AM$3,0,0,'Données projet'!$E$10+1,1))-AVERAGE(OFFSET($H$3,0,0,'Données projet'!$E$10+1,1))</f>
        <v>269.67260882504996</v>
      </c>
      <c r="AO71" s="59">
        <f t="shared" si="90"/>
        <v>272.13858200810074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30.994706113267355</v>
      </c>
      <c r="AV71" s="21">
        <f>EXP(-LN(2)/25)*AV70+(1-EXP(-LN(2)/25))/(LN(2)/25)*Calculateur!AQ71*Calculateur!AS71*VLOOKUP('Données projet'!$B$10,Paramètres!$A$1:$I$89,3,0)*0.475*44/12</f>
        <v>2.0135165590968547</v>
      </c>
      <c r="AW71" s="21">
        <f>EXP(-LN(2)/2)*AW70+(1-EXP(-LN(2)/2))/(LN(2)/2)*AQ71*AT71*VLOOKUP('Données projet'!$B$10,Paramètres!$A$1:$I$89,3,0)*0.475*44/12</f>
        <v>0.32679686660133367</v>
      </c>
      <c r="AX71" s="21">
        <f t="shared" si="60"/>
        <v>33.335019538965547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453.99999999999977</v>
      </c>
      <c r="BE71" s="13">
        <f>BD71*VLOOKUP('Données projet'!$B$11,Paramètres!$A$1:$I$89,3,0)*VLOOKUP('Données projet'!$B$11,Paramètres!$A$1:$I$89,5,0)</f>
        <v>253.78599999999986</v>
      </c>
      <c r="BF71" s="13">
        <f t="shared" si="91"/>
        <v>61.395945216950906</v>
      </c>
      <c r="BG71" s="20">
        <f t="shared" si="61"/>
        <v>548.94188791952263</v>
      </c>
      <c r="BH71" s="59">
        <f t="shared" si="62"/>
        <v>842.275221252856</v>
      </c>
      <c r="BI71" s="59">
        <f ca="1">AVERAGE(OFFSET($BH$3,0,0,'Données projet'!$E$11+1,1))-AVERAGE(OFFSET($H$3,0,0,'Données projet'!$E$11+1,1))</f>
        <v>330.33728077846268</v>
      </c>
      <c r="BJ71" s="59">
        <f t="shared" si="92"/>
        <v>358.38872754175208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51.100179279168493</v>
      </c>
      <c r="BQ71" s="21">
        <f>EXP(-LN(2)/25)*BQ70+(1-EXP(-LN(2)/25))/(LN(2)/25)*Calculateur!BL71*Calculateur!BN71*VLOOKUP('Données projet'!$B$11,Paramètres!$A$1:$I$89,3,0)*0.475*44/12</f>
        <v>26.309945724367171</v>
      </c>
      <c r="BR71" s="21">
        <f>EXP(-LN(2)/2)*BR70+(1-EXP(-LN(2)/2))/(LN(2)/2)*BL71*BO71*VLOOKUP('Données projet'!$B$11,Paramètres!$A$1:$I$89,3,0)*0.475*44/12</f>
        <v>3.1938517255572245</v>
      </c>
      <c r="BS71" s="22">
        <f t="shared" si="63"/>
        <v>80.603976729092892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299.39999999999992</v>
      </c>
      <c r="BZ71" s="13">
        <f>BY71*VLOOKUP('Données projet'!$B$12,Paramètres!$A$1:$I$89,3,0)*VLOOKUP('Données projet'!$B$12,Paramètres!$A$1:$I$89,5,0)</f>
        <v>284.90903999999995</v>
      </c>
      <c r="CA71" s="13">
        <f t="shared" si="93"/>
        <v>68.003378431455985</v>
      </c>
      <c r="CB71" s="20">
        <f t="shared" si="64"/>
        <v>614.65579543478577</v>
      </c>
      <c r="CC71" s="59">
        <f t="shared" si="65"/>
        <v>907.98912876811914</v>
      </c>
      <c r="CD71" s="59">
        <f ca="1">AVERAGE(OFFSET($CC$3,0,0,'Données projet'!$E$12+1,1))-AVERAGE(OFFSET($H$3,0,0,'Données projet'!$E$12+1,1))</f>
        <v>367.39143258674738</v>
      </c>
      <c r="CE71" s="59">
        <f t="shared" si="94"/>
        <v>376.02790658970292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38.985124937620675</v>
      </c>
      <c r="CL71" s="21">
        <f>EXP(-LN(2)/25)*CL70+(1-EXP(-LN(2)/25))/(LN(2)/25)*Calculateur!CG71*Calculateur!CI71*VLOOKUP('Données projet'!$B$12,Paramètres!$A$1:$I$89,3,0)*0.475*44/12</f>
        <v>2.47392858418013</v>
      </c>
      <c r="CM71" s="21">
        <f>EXP(-LN(2)/2)*CM70+(1-EXP(-LN(2)/2))/(LN(2)/2)*CG71*CJ71*VLOOKUP('Données projet'!$B$12,Paramètres!$A$1:$I$89,3,0)*0.475*44/12</f>
        <v>0.53227724993596592</v>
      </c>
      <c r="CN71" s="22">
        <f t="shared" si="66"/>
        <v>41.99133077173677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14.6</v>
      </c>
      <c r="CT71" s="12">
        <f>IF('Données projet'!$A$140&gt;35,CT70+CS71-DB70,IF(A71&lt;'Données projet'!$A$140,$CQ$205^A71,IF(A71='Données projet'!$A$140,'Données projet'!$B$140,CT70+CS71-DB70)))</f>
        <v>881.8000000000003</v>
      </c>
      <c r="CU71" s="17">
        <f>CT71*VLOOKUP('Données projet'!$B$13,Paramètres!$A$1:$I$89,3,0)*VLOOKUP('Données projet'!$B$13,Paramètres!$A$1:$I$89,5,0)</f>
        <v>389.75560000000019</v>
      </c>
      <c r="CV71" s="13">
        <f t="shared" si="95"/>
        <v>89.696644689479157</v>
      </c>
      <c r="CW71" s="20">
        <f t="shared" si="67"/>
        <v>835.04599283417645</v>
      </c>
      <c r="CX71" s="59">
        <f t="shared" si="68"/>
        <v>1128.3793261675098</v>
      </c>
      <c r="CY71" s="59">
        <f ca="1">AVERAGE(OFFSET($CX$3,0,0,'Données projet'!$E$13+1,1))-AVERAGE(OFFSET($H$3,0,0,'Données projet'!$E$13+1,1))</f>
        <v>500.13646131618248</v>
      </c>
      <c r="CZ71" s="59">
        <f t="shared" si="96"/>
        <v>417.58036817539306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63.291245081165506</v>
      </c>
      <c r="DG71" s="21">
        <f>EXP(-LN(2)/25)*DG70+(1-EXP(-LN(2)/25))/(LN(2)/25)*Calculateur!DB71*Calculateur!DD71*VLOOKUP('Données projet'!$B$13,Paramètres!$A$1:$I$89,3,0)*0.475*44/12</f>
        <v>32.095163244497293</v>
      </c>
      <c r="DH71" s="21">
        <f>EXP(-LN(2)/2)*DH70+(1-EXP(-LN(2)/2))/(LN(2)/2)*DB71*DE71*VLOOKUP('Données projet'!$B$13,Paramètres!$A$1:$I$89,3,0)*0.475*44/12</f>
        <v>1.3266916111947693</v>
      </c>
      <c r="DI71" s="22">
        <f t="shared" si="69"/>
        <v>96.713099936857574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371.7282125501186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29.16323531707247</v>
      </c>
      <c r="AA72" s="21">
        <f>EXP(-LN(2)/25)*AA71+(1-EXP(-LN(2)/25))/(LN(2)/25)*Calculateur!V72*Calculateur!X72*VLOOKUP('Données projet'!$B$9,Paramètres!$A$1:$I$89,3,0)*0.475*44/12</f>
        <v>1.8465282915573695</v>
      </c>
      <c r="AB72" s="21">
        <f>EXP(-LN(2)/2)*AB71+(1-EXP(-LN(2)/2))/(LN(2)/2)*V72*Y72*VLOOKUP('Données projet'!$B$9,Paramètres!$A$1:$I$89,3,0)*0.475*44/12</f>
        <v>0.32671574522050723</v>
      </c>
      <c r="AC72" s="22">
        <f t="shared" si="57"/>
        <v>31.336479353850347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317.20000000000016</v>
      </c>
      <c r="AJ72" s="13">
        <f>AI72*VLOOKUP('Données projet'!$B$10,Paramètres!$A$1:$I$89,3,0)*VLOOKUP('Données projet'!$B$10,Paramètres!$A$1:$I$89,5,0)</f>
        <v>212.77776000000011</v>
      </c>
      <c r="AK72" s="13">
        <f t="shared" si="89"/>
        <v>52.542131131270303</v>
      </c>
      <c r="AL72" s="20">
        <f t="shared" si="58"/>
        <v>462.09881038696267</v>
      </c>
      <c r="AM72" s="59">
        <f t="shared" si="59"/>
        <v>755.43214372029593</v>
      </c>
      <c r="AN72" s="59">
        <f ca="1">AVERAGE(OFFSET($AM$3,0,0,'Données projet'!$E$10+1,1))-AVERAGE(OFFSET($H$3,0,0,'Données projet'!$E$10+1,1))</f>
        <v>269.67260882504996</v>
      </c>
      <c r="AO72" s="59">
        <f t="shared" si="90"/>
        <v>272.13858200810074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30.386918831290206</v>
      </c>
      <c r="AV72" s="21">
        <f>EXP(-LN(2)/25)*AV71+(1-EXP(-LN(2)/25))/(LN(2)/25)*Calculateur!AQ72*Calculateur!AS72*VLOOKUP('Données projet'!$B$10,Paramètres!$A$1:$I$89,3,0)*0.475*44/12</f>
        <v>1.9584568429021172</v>
      </c>
      <c r="AW72" s="21">
        <f>EXP(-LN(2)/2)*AW71+(1-EXP(-LN(2)/2))/(LN(2)/2)*AQ72*AT72*VLOOKUP('Données projet'!$B$10,Paramètres!$A$1:$I$89,3,0)*0.475*44/12</f>
        <v>0.23108028044431864</v>
      </c>
      <c r="AX72" s="21">
        <f t="shared" si="60"/>
        <v>32.576455954636643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453.99999999999977</v>
      </c>
      <c r="BE72" s="13">
        <f>BD72*VLOOKUP('Données projet'!$B$11,Paramètres!$A$1:$I$89,3,0)*VLOOKUP('Données projet'!$B$11,Paramètres!$A$1:$I$89,5,0)</f>
        <v>253.78599999999986</v>
      </c>
      <c r="BF72" s="13">
        <f t="shared" si="91"/>
        <v>61.395945216950906</v>
      </c>
      <c r="BG72" s="20">
        <f t="shared" si="61"/>
        <v>548.94188791952263</v>
      </c>
      <c r="BH72" s="59">
        <f t="shared" si="62"/>
        <v>842.275221252856</v>
      </c>
      <c r="BI72" s="59">
        <f ca="1">AVERAGE(OFFSET($BH$3,0,0,'Données projet'!$E$11+1,1))-AVERAGE(OFFSET($H$3,0,0,'Données projet'!$E$11+1,1))</f>
        <v>330.33728077846268</v>
      </c>
      <c r="BJ72" s="59">
        <f t="shared" si="92"/>
        <v>358.38872754175208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50.098135931535772</v>
      </c>
      <c r="BQ72" s="21">
        <f>EXP(-LN(2)/25)*BQ71+(1-EXP(-LN(2)/25))/(LN(2)/25)*Calculateur!BL72*Calculateur!BN72*VLOOKUP('Données projet'!$B$11,Paramètres!$A$1:$I$89,3,0)*0.475*44/12</f>
        <v>25.590498874954438</v>
      </c>
      <c r="BR72" s="21">
        <f>EXP(-LN(2)/2)*BR71+(1-EXP(-LN(2)/2))/(LN(2)/2)*BL72*BO72*VLOOKUP('Données projet'!$B$11,Paramètres!$A$1:$I$89,3,0)*0.475*44/12</f>
        <v>2.2583942132458699</v>
      </c>
      <c r="BS72" s="22">
        <f t="shared" si="63"/>
        <v>77.947029019736078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306.19999999999993</v>
      </c>
      <c r="BZ72" s="13">
        <f>BY72*VLOOKUP('Données projet'!$B$12,Paramètres!$A$1:$I$89,3,0)*VLOOKUP('Données projet'!$B$12,Paramètres!$A$1:$I$89,5,0)</f>
        <v>291.37991999999991</v>
      </c>
      <c r="CA72" s="13">
        <f t="shared" si="93"/>
        <v>69.366308788027794</v>
      </c>
      <c r="CB72" s="20">
        <f t="shared" si="64"/>
        <v>628.29968180581488</v>
      </c>
      <c r="CC72" s="59">
        <f t="shared" si="65"/>
        <v>921.63301513914826</v>
      </c>
      <c r="CD72" s="59">
        <f ca="1">AVERAGE(OFFSET($CC$3,0,0,'Données projet'!$E$12+1,1))-AVERAGE(OFFSET($H$3,0,0,'Données projet'!$E$12+1,1))</f>
        <v>367.39143258674738</v>
      </c>
      <c r="CE72" s="59">
        <f t="shared" si="94"/>
        <v>376.02790658970292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38.220650416172205</v>
      </c>
      <c r="CL72" s="21">
        <f>EXP(-LN(2)/25)*CL71+(1-EXP(-LN(2)/25))/(LN(2)/25)*Calculateur!CG72*Calculateur!CI72*VLOOKUP('Données projet'!$B$12,Paramètres!$A$1:$I$89,3,0)*0.475*44/12</f>
        <v>2.4062788769474741</v>
      </c>
      <c r="CM72" s="21">
        <f>EXP(-LN(2)/2)*CM71+(1-EXP(-LN(2)/2))/(LN(2)/2)*CG72*CJ72*VLOOKUP('Données projet'!$B$12,Paramètres!$A$1:$I$89,3,0)*0.475*44/12</f>
        <v>0.37637685290104833</v>
      </c>
      <c r="CN72" s="22">
        <f t="shared" si="66"/>
        <v>41.003306146020726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14.6</v>
      </c>
      <c r="CT72" s="12">
        <f>IF('Données projet'!$A$140&gt;35,CT71+CS72-DB71,IF(A72&lt;'Données projet'!$A$140,$CQ$205^A72,IF(A72='Données projet'!$A$140,'Données projet'!$B$140,CT71+CS72-DB71)))</f>
        <v>896.40000000000032</v>
      </c>
      <c r="CU72" s="17">
        <f>CT72*VLOOKUP('Données projet'!$B$13,Paramètres!$A$1:$I$89,3,0)*VLOOKUP('Données projet'!$B$13,Paramètres!$A$1:$I$89,5,0)</f>
        <v>396.20880000000017</v>
      </c>
      <c r="CV72" s="13">
        <f t="shared" si="95"/>
        <v>91.007632121017451</v>
      </c>
      <c r="CW72" s="20">
        <f t="shared" si="67"/>
        <v>848.5686192774391</v>
      </c>
      <c r="CX72" s="59">
        <f t="shared" si="68"/>
        <v>1141.9019526107725</v>
      </c>
      <c r="CY72" s="59">
        <f ca="1">AVERAGE(OFFSET($CX$3,0,0,'Données projet'!$E$13+1,1))-AVERAGE(OFFSET($H$3,0,0,'Données projet'!$E$13+1,1))</f>
        <v>500.13646131618248</v>
      </c>
      <c r="CZ72" s="59">
        <f t="shared" si="96"/>
        <v>417.58036817539306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62.050142368971535</v>
      </c>
      <c r="DG72" s="21">
        <f>EXP(-LN(2)/25)*DG71+(1-EXP(-LN(2)/25))/(LN(2)/25)*Calculateur!DB72*Calculateur!DD72*VLOOKUP('Données projet'!$B$13,Paramètres!$A$1:$I$89,3,0)*0.475*44/12</f>
        <v>31.217519317765234</v>
      </c>
      <c r="DH72" s="21">
        <f>EXP(-LN(2)/2)*DH71+(1-EXP(-LN(2)/2))/(LN(2)/2)*DB72*DE72*VLOOKUP('Données projet'!$B$13,Paramètres!$A$1:$I$89,3,0)*0.475*44/12</f>
        <v>0.93811263481912799</v>
      </c>
      <c r="DI72" s="22">
        <f t="shared" si="69"/>
        <v>94.205774321555907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371.7282125501186</v>
      </c>
      <c r="T73" s="59">
        <f t="shared" si="88"/>
        <v>231.36959598460686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0.34400000000000003</v>
      </c>
      <c r="X73" s="16">
        <f>IF(ISNA(VLOOKUP(A73,'Données projet'!$A$35:$I$55,6,0)),0%,VLOOKUP(A73,'Données projet'!$A$35:$I$55,6,0)*VLOOKUP('Données projet'!$B$9,Paramètres!$A$1:$I$89,7,0))</f>
        <v>1.72E-2</v>
      </c>
      <c r="Y73" s="16">
        <f>IF(ISNA(VLOOKUP(A73,'Données projet'!$A$35:$I$55,7,0)),0%,VLOOKUP(A73,'Données projet'!$A$35:$I$55,7,0))</f>
        <v>0.06</v>
      </c>
      <c r="Z73" s="21">
        <f>EXP(-LN(2)/35)*Z72+(1-EXP(-LN(2)/35))/(LN(2)/35)*V73*W73*VLOOKUP('Données projet'!$B$9,Paramètres!$A$1:$I$89,3,0)*0.475*44/12</f>
        <v>35.817020686397626</v>
      </c>
      <c r="AA73" s="21">
        <f>EXP(-LN(2)/25)*AA72+(1-EXP(-LN(2)/25))/(LN(2)/25)*Calculateur!V73*Calculateur!X73*VLOOKUP('Données projet'!$B$9,Paramètres!$A$1:$I$89,3,0)*0.475*44/12</f>
        <v>2.1558953010636888</v>
      </c>
      <c r="AB73" s="21">
        <f>EXP(-LN(2)/2)*AB72+(1-EXP(-LN(2)/2))/(LN(2)/2)*V73*Y73*VLOOKUP('Données projet'!$B$9,Paramètres!$A$1:$I$89,3,0)*0.475*44/12</f>
        <v>1.3066888909078804</v>
      </c>
      <c r="AC73" s="22">
        <f t="shared" si="57"/>
        <v>39.279604878369192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324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324.00000000000017</v>
      </c>
      <c r="AJ73" s="13">
        <f>AI73*VLOOKUP('Données projet'!$B$10,Paramètres!$A$1:$I$89,3,0)*VLOOKUP('Données projet'!$B$10,Paramètres!$A$1:$I$89,5,0)</f>
        <v>217.33920000000012</v>
      </c>
      <c r="AK73" s="13">
        <f t="shared" si="89"/>
        <v>53.536165068020459</v>
      </c>
      <c r="AL73" s="20">
        <f t="shared" si="58"/>
        <v>471.77459416013585</v>
      </c>
      <c r="AM73" s="59">
        <f t="shared" si="59"/>
        <v>765.10792749346911</v>
      </c>
      <c r="AN73" s="59">
        <f ca="1">AVERAGE(OFFSET($AM$3,0,0,'Données projet'!$E$10+1,1))-AVERAGE(OFFSET($H$3,0,0,'Données projet'!$E$10+1,1))</f>
        <v>269.67260882504996</v>
      </c>
      <c r="AO73" s="59">
        <f t="shared" si="90"/>
        <v>272.13858200810074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19</v>
      </c>
      <c r="AR73" s="16">
        <f>IF(ISNA(VLOOKUP(A73,'Données projet'!$A$61:$I$81,5,0)),0%,VLOOKUP(A73,'Données projet'!$A$61:$I$81,5,0)*VLOOKUP('Données projet'!$B$10,Paramètres!$A$1:$I$89,7,0))</f>
        <v>0.42400000000000004</v>
      </c>
      <c r="AS73" s="16">
        <f>IF(ISNA(VLOOKUP(A73,'Données projet'!$A$61:$I$81,6,0)),0%,VLOOKUP(A73,'Données projet'!$A$61:$I$81,6,0)*VLOOKUP('Données projet'!$B$10,Paramètres!$A$1:$I$89,7,0))</f>
        <v>2.12E-2</v>
      </c>
      <c r="AT73" s="16">
        <f>IF(ISNA(VLOOKUP(A73,'Données projet'!$A$61:$I$81,7,0)),0%,VLOOKUP(A73,'Données projet'!$A$61:$I$81,7,0))</f>
        <v>0.06</v>
      </c>
      <c r="AU73" s="21">
        <f>EXP(-LN(2)/35)*AU72+(1-EXP(-LN(2)/35))/(LN(2)/35)*AQ73*AR73*VLOOKUP('Données projet'!$B$10,Paramètres!$A$1:$I$89,3,0)*0.475*44/12</f>
        <v>35.764972905637698</v>
      </c>
      <c r="AV73" s="21">
        <f>EXP(-LN(2)/25)*AV72+(1-EXP(-LN(2)/25))/(LN(2)/25)*Calculateur!AQ73*Calculateur!AS73*VLOOKUP('Données projet'!$B$10,Paramètres!$A$1:$I$89,3,0)*0.475*44/12</f>
        <v>2.2024228079057888</v>
      </c>
      <c r="AW73" s="21">
        <f>EXP(-LN(2)/2)*AW72+(1-EXP(-LN(2)/2))/(LN(2)/2)*AQ73*AT73*VLOOKUP('Données projet'!$B$10,Paramètres!$A$1:$I$89,3,0)*0.475*44/12</f>
        <v>0.88492478722238255</v>
      </c>
      <c r="AX73" s="21">
        <f t="shared" si="60"/>
        <v>38.85232050076587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453.99999999999977</v>
      </c>
      <c r="BE73" s="13">
        <f>BD73*VLOOKUP('Données projet'!$B$11,Paramètres!$A$1:$I$89,3,0)*VLOOKUP('Données projet'!$B$11,Paramètres!$A$1:$I$89,5,0)</f>
        <v>253.78599999999986</v>
      </c>
      <c r="BF73" s="13">
        <f t="shared" si="91"/>
        <v>61.395945216950906</v>
      </c>
      <c r="BG73" s="20">
        <f t="shared" si="61"/>
        <v>548.94188791952263</v>
      </c>
      <c r="BH73" s="59">
        <f t="shared" si="62"/>
        <v>842.275221252856</v>
      </c>
      <c r="BI73" s="59">
        <f ca="1">AVERAGE(OFFSET($BH$3,0,0,'Données projet'!$E$11+1,1))-AVERAGE(OFFSET($H$3,0,0,'Données projet'!$E$11+1,1))</f>
        <v>330.33728077846268</v>
      </c>
      <c r="BJ73" s="59">
        <f t="shared" si="92"/>
        <v>358.38872754175208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49.115742042764033</v>
      </c>
      <c r="BQ73" s="21">
        <f>EXP(-LN(2)/25)*BQ72+(1-EXP(-LN(2)/25))/(LN(2)/25)*Calculateur!BL73*Calculateur!BN73*VLOOKUP('Données projet'!$B$11,Paramètres!$A$1:$I$89,3,0)*0.475*44/12</f>
        <v>24.890725337472961</v>
      </c>
      <c r="BR73" s="21">
        <f>EXP(-LN(2)/2)*BR72+(1-EXP(-LN(2)/2))/(LN(2)/2)*BL73*BO73*VLOOKUP('Données projet'!$B$11,Paramètres!$A$1:$I$89,3,0)*0.475*44/12</f>
        <v>1.5969258627786125</v>
      </c>
      <c r="BS73" s="22">
        <f t="shared" si="63"/>
        <v>75.603393243015617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313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312.99999999999994</v>
      </c>
      <c r="BZ73" s="13">
        <f>BY73*VLOOKUP('Données projet'!$B$12,Paramètres!$A$1:$I$89,3,0)*VLOOKUP('Données projet'!$B$12,Paramètres!$A$1:$I$89,5,0)</f>
        <v>297.85079999999994</v>
      </c>
      <c r="CA73" s="13">
        <f t="shared" si="93"/>
        <v>70.725720244769349</v>
      </c>
      <c r="CB73" s="20">
        <f t="shared" si="64"/>
        <v>641.93743942630658</v>
      </c>
      <c r="CC73" s="59">
        <f t="shared" si="65"/>
        <v>935.27077275963984</v>
      </c>
      <c r="CD73" s="59">
        <f ca="1">AVERAGE(OFFSET($CC$3,0,0,'Données projet'!$E$12+1,1))-AVERAGE(OFFSET($H$3,0,0,'Données projet'!$E$12+1,1))</f>
        <v>367.39143258674738</v>
      </c>
      <c r="CE73" s="59">
        <f t="shared" si="94"/>
        <v>376.02790658970292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22</v>
      </c>
      <c r="CH73" s="16">
        <f>IF(ISNA(VLOOKUP(A73,'Données projet'!$A$113:$I$133,5,0)),0%,VLOOKUP(A73,'Données projet'!$A$113:$I$133,5,0)*VLOOKUP('Données projet'!$B$12,Paramètres!$A$1:$I$89,7,0))</f>
        <v>0.34400000000000003</v>
      </c>
      <c r="CI73" s="16">
        <f>IF(ISNA(VLOOKUP(A73,'Données projet'!$A$113:$I$133,6,0)),0%,VLOOKUP(A73,'Données projet'!$A$113:$I$133,6,0)*VLOOKUP('Données projet'!$B$12,Paramètres!$A$1:$I$89,7,0))</f>
        <v>1.72E-2</v>
      </c>
      <c r="CJ73" s="16">
        <f>IF(ISNA(VLOOKUP(A73,'Données projet'!$A$113:$I$133,7,0)),0%,VLOOKUP(A73,'Données projet'!$A$113:$I$133,7,0))</f>
        <v>0.06</v>
      </c>
      <c r="CK73" s="21">
        <f>EXP(-LN(2)/35)*CK72+(1-EXP(-LN(2)/35))/(LN(2)/35)*CG73*CH73*VLOOKUP('Données projet'!$B$12,Paramètres!$A$1:$I$89,3,0)*0.475*44/12</f>
        <v>45.432442534227711</v>
      </c>
      <c r="CL73" s="21">
        <f>EXP(-LN(2)/25)*CL72+(1-EXP(-LN(2)/25))/(LN(2)/25)*Calculateur!CG73*Calculateur!CI73*VLOOKUP('Données projet'!$B$12,Paramètres!$A$1:$I$89,3,0)*0.475*44/12</f>
        <v>2.7369755137300951</v>
      </c>
      <c r="CM73" s="21">
        <f>EXP(-LN(2)/2)*CM72+(1-EXP(-LN(2)/2))/(LN(2)/2)*CG73*CJ73*VLOOKUP('Données projet'!$B$12,Paramètres!$A$1:$I$89,3,0)*0.475*44/12</f>
        <v>1.4513141047267861</v>
      </c>
      <c r="CN73" s="22">
        <f t="shared" si="66"/>
        <v>49.620732152684589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911</v>
      </c>
      <c r="CR73" s="12">
        <f>VLOOKUP(A73,'Données projet'!$A$139:$I$159,9,0)</f>
        <v>14.6</v>
      </c>
      <c r="CS73" s="12">
        <f t="array" ref="CS73">INDEX(CR:CR,MIN(IF(ISNUMBER(CR73:CR269),ROW(CR73:CR269),"")))</f>
        <v>14.6</v>
      </c>
      <c r="CT73" s="12">
        <f>IF('Données projet'!$A$140&gt;35,CT72+CS73-DB72,IF(A73&lt;'Données projet'!$A$140,$CQ$205^A73,IF(A73='Données projet'!$A$140,'Données projet'!$B$140,CT72+CS73-DB72)))</f>
        <v>911.00000000000034</v>
      </c>
      <c r="CU73" s="17">
        <f>CT73*VLOOKUP('Données projet'!$B$13,Paramètres!$A$1:$I$89,3,0)*VLOOKUP('Données projet'!$B$13,Paramètres!$A$1:$I$89,5,0)</f>
        <v>402.66200000000015</v>
      </c>
      <c r="CV73" s="13">
        <f t="shared" si="95"/>
        <v>92.316136355387528</v>
      </c>
      <c r="CW73" s="20">
        <f t="shared" si="67"/>
        <v>862.08692081896686</v>
      </c>
      <c r="CX73" s="59">
        <f t="shared" si="68"/>
        <v>1155.4202541523002</v>
      </c>
      <c r="CY73" s="59">
        <f ca="1">AVERAGE(OFFSET($CX$3,0,0,'Données projet'!$E$13+1,1))-AVERAGE(OFFSET($H$3,0,0,'Données projet'!$E$13+1,1))</f>
        <v>500.13646131618248</v>
      </c>
      <c r="CZ73" s="59">
        <f t="shared" si="96"/>
        <v>417.58036817539306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35</v>
      </c>
      <c r="DC73" s="16">
        <f>IF(ISNA(VLOOKUP(A73,'Données projet'!$A$139:$I$159,5,0)),0%,VLOOKUP(A73,'Données projet'!$A$139:$I$159,5,0)*VLOOKUP('Données projet'!$B$13,Paramètres!$A$1:$I$89,7,0))</f>
        <v>0.38500000000000001</v>
      </c>
      <c r="DD73" s="16">
        <f>IF(ISNA(VLOOKUP(A73,'Données projet'!$A$139:$I$159,6,0)),0%,VLOOKUP(A73,'Données projet'!$A$139:$I$159,6,0)*VLOOKUP('Données projet'!$B$13,Paramètres!$A$1:$I$89,7,0))</f>
        <v>0.13750000000000001</v>
      </c>
      <c r="DE73" s="16">
        <f>IF(ISNA(VLOOKUP(A73,'Données projet'!$A$139:$I$159,7,0)),0%,VLOOKUP(A73,'Données projet'!$A$139:$I$159,7,0))</f>
        <v>0.15</v>
      </c>
      <c r="DF73" s="21">
        <f>EXP(-LN(2)/35)*DF72+(1-EXP(-LN(2)/35))/(LN(2)/35)*DB73*DC73*VLOOKUP('Données projet'!$B$13,Paramètres!$A$1:$I$89,3,0)*0.475*44/12</f>
        <v>68.734328492340907</v>
      </c>
      <c r="DG73" s="21">
        <f>EXP(-LN(2)/25)*DG72+(1-EXP(-LN(2)/25))/(LN(2)/25)*Calculateur!DB73*Calculateur!DD73*VLOOKUP('Données projet'!$B$13,Paramètres!$A$1:$I$89,3,0)*0.475*44/12</f>
        <v>33.174532650202906</v>
      </c>
      <c r="DH73" s="21">
        <f>EXP(-LN(2)/2)*DH72+(1-EXP(-LN(2)/2))/(LN(2)/2)*DB73*DE73*VLOOKUP('Données projet'!$B$13,Paramètres!$A$1:$I$89,3,0)*0.475*44/12</f>
        <v>3.2906908520075491</v>
      </c>
      <c r="DI73" s="22">
        <f t="shared" si="69"/>
        <v>105.19955199455136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371.7282125501186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35.114670756962852</v>
      </c>
      <c r="AA74" s="21">
        <f>EXP(-LN(2)/25)*AA73+(1-EXP(-LN(2)/25))/(LN(2)/25)*Calculateur!V74*Calculateur!X74*VLOOKUP('Données projet'!$B$9,Paramètres!$A$1:$I$89,3,0)*0.475*44/12</f>
        <v>2.0969422306824956</v>
      </c>
      <c r="AB74" s="21">
        <f>EXP(-LN(2)/2)*AB73+(1-EXP(-LN(2)/2))/(LN(2)/2)*V74*Y74*VLOOKUP('Données projet'!$B$9,Paramètres!$A$1:$I$89,3,0)*0.475*44/12</f>
        <v>0.92396857566209112</v>
      </c>
      <c r="AC74" s="22">
        <f t="shared" si="57"/>
        <v>38.13558156330744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305.00000000000017</v>
      </c>
      <c r="AJ74" s="13">
        <f>AI74*VLOOKUP('Données projet'!$B$10,Paramètres!$A$1:$I$89,3,0)*VLOOKUP('Données projet'!$B$10,Paramètres!$A$1:$I$89,5,0)</f>
        <v>204.59400000000011</v>
      </c>
      <c r="AK74" s="13">
        <f t="shared" si="89"/>
        <v>50.75245156043249</v>
      </c>
      <c r="AL74" s="20">
        <f t="shared" si="58"/>
        <v>444.72840313442015</v>
      </c>
      <c r="AM74" s="59">
        <f t="shared" si="59"/>
        <v>738.06173646775346</v>
      </c>
      <c r="AN74" s="59">
        <f ca="1">AVERAGE(OFFSET($AM$3,0,0,'Données projet'!$E$10+1,1))-AVERAGE(OFFSET($H$3,0,0,'Données projet'!$E$10+1,1))</f>
        <v>269.67260882504996</v>
      </c>
      <c r="AO74" s="59">
        <f t="shared" si="90"/>
        <v>272.13858200810074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35.063643601437612</v>
      </c>
      <c r="AV74" s="21">
        <f>EXP(-LN(2)/25)*AV73+(1-EXP(-LN(2)/25))/(LN(2)/25)*Calculateur!AQ74*Calculateur!AS74*VLOOKUP('Données projet'!$B$10,Paramètres!$A$1:$I$89,3,0)*0.475*44/12</f>
        <v>2.1421974404032231</v>
      </c>
      <c r="AW74" s="21">
        <f>EXP(-LN(2)/2)*AW73+(1-EXP(-LN(2)/2))/(LN(2)/2)*AQ74*AT74*VLOOKUP('Données projet'!$B$10,Paramètres!$A$1:$I$89,3,0)*0.475*44/12</f>
        <v>0.62573631788500939</v>
      </c>
      <c r="AX74" s="21">
        <f t="shared" si="60"/>
        <v>37.831577359725841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453.99999999999977</v>
      </c>
      <c r="BE74" s="13">
        <f>BD74*VLOOKUP('Données projet'!$B$11,Paramètres!$A$1:$I$89,3,0)*VLOOKUP('Données projet'!$B$11,Paramètres!$A$1:$I$89,5,0)</f>
        <v>253.78599999999986</v>
      </c>
      <c r="BF74" s="13">
        <f t="shared" si="91"/>
        <v>61.395945216950906</v>
      </c>
      <c r="BG74" s="20">
        <f t="shared" si="61"/>
        <v>548.94188791952263</v>
      </c>
      <c r="BH74" s="59">
        <f t="shared" si="62"/>
        <v>842.275221252856</v>
      </c>
      <c r="BI74" s="59">
        <f ca="1">AVERAGE(OFFSET($BH$3,0,0,'Données projet'!$E$11+1,1))-AVERAGE(OFFSET($H$3,0,0,'Données projet'!$E$11+1,1))</f>
        <v>330.33728077846268</v>
      </c>
      <c r="BJ74" s="59">
        <f t="shared" si="92"/>
        <v>358.38872754175208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48.152612298950004</v>
      </c>
      <c r="BQ74" s="21">
        <f>EXP(-LN(2)/25)*BQ73+(1-EXP(-LN(2)/25))/(LN(2)/25)*Calculateur!BL74*Calculateur!BN74*VLOOKUP('Données projet'!$B$11,Paramètres!$A$1:$I$89,3,0)*0.475*44/12</f>
        <v>24.210087144173407</v>
      </c>
      <c r="BR74" s="21">
        <f>EXP(-LN(2)/2)*BR73+(1-EXP(-LN(2)/2))/(LN(2)/2)*BL74*BO74*VLOOKUP('Données projet'!$B$11,Paramètres!$A$1:$I$89,3,0)*0.475*44/12</f>
        <v>1.1291971066229349</v>
      </c>
      <c r="BS74" s="22">
        <f t="shared" si="63"/>
        <v>73.491896549746343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290.99999999999994</v>
      </c>
      <c r="BZ74" s="13">
        <f>BY74*VLOOKUP('Données projet'!$B$12,Paramètres!$A$1:$I$89,3,0)*VLOOKUP('Données projet'!$B$12,Paramètres!$A$1:$I$89,5,0)</f>
        <v>276.91559999999993</v>
      </c>
      <c r="CA74" s="13">
        <f t="shared" si="93"/>
        <v>66.314766879144742</v>
      </c>
      <c r="CB74" s="20">
        <f t="shared" si="64"/>
        <v>597.79288898117682</v>
      </c>
      <c r="CC74" s="59">
        <f t="shared" si="65"/>
        <v>891.12622231451019</v>
      </c>
      <c r="CD74" s="59">
        <f ca="1">AVERAGE(OFFSET($CC$3,0,0,'Données projet'!$E$12+1,1))-AVERAGE(OFFSET($H$3,0,0,'Données projet'!$E$12+1,1))</f>
        <v>367.39143258674738</v>
      </c>
      <c r="CE74" s="59">
        <f t="shared" si="94"/>
        <v>376.02790658970292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44.541540047185215</v>
      </c>
      <c r="CL74" s="21">
        <f>EXP(-LN(2)/25)*CL73+(1-EXP(-LN(2)/25))/(LN(2)/25)*Calculateur!CG74*Calculateur!CI74*VLOOKUP('Données projet'!$B$12,Paramètres!$A$1:$I$89,3,0)*0.475*44/12</f>
        <v>2.6621327743758587</v>
      </c>
      <c r="CM74" s="21">
        <f>EXP(-LN(2)/2)*CM73+(1-EXP(-LN(2)/2))/(LN(2)/2)*CG74*CJ74*VLOOKUP('Données projet'!$B$12,Paramètres!$A$1:$I$89,3,0)*0.475*44/12</f>
        <v>1.0262340450839937</v>
      </c>
      <c r="CN74" s="22">
        <f t="shared" si="66"/>
        <v>48.229906866645067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12</v>
      </c>
      <c r="CT74" s="12">
        <f>IF('Données projet'!$A$140&gt;35,CT73+CS74-DB73,IF(A74&lt;'Données projet'!$A$140,$CQ$205^A74,IF(A74='Données projet'!$A$140,'Données projet'!$B$140,CT73+CS74-DB73)))</f>
        <v>888.00000000000034</v>
      </c>
      <c r="CU74" s="17">
        <f>CT74*VLOOKUP('Données projet'!$B$13,Paramètres!$A$1:$I$89,3,0)*VLOOKUP('Données projet'!$B$13,Paramètres!$A$1:$I$89,5,0)</f>
        <v>392.49600000000021</v>
      </c>
      <c r="CV74" s="13">
        <f t="shared" si="95"/>
        <v>90.253671642343946</v>
      </c>
      <c r="CW74" s="20">
        <f t="shared" si="67"/>
        <v>840.78901144374925</v>
      </c>
      <c r="CX74" s="59">
        <f t="shared" si="68"/>
        <v>1134.1223447770826</v>
      </c>
      <c r="CY74" s="59">
        <f ca="1">AVERAGE(OFFSET($CX$3,0,0,'Données projet'!$E$13+1,1))-AVERAGE(OFFSET($H$3,0,0,'Données projet'!$E$13+1,1))</f>
        <v>500.13646131618248</v>
      </c>
      <c r="CZ74" s="59">
        <f t="shared" si="96"/>
        <v>417.58036817539306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67.38649023440685</v>
      </c>
      <c r="DG74" s="21">
        <f>EXP(-LN(2)/25)*DG73+(1-EXP(-LN(2)/25))/(LN(2)/25)*Calculateur!DB74*Calculateur!DD74*VLOOKUP('Données projet'!$B$13,Paramètres!$A$1:$I$89,3,0)*0.475*44/12</f>
        <v>32.267373310310255</v>
      </c>
      <c r="DH74" s="21">
        <f>EXP(-LN(2)/2)*DH73+(1-EXP(-LN(2)/2))/(LN(2)/2)*DB74*DE74*VLOOKUP('Données projet'!$B$13,Paramètres!$A$1:$I$89,3,0)*0.475*44/12</f>
        <v>2.3268698162430757</v>
      </c>
      <c r="DI74" s="22">
        <f t="shared" si="69"/>
        <v>101.98073336096017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371.7282125501186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34.426093481253133</v>
      </c>
      <c r="AA75" s="21">
        <f>EXP(-LN(2)/25)*AA74+(1-EXP(-LN(2)/25))/(LN(2)/25)*Calculateur!V75*Calculateur!X75*VLOOKUP('Données projet'!$B$9,Paramètres!$A$1:$I$89,3,0)*0.475*44/12</f>
        <v>2.0396012351110837</v>
      </c>
      <c r="AB75" s="21">
        <f>EXP(-LN(2)/2)*AB74+(1-EXP(-LN(2)/2))/(LN(2)/2)*V75*Y75*VLOOKUP('Données projet'!$B$9,Paramètres!$A$1:$I$89,3,0)*0.475*44/12</f>
        <v>0.65334444545394033</v>
      </c>
      <c r="AC75" s="22">
        <f t="shared" si="57"/>
        <v>37.119039161818158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305.00000000000017</v>
      </c>
      <c r="AJ75" s="13">
        <f>AI75*VLOOKUP('Données projet'!$B$10,Paramètres!$A$1:$I$89,3,0)*VLOOKUP('Données projet'!$B$10,Paramètres!$A$1:$I$89,5,0)</f>
        <v>204.59400000000011</v>
      </c>
      <c r="AK75" s="13">
        <f t="shared" si="89"/>
        <v>50.75245156043249</v>
      </c>
      <c r="AL75" s="20">
        <f t="shared" si="58"/>
        <v>444.72840313442015</v>
      </c>
      <c r="AM75" s="59">
        <f t="shared" si="59"/>
        <v>738.06173646775346</v>
      </c>
      <c r="AN75" s="59">
        <f ca="1">AVERAGE(OFFSET($AM$3,0,0,'Données projet'!$E$10+1,1))-AVERAGE(OFFSET($H$3,0,0,'Données projet'!$E$10+1,1))</f>
        <v>269.67260882504996</v>
      </c>
      <c r="AO75" s="59">
        <f t="shared" si="90"/>
        <v>272.13858200810074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34.376066937124257</v>
      </c>
      <c r="AV75" s="21">
        <f>EXP(-LN(2)/25)*AV74+(1-EXP(-LN(2)/25))/(LN(2)/25)*Calculateur!AQ75*Calculateur!AS75*VLOOKUP('Données projet'!$B$10,Paramètres!$A$1:$I$89,3,0)*0.475*44/12</f>
        <v>2.0836189387421298</v>
      </c>
      <c r="AW75" s="21">
        <f>EXP(-LN(2)/2)*AW74+(1-EXP(-LN(2)/2))/(LN(2)/2)*AQ75*AT75*VLOOKUP('Données projet'!$B$10,Paramètres!$A$1:$I$89,3,0)*0.475*44/12</f>
        <v>0.44246239361119133</v>
      </c>
      <c r="AX75" s="21">
        <f t="shared" si="60"/>
        <v>36.902148269477578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453.99999999999977</v>
      </c>
      <c r="BE75" s="13">
        <f>BD75*VLOOKUP('Données projet'!$B$11,Paramètres!$A$1:$I$89,3,0)*VLOOKUP('Données projet'!$B$11,Paramètres!$A$1:$I$89,5,0)</f>
        <v>253.78599999999986</v>
      </c>
      <c r="BF75" s="13">
        <f t="shared" si="91"/>
        <v>61.395945216950906</v>
      </c>
      <c r="BG75" s="20">
        <f t="shared" si="61"/>
        <v>548.94188791952263</v>
      </c>
      <c r="BH75" s="59">
        <f t="shared" si="62"/>
        <v>842.275221252856</v>
      </c>
      <c r="BI75" s="59">
        <f ca="1">AVERAGE(OFFSET($BH$3,0,0,'Données projet'!$E$11+1,1))-AVERAGE(OFFSET($H$3,0,0,'Données projet'!$E$11+1,1))</f>
        <v>330.33728077846268</v>
      </c>
      <c r="BJ75" s="59">
        <f t="shared" si="92"/>
        <v>358.38872754175208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47.208368941961034</v>
      </c>
      <c r="BQ75" s="21">
        <f>EXP(-LN(2)/25)*BQ74+(1-EXP(-LN(2)/25))/(LN(2)/25)*Calculateur!BL75*Calculateur!BN75*VLOOKUP('Données projet'!$B$11,Paramètres!$A$1:$I$89,3,0)*0.475*44/12</f>
        <v>23.548061038062837</v>
      </c>
      <c r="BR75" s="21">
        <f>EXP(-LN(2)/2)*BR74+(1-EXP(-LN(2)/2))/(LN(2)/2)*BL75*BO75*VLOOKUP('Données projet'!$B$11,Paramètres!$A$1:$I$89,3,0)*0.475*44/12</f>
        <v>0.79846293138930624</v>
      </c>
      <c r="BS75" s="22">
        <f t="shared" si="63"/>
        <v>71.554892911413177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290.99999999999994</v>
      </c>
      <c r="BZ75" s="13">
        <f>BY75*VLOOKUP('Données projet'!$B$12,Paramètres!$A$1:$I$89,3,0)*VLOOKUP('Données projet'!$B$12,Paramètres!$A$1:$I$89,5,0)</f>
        <v>276.91559999999993</v>
      </c>
      <c r="CA75" s="13">
        <f t="shared" si="93"/>
        <v>66.314766879144742</v>
      </c>
      <c r="CB75" s="20">
        <f t="shared" si="64"/>
        <v>597.79288898117682</v>
      </c>
      <c r="CC75" s="59">
        <f t="shared" si="65"/>
        <v>891.12622231451019</v>
      </c>
      <c r="CD75" s="59">
        <f ca="1">AVERAGE(OFFSET($CC$3,0,0,'Données projet'!$E$12+1,1))-AVERAGE(OFFSET($H$3,0,0,'Données projet'!$E$12+1,1))</f>
        <v>367.39143258674738</v>
      </c>
      <c r="CE75" s="59">
        <f t="shared" si="94"/>
        <v>376.02790658970292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43.668107614516757</v>
      </c>
      <c r="CL75" s="21">
        <f>EXP(-LN(2)/25)*CL74+(1-EXP(-LN(2)/25))/(LN(2)/25)*Calculateur!CG75*Calculateur!CI75*VLOOKUP('Données projet'!$B$12,Paramètres!$A$1:$I$89,3,0)*0.475*44/12</f>
        <v>2.5893366136650728</v>
      </c>
      <c r="CM75" s="21">
        <f>EXP(-LN(2)/2)*CM74+(1-EXP(-LN(2)/2))/(LN(2)/2)*CG75*CJ75*VLOOKUP('Données projet'!$B$12,Paramètres!$A$1:$I$89,3,0)*0.475*44/12</f>
        <v>0.72565705236339317</v>
      </c>
      <c r="CN75" s="22">
        <f t="shared" si="66"/>
        <v>46.983101280545227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12</v>
      </c>
      <c r="CT75" s="12">
        <f>IF('Données projet'!$A$140&gt;35,CT74+CS75-DB74,IF(A75&lt;'Données projet'!$A$140,$CQ$205^A75,IF(A75='Données projet'!$A$140,'Données projet'!$B$140,CT74+CS75-DB74)))</f>
        <v>900.00000000000034</v>
      </c>
      <c r="CU75" s="17">
        <f>CT75*VLOOKUP('Données projet'!$B$13,Paramètres!$A$1:$I$89,3,0)*VLOOKUP('Données projet'!$B$13,Paramètres!$A$1:$I$89,5,0)</f>
        <v>397.80000000000018</v>
      </c>
      <c r="CV75" s="13">
        <f t="shared" si="95"/>
        <v>91.330505920740748</v>
      </c>
      <c r="CW75" s="20">
        <f t="shared" si="67"/>
        <v>851.90229781195706</v>
      </c>
      <c r="CX75" s="59">
        <f t="shared" si="68"/>
        <v>1145.2356311452904</v>
      </c>
      <c r="CY75" s="59">
        <f ca="1">AVERAGE(OFFSET($CX$3,0,0,'Données projet'!$E$13+1,1))-AVERAGE(OFFSET($H$3,0,0,'Données projet'!$E$13+1,1))</f>
        <v>500.13646131618248</v>
      </c>
      <c r="CZ75" s="59">
        <f t="shared" si="96"/>
        <v>417.58036817539306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66.065082262610716</v>
      </c>
      <c r="DG75" s="21">
        <f>EXP(-LN(2)/25)*DG74+(1-EXP(-LN(2)/25))/(LN(2)/25)*Calculateur!DB75*Calculateur!DD75*VLOOKUP('Données projet'!$B$13,Paramètres!$A$1:$I$89,3,0)*0.475*44/12</f>
        <v>31.385020290272408</v>
      </c>
      <c r="DH75" s="21">
        <f>EXP(-LN(2)/2)*DH74+(1-EXP(-LN(2)/2))/(LN(2)/2)*DB75*DE75*VLOOKUP('Données projet'!$B$13,Paramètres!$A$1:$I$89,3,0)*0.475*44/12</f>
        <v>1.6453454260037748</v>
      </c>
      <c r="DI75" s="22">
        <f t="shared" si="69"/>
        <v>99.095447978886895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371.7282125501186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33.751018785929418</v>
      </c>
      <c r="AA76" s="21">
        <f>EXP(-LN(2)/25)*AA75+(1-EXP(-LN(2)/25))/(LN(2)/25)*Calculateur!V76*Calculateur!X76*VLOOKUP('Données projet'!$B$9,Paramètres!$A$1:$I$89,3,0)*0.475*44/12</f>
        <v>1.9838282320790037</v>
      </c>
      <c r="AB76" s="21">
        <f>EXP(-LN(2)/2)*AB75+(1-EXP(-LN(2)/2))/(LN(2)/2)*V76*Y76*VLOOKUP('Données projet'!$B$9,Paramètres!$A$1:$I$89,3,0)*0.475*44/12</f>
        <v>0.46198428783104567</v>
      </c>
      <c r="AC76" s="22">
        <f t="shared" si="57"/>
        <v>36.196831305839467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305.00000000000017</v>
      </c>
      <c r="AJ76" s="13">
        <f>AI76*VLOOKUP('Données projet'!$B$10,Paramètres!$A$1:$I$89,3,0)*VLOOKUP('Données projet'!$B$10,Paramètres!$A$1:$I$89,5,0)</f>
        <v>204.59400000000011</v>
      </c>
      <c r="AK76" s="13">
        <f t="shared" si="89"/>
        <v>50.75245156043249</v>
      </c>
      <c r="AL76" s="20">
        <f t="shared" si="58"/>
        <v>444.72840313442015</v>
      </c>
      <c r="AM76" s="59">
        <f t="shared" si="59"/>
        <v>738.06173646775346</v>
      </c>
      <c r="AN76" s="59">
        <f ca="1">AVERAGE(OFFSET($AM$3,0,0,'Données projet'!$E$10+1,1))-AVERAGE(OFFSET($H$3,0,0,'Données projet'!$E$10+1,1))</f>
        <v>269.67260882504996</v>
      </c>
      <c r="AO76" s="59">
        <f t="shared" si="90"/>
        <v>272.13858200810074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33.701973231817732</v>
      </c>
      <c r="AV76" s="21">
        <f>EXP(-LN(2)/25)*AV75+(1-EXP(-LN(2)/25))/(LN(2)/25)*Calculateur!AQ76*Calculateur!AS76*VLOOKUP('Données projet'!$B$10,Paramètres!$A$1:$I$89,3,0)*0.475*44/12</f>
        <v>2.0266422692894683</v>
      </c>
      <c r="AW76" s="21">
        <f>EXP(-LN(2)/2)*AW75+(1-EXP(-LN(2)/2))/(LN(2)/2)*AQ76*AT76*VLOOKUP('Données projet'!$B$10,Paramètres!$A$1:$I$89,3,0)*0.475*44/12</f>
        <v>0.31286815894250475</v>
      </c>
      <c r="AX76" s="21">
        <f t="shared" si="60"/>
        <v>36.041483660049707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453.99999999999977</v>
      </c>
      <c r="BE76" s="13">
        <f>BD76*VLOOKUP('Données projet'!$B$11,Paramètres!$A$1:$I$89,3,0)*VLOOKUP('Données projet'!$B$11,Paramètres!$A$1:$I$89,5,0)</f>
        <v>253.78599999999986</v>
      </c>
      <c r="BF76" s="13">
        <f t="shared" si="91"/>
        <v>61.395945216950906</v>
      </c>
      <c r="BG76" s="20">
        <f t="shared" si="61"/>
        <v>548.94188791952263</v>
      </c>
      <c r="BH76" s="59">
        <f t="shared" si="62"/>
        <v>842.275221252856</v>
      </c>
      <c r="BI76" s="59">
        <f ca="1">AVERAGE(OFFSET($BH$3,0,0,'Données projet'!$E$11+1,1))-AVERAGE(OFFSET($H$3,0,0,'Données projet'!$E$11+1,1))</f>
        <v>330.33728077846268</v>
      </c>
      <c r="BJ76" s="59">
        <f t="shared" si="92"/>
        <v>358.38872754175208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46.282641621271033</v>
      </c>
      <c r="BQ76" s="21">
        <f>EXP(-LN(2)/25)*BQ75+(1-EXP(-LN(2)/25))/(LN(2)/25)*Calculateur!BL76*Calculateur!BN76*VLOOKUP('Données projet'!$B$11,Paramètres!$A$1:$I$89,3,0)*0.475*44/12</f>
        <v>22.9041380706383</v>
      </c>
      <c r="BR76" s="21">
        <f>EXP(-LN(2)/2)*BR75+(1-EXP(-LN(2)/2))/(LN(2)/2)*BL76*BO76*VLOOKUP('Données projet'!$B$11,Paramètres!$A$1:$I$89,3,0)*0.475*44/12</f>
        <v>0.56459855331146747</v>
      </c>
      <c r="BS76" s="22">
        <f t="shared" si="63"/>
        <v>69.751378245220806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290.99999999999994</v>
      </c>
      <c r="BZ76" s="13">
        <f>BY76*VLOOKUP('Données projet'!$B$12,Paramètres!$A$1:$I$89,3,0)*VLOOKUP('Données projet'!$B$12,Paramètres!$A$1:$I$89,5,0)</f>
        <v>276.91559999999993</v>
      </c>
      <c r="CA76" s="13">
        <f t="shared" si="93"/>
        <v>66.314766879144742</v>
      </c>
      <c r="CB76" s="20">
        <f t="shared" si="64"/>
        <v>597.79288898117682</v>
      </c>
      <c r="CC76" s="59">
        <f t="shared" si="65"/>
        <v>891.12622231451019</v>
      </c>
      <c r="CD76" s="59">
        <f ca="1">AVERAGE(OFFSET($CC$3,0,0,'Données projet'!$E$12+1,1))-AVERAGE(OFFSET($H$3,0,0,'Données projet'!$E$12+1,1))</f>
        <v>367.39143258674738</v>
      </c>
      <c r="CE76" s="59">
        <f t="shared" si="94"/>
        <v>376.02790658970292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42.811802659111748</v>
      </c>
      <c r="CL76" s="21">
        <f>EXP(-LN(2)/25)*CL75+(1-EXP(-LN(2)/25))/(LN(2)/25)*Calculateur!CG76*Calculateur!CI76*VLOOKUP('Données projet'!$B$12,Paramètres!$A$1:$I$89,3,0)*0.475*44/12</f>
        <v>2.5185310677971069</v>
      </c>
      <c r="CM76" s="21">
        <f>EXP(-LN(2)/2)*CM75+(1-EXP(-LN(2)/2))/(LN(2)/2)*CG76*CJ76*VLOOKUP('Données projet'!$B$12,Paramètres!$A$1:$I$89,3,0)*0.475*44/12</f>
        <v>0.51311702254199698</v>
      </c>
      <c r="CN76" s="22">
        <f t="shared" si="66"/>
        <v>45.843450749450852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12</v>
      </c>
      <c r="CT76" s="12">
        <f>IF('Données projet'!$A$140&gt;35,CT75+CS76-DB75,IF(A76&lt;'Données projet'!$A$140,$CQ$205^A76,IF(A76='Données projet'!$A$140,'Données projet'!$B$140,CT75+CS76-DB75)))</f>
        <v>912.00000000000034</v>
      </c>
      <c r="CU76" s="17">
        <f>CT76*VLOOKUP('Données projet'!$B$13,Paramètres!$A$1:$I$89,3,0)*VLOOKUP('Données projet'!$B$13,Paramètres!$A$1:$I$89,5,0)</f>
        <v>403.10400000000021</v>
      </c>
      <c r="CV76" s="13">
        <f t="shared" si="95"/>
        <v>92.405670196231384</v>
      </c>
      <c r="CW76" s="20">
        <f t="shared" si="67"/>
        <v>863.01267559176995</v>
      </c>
      <c r="CX76" s="59">
        <f t="shared" si="68"/>
        <v>1156.3460089251032</v>
      </c>
      <c r="CY76" s="59">
        <f ca="1">AVERAGE(OFFSET($CX$3,0,0,'Données projet'!$E$13+1,1))-AVERAGE(OFFSET($H$3,0,0,'Données projet'!$E$13+1,1))</f>
        <v>500.13646131618248</v>
      </c>
      <c r="CZ76" s="59">
        <f t="shared" si="96"/>
        <v>417.58036817539306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64.769586295162227</v>
      </c>
      <c r="DG76" s="21">
        <f>EXP(-LN(2)/25)*DG75+(1-EXP(-LN(2)/25))/(LN(2)/25)*Calculateur!DB76*Calculateur!DD76*VLOOKUP('Données projet'!$B$13,Paramètres!$A$1:$I$89,3,0)*0.475*44/12</f>
        <v>30.526795259968424</v>
      </c>
      <c r="DH76" s="21">
        <f>EXP(-LN(2)/2)*DH75+(1-EXP(-LN(2)/2))/(LN(2)/2)*DB76*DE76*VLOOKUP('Données projet'!$B$13,Paramètres!$A$1:$I$89,3,0)*0.475*44/12</f>
        <v>1.163434908121538</v>
      </c>
      <c r="DI76" s="22">
        <f t="shared" si="69"/>
        <v>96.459816463252196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371.7282125501186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33.08918189362609</v>
      </c>
      <c r="AA77" s="21">
        <f>EXP(-LN(2)/25)*AA76+(1-EXP(-LN(2)/25))/(LN(2)/25)*Calculateur!V77*Calculateur!X77*VLOOKUP('Données projet'!$B$9,Paramètres!$A$1:$I$89,3,0)*0.475*44/12</f>
        <v>1.9295803447478108</v>
      </c>
      <c r="AB77" s="21">
        <f>EXP(-LN(2)/2)*AB76+(1-EXP(-LN(2)/2))/(LN(2)/2)*V77*Y77*VLOOKUP('Données projet'!$B$9,Paramètres!$A$1:$I$89,3,0)*0.475*44/12</f>
        <v>0.32667222272697022</v>
      </c>
      <c r="AC77" s="22">
        <f t="shared" si="57"/>
        <v>35.345434461100872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305.00000000000017</v>
      </c>
      <c r="AJ77" s="13">
        <f>AI77*VLOOKUP('Données projet'!$B$10,Paramètres!$A$1:$I$89,3,0)*VLOOKUP('Données projet'!$B$10,Paramètres!$A$1:$I$89,5,0)</f>
        <v>204.59400000000011</v>
      </c>
      <c r="AK77" s="13">
        <f t="shared" si="89"/>
        <v>50.75245156043249</v>
      </c>
      <c r="AL77" s="20">
        <f t="shared" si="58"/>
        <v>444.72840313442015</v>
      </c>
      <c r="AM77" s="59">
        <f t="shared" si="59"/>
        <v>738.06173646775346</v>
      </c>
      <c r="AN77" s="59">
        <f ca="1">AVERAGE(OFFSET($AM$3,0,0,'Données projet'!$E$10+1,1))-AVERAGE(OFFSET($H$3,0,0,'Données projet'!$E$10+1,1))</f>
        <v>269.67260882504996</v>
      </c>
      <c r="AO77" s="59">
        <f t="shared" si="90"/>
        <v>272.13858200810074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33.041098092915703</v>
      </c>
      <c r="AV77" s="21">
        <f>EXP(-LN(2)/25)*AV76+(1-EXP(-LN(2)/25))/(LN(2)/25)*Calculateur!AQ77*Calculateur!AS77*VLOOKUP('Données projet'!$B$10,Paramètres!$A$1:$I$89,3,0)*0.475*44/12</f>
        <v>1.9712236298592629</v>
      </c>
      <c r="AW77" s="21">
        <f>EXP(-LN(2)/2)*AW76+(1-EXP(-LN(2)/2))/(LN(2)/2)*AQ77*AT77*VLOOKUP('Données projet'!$B$10,Paramètres!$A$1:$I$89,3,0)*0.475*44/12</f>
        <v>0.22123119680559569</v>
      </c>
      <c r="AX77" s="21">
        <f t="shared" si="60"/>
        <v>35.233552919580561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453.99999999999977</v>
      </c>
      <c r="BE77" s="13">
        <f>BD77*VLOOKUP('Données projet'!$B$11,Paramètres!$A$1:$I$89,3,0)*VLOOKUP('Données projet'!$B$11,Paramètres!$A$1:$I$89,5,0)</f>
        <v>253.78599999999986</v>
      </c>
      <c r="BF77" s="13">
        <f t="shared" si="91"/>
        <v>61.395945216950906</v>
      </c>
      <c r="BG77" s="20">
        <f t="shared" si="61"/>
        <v>548.94188791952263</v>
      </c>
      <c r="BH77" s="59">
        <f t="shared" si="62"/>
        <v>842.275221252856</v>
      </c>
      <c r="BI77" s="59">
        <f ca="1">AVERAGE(OFFSET($BH$3,0,0,'Données projet'!$E$11+1,1))-AVERAGE(OFFSET($H$3,0,0,'Données projet'!$E$11+1,1))</f>
        <v>330.33728077846268</v>
      </c>
      <c r="BJ77" s="59">
        <f t="shared" si="92"/>
        <v>358.38872754175208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45.375067248701853</v>
      </c>
      <c r="BQ77" s="21">
        <f>EXP(-LN(2)/25)*BQ76+(1-EXP(-LN(2)/25))/(LN(2)/25)*Calculateur!BL77*Calculateur!BN77*VLOOKUP('Données projet'!$B$11,Paramètres!$A$1:$I$89,3,0)*0.475*44/12</f>
        <v>22.277823210620422</v>
      </c>
      <c r="BR77" s="21">
        <f>EXP(-LN(2)/2)*BR76+(1-EXP(-LN(2)/2))/(LN(2)/2)*BL77*BO77*VLOOKUP('Données projet'!$B$11,Paramètres!$A$1:$I$89,3,0)*0.475*44/12</f>
        <v>0.39923146569465312</v>
      </c>
      <c r="BS77" s="22">
        <f t="shared" si="63"/>
        <v>68.052121925016934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290.99999999999994</v>
      </c>
      <c r="BZ77" s="13">
        <f>BY77*VLOOKUP('Données projet'!$B$12,Paramètres!$A$1:$I$89,3,0)*VLOOKUP('Données projet'!$B$12,Paramètres!$A$1:$I$89,5,0)</f>
        <v>276.91559999999993</v>
      </c>
      <c r="CA77" s="13">
        <f t="shared" si="93"/>
        <v>66.314766879144742</v>
      </c>
      <c r="CB77" s="20">
        <f t="shared" si="64"/>
        <v>597.79288898117682</v>
      </c>
      <c r="CC77" s="59">
        <f t="shared" si="65"/>
        <v>891.12622231451019</v>
      </c>
      <c r="CD77" s="59">
        <f ca="1">AVERAGE(OFFSET($CC$3,0,0,'Données projet'!$E$12+1,1))-AVERAGE(OFFSET($H$3,0,0,'Données projet'!$E$12+1,1))</f>
        <v>367.39143258674738</v>
      </c>
      <c r="CE77" s="59">
        <f t="shared" si="94"/>
        <v>376.02790658970292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41.97228932158778</v>
      </c>
      <c r="CL77" s="21">
        <f>EXP(-LN(2)/25)*CL76+(1-EXP(-LN(2)/25))/(LN(2)/25)*Calculateur!CG77*Calculateur!CI77*VLOOKUP('Données projet'!$B$12,Paramètres!$A$1:$I$89,3,0)*0.475*44/12</f>
        <v>2.4496617033044021</v>
      </c>
      <c r="CM77" s="21">
        <f>EXP(-LN(2)/2)*CM76+(1-EXP(-LN(2)/2))/(LN(2)/2)*CG77*CJ77*VLOOKUP('Données projet'!$B$12,Paramètres!$A$1:$I$89,3,0)*0.475*44/12</f>
        <v>0.36282852618169664</v>
      </c>
      <c r="CN77" s="22">
        <f t="shared" si="66"/>
        <v>44.784779551073875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12</v>
      </c>
      <c r="CT77" s="12">
        <f>IF('Données projet'!$A$140&gt;35,CT76+CS77-DB76,IF(A77&lt;'Données projet'!$A$140,$CQ$205^A77,IF(A77='Données projet'!$A$140,'Données projet'!$B$140,CT76+CS77-DB76)))</f>
        <v>924.00000000000034</v>
      </c>
      <c r="CU77" s="17">
        <f>CT77*VLOOKUP('Données projet'!$B$13,Paramètres!$A$1:$I$89,3,0)*VLOOKUP('Données projet'!$B$13,Paramètres!$A$1:$I$89,5,0)</f>
        <v>408.40800000000019</v>
      </c>
      <c r="CV77" s="13">
        <f t="shared" si="95"/>
        <v>93.479188982926331</v>
      </c>
      <c r="CW77" s="20">
        <f t="shared" si="67"/>
        <v>874.12018747859702</v>
      </c>
      <c r="CX77" s="59">
        <f t="shared" si="68"/>
        <v>1167.4535208119303</v>
      </c>
      <c r="CY77" s="59">
        <f ca="1">AVERAGE(OFFSET($CX$3,0,0,'Données projet'!$E$13+1,1))-AVERAGE(OFFSET($H$3,0,0,'Données projet'!$E$13+1,1))</f>
        <v>500.13646131618248</v>
      </c>
      <c r="CZ77" s="59">
        <f t="shared" si="96"/>
        <v>417.58036817539306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63.499494213460885</v>
      </c>
      <c r="DG77" s="21">
        <f>EXP(-LN(2)/25)*DG76+(1-EXP(-LN(2)/25))/(LN(2)/25)*Calculateur!DB77*Calculateur!DD77*VLOOKUP('Données projet'!$B$13,Paramètres!$A$1:$I$89,3,0)*0.475*44/12</f>
        <v>29.692038438250194</v>
      </c>
      <c r="DH77" s="21">
        <f>EXP(-LN(2)/2)*DH76+(1-EXP(-LN(2)/2))/(LN(2)/2)*DB77*DE77*VLOOKUP('Données projet'!$B$13,Paramètres!$A$1:$I$89,3,0)*0.475*44/12</f>
        <v>0.82267271300188749</v>
      </c>
      <c r="DI77" s="22">
        <f t="shared" si="69"/>
        <v>94.014205364712964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371.7282125501186</v>
      </c>
      <c r="T78" s="59">
        <f t="shared" si="88"/>
        <v>231.36959598460686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0.34400000000000003</v>
      </c>
      <c r="X78" s="16">
        <f>IF(ISNA(VLOOKUP(A78,'Données projet'!$A$35:$I$55,6,0)),0%,VLOOKUP(A78,'Données projet'!$A$35:$I$55,6,0)*VLOOKUP('Données projet'!$B$9,Paramètres!$A$1:$I$89,7,0))</f>
        <v>1.72E-2</v>
      </c>
      <c r="Y78" s="16">
        <f>IF(ISNA(VLOOKUP(A78,'Données projet'!$A$35:$I$55,7,0)),0%,VLOOKUP(A78,'Données projet'!$A$35:$I$55,7,0))</f>
        <v>0.06</v>
      </c>
      <c r="Z78" s="21">
        <f>EXP(-LN(2)/35)*Z77+(1-EXP(-LN(2)/35))/(LN(2)/35)*V78*W78*VLOOKUP('Données projet'!$B$9,Paramètres!$A$1:$I$89,3,0)*0.475*44/12</f>
        <v>39.665981845176006</v>
      </c>
      <c r="AA78" s="21">
        <f>EXP(-LN(2)/25)*AA77+(1-EXP(-LN(2)/25))/(LN(2)/25)*Calculateur!V78*Calculateur!X78*VLOOKUP('Données projet'!$B$9,Paramètres!$A$1:$I$89,3,0)*0.475*44/12</f>
        <v>2.2366762914921199</v>
      </c>
      <c r="AB78" s="21">
        <f>EXP(-LN(2)/2)*AB77+(1-EXP(-LN(2)/2))/(LN(2)/2)*V78*Y78*VLOOKUP('Données projet'!$B$9,Paramètres!$A$1:$I$89,3,0)*0.475*44/12</f>
        <v>1.3066581158575663</v>
      </c>
      <c r="AC78" s="22">
        <f t="shared" si="57"/>
        <v>43.209316252525689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305.00000000000017</v>
      </c>
      <c r="AJ78" s="13">
        <f>AI78*VLOOKUP('Données projet'!$B$10,Paramètres!$A$1:$I$89,3,0)*VLOOKUP('Données projet'!$B$10,Paramètres!$A$1:$I$89,5,0)</f>
        <v>204.59400000000011</v>
      </c>
      <c r="AK78" s="13">
        <f t="shared" si="89"/>
        <v>50.75245156043249</v>
      </c>
      <c r="AL78" s="20">
        <f t="shared" si="58"/>
        <v>444.72840313442015</v>
      </c>
      <c r="AM78" s="59">
        <f t="shared" si="59"/>
        <v>738.06173646775346</v>
      </c>
      <c r="AN78" s="59">
        <f ca="1">AVERAGE(OFFSET($AM$3,0,0,'Données projet'!$E$10+1,1))-AVERAGE(OFFSET($H$3,0,0,'Données projet'!$E$10+1,1))</f>
        <v>269.67260882504996</v>
      </c>
      <c r="AO78" s="59">
        <f t="shared" si="90"/>
        <v>272.13858200810074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32.393182312393513</v>
      </c>
      <c r="AV78" s="21">
        <f>EXP(-LN(2)/25)*AV77+(1-EXP(-LN(2)/25))/(LN(2)/25)*Calculateur!AQ78*Calculateur!AS78*VLOOKUP('Données projet'!$B$10,Paramètres!$A$1:$I$89,3,0)*0.475*44/12</f>
        <v>1.9173204160386159</v>
      </c>
      <c r="AW78" s="21">
        <f>EXP(-LN(2)/2)*AW77+(1-EXP(-LN(2)/2))/(LN(2)/2)*AQ78*AT78*VLOOKUP('Données projet'!$B$10,Paramètres!$A$1:$I$89,3,0)*0.475*44/12</f>
        <v>0.1564340794712524</v>
      </c>
      <c r="AX78" s="21">
        <f t="shared" si="60"/>
        <v>34.46693680790338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453.99999999999977</v>
      </c>
      <c r="BE78" s="13">
        <f>BD78*VLOOKUP('Données projet'!$B$11,Paramètres!$A$1:$I$89,3,0)*VLOOKUP('Données projet'!$B$11,Paramètres!$A$1:$I$89,5,0)</f>
        <v>253.78599999999986</v>
      </c>
      <c r="BF78" s="13">
        <f t="shared" si="91"/>
        <v>61.395945216950906</v>
      </c>
      <c r="BG78" s="20">
        <f t="shared" si="61"/>
        <v>548.94188791952263</v>
      </c>
      <c r="BH78" s="59">
        <f t="shared" si="62"/>
        <v>842.275221252856</v>
      </c>
      <c r="BI78" s="59">
        <f ca="1">AVERAGE(OFFSET($BH$3,0,0,'Données projet'!$E$11+1,1))-AVERAGE(OFFSET($H$3,0,0,'Données projet'!$E$11+1,1))</f>
        <v>330.33728077846268</v>
      </c>
      <c r="BJ78" s="59">
        <f t="shared" si="92"/>
        <v>358.38872754175208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44.485289856013047</v>
      </c>
      <c r="BQ78" s="21">
        <f>EXP(-LN(2)/25)*BQ77+(1-EXP(-LN(2)/25))/(LN(2)/25)*Calculateur!BL78*Calculateur!BN78*VLOOKUP('Données projet'!$B$11,Paramètres!$A$1:$I$89,3,0)*0.475*44/12</f>
        <v>21.6686349633862</v>
      </c>
      <c r="BR78" s="21">
        <f>EXP(-LN(2)/2)*BR77+(1-EXP(-LN(2)/2))/(LN(2)/2)*BL78*BO78*VLOOKUP('Données projet'!$B$11,Paramètres!$A$1:$I$89,3,0)*0.475*44/12</f>
        <v>0.28229927665573373</v>
      </c>
      <c r="BS78" s="22">
        <f t="shared" si="63"/>
        <v>66.436224096054985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290.99999999999994</v>
      </c>
      <c r="BZ78" s="13">
        <f>BY78*VLOOKUP('Données projet'!$B$12,Paramètres!$A$1:$I$89,3,0)*VLOOKUP('Données projet'!$B$12,Paramètres!$A$1:$I$89,5,0)</f>
        <v>276.91559999999993</v>
      </c>
      <c r="CA78" s="13">
        <f t="shared" si="93"/>
        <v>66.314766879144742</v>
      </c>
      <c r="CB78" s="20">
        <f t="shared" si="64"/>
        <v>597.79288898117682</v>
      </c>
      <c r="CC78" s="59">
        <f t="shared" si="65"/>
        <v>891.12622231451019</v>
      </c>
      <c r="CD78" s="59">
        <f ca="1">AVERAGE(OFFSET($CC$3,0,0,'Données projet'!$E$12+1,1))-AVERAGE(OFFSET($H$3,0,0,'Données projet'!$E$12+1,1))</f>
        <v>367.39143258674738</v>
      </c>
      <c r="CE78" s="59">
        <f t="shared" si="94"/>
        <v>376.02790658970292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41.149238328560081</v>
      </c>
      <c r="CL78" s="21">
        <f>EXP(-LN(2)/25)*CL77+(1-EXP(-LN(2)/25))/(LN(2)/25)*Calculateur!CG78*Calculateur!CI78*VLOOKUP('Données projet'!$B$12,Paramètres!$A$1:$I$89,3,0)*0.475*44/12</f>
        <v>2.3826755752054329</v>
      </c>
      <c r="CM78" s="21">
        <f>EXP(-LN(2)/2)*CM77+(1-EXP(-LN(2)/2))/(LN(2)/2)*CG78*CJ78*VLOOKUP('Données projet'!$B$12,Paramètres!$A$1:$I$89,3,0)*0.475*44/12</f>
        <v>0.25655851127099849</v>
      </c>
      <c r="CN78" s="22">
        <f t="shared" si="66"/>
        <v>43.788472415036509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936</v>
      </c>
      <c r="CR78" s="12">
        <f>VLOOKUP(A78,'Données projet'!$A$139:$I$159,9,0)</f>
        <v>12</v>
      </c>
      <c r="CS78" s="12">
        <f t="array" ref="CS78">INDEX(CR:CR,MIN(IF(ISNUMBER(CR78:CR274),ROW(CR78:CR274),"")))</f>
        <v>12</v>
      </c>
      <c r="CT78" s="12">
        <f>IF('Données projet'!$A$140&gt;35,CT77+CS78-DB77,IF(A78&lt;'Données projet'!$A$140,$CQ$205^A78,IF(A78='Données projet'!$A$140,'Données projet'!$B$140,CT77+CS78-DB77)))</f>
        <v>936.00000000000034</v>
      </c>
      <c r="CU78" s="17">
        <f>CT78*VLOOKUP('Données projet'!$B$13,Paramètres!$A$1:$I$89,3,0)*VLOOKUP('Données projet'!$B$13,Paramètres!$A$1:$I$89,5,0)</f>
        <v>413.71200000000016</v>
      </c>
      <c r="CV78" s="13">
        <f t="shared" si="95"/>
        <v>94.55108612160069</v>
      </c>
      <c r="CW78" s="20">
        <f t="shared" si="67"/>
        <v>885.22487499512147</v>
      </c>
      <c r="CX78" s="59">
        <f t="shared" si="68"/>
        <v>1178.5582083284548</v>
      </c>
      <c r="CY78" s="59">
        <f ca="1">AVERAGE(OFFSET($CX$3,0,0,'Données projet'!$E$13+1,1))-AVERAGE(OFFSET($H$3,0,0,'Données projet'!$E$13+1,1))</f>
        <v>500.13646131618248</v>
      </c>
      <c r="CZ78" s="59">
        <f t="shared" si="96"/>
        <v>417.58036817539306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30</v>
      </c>
      <c r="DC78" s="16">
        <f>IF(ISNA(VLOOKUP(A78,'Données projet'!$A$139:$I$159,5,0)),0%,VLOOKUP(A78,'Données projet'!$A$139:$I$159,5,0)*VLOOKUP('Données projet'!$B$13,Paramètres!$A$1:$I$89,7,0))</f>
        <v>0.38500000000000001</v>
      </c>
      <c r="DD78" s="16">
        <f>IF(ISNA(VLOOKUP(A78,'Données projet'!$A$139:$I$159,6,0)),0%,VLOOKUP(A78,'Données projet'!$A$139:$I$159,6,0)*VLOOKUP('Données projet'!$B$13,Paramètres!$A$1:$I$89,7,0))</f>
        <v>0.13750000000000001</v>
      </c>
      <c r="DE78" s="16">
        <f>IF(ISNA(VLOOKUP(A78,'Données projet'!$A$139:$I$159,7,0)),0%,VLOOKUP(A78,'Données projet'!$A$139:$I$159,7,0))</f>
        <v>0.15</v>
      </c>
      <c r="DF78" s="21">
        <f>EXP(-LN(2)/35)*DF77+(1-EXP(-LN(2)/35))/(LN(2)/35)*DB78*DC78*VLOOKUP('Données projet'!$B$13,Paramètres!$A$1:$I$89,3,0)*0.475*44/12</f>
        <v>69.026552064266426</v>
      </c>
      <c r="DG78" s="21">
        <f>EXP(-LN(2)/25)*DG77+(1-EXP(-LN(2)/25))/(LN(2)/25)*Calculateur!DB78*Calculateur!DD78*VLOOKUP('Données projet'!$B$13,Paramètres!$A$1:$I$89,3,0)*0.475*44/12</f>
        <v>31.28924354843976</v>
      </c>
      <c r="DH78" s="21">
        <f>EXP(-LN(2)/2)*DH77+(1-EXP(-LN(2)/2))/(LN(2)/2)*DB78*DE78*VLOOKUP('Données projet'!$B$13,Paramètres!$A$1:$I$89,3,0)*0.475*44/12</f>
        <v>2.83372749384091</v>
      </c>
      <c r="DI78" s="22">
        <f t="shared" si="69"/>
        <v>103.14952310654709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371.7282125501186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38.888156135052085</v>
      </c>
      <c r="AA79" s="21">
        <f>EXP(-LN(2)/25)*AA78+(1-EXP(-LN(2)/25))/(LN(2)/25)*Calculateur!V79*Calculateur!X79*VLOOKUP('Données projet'!$B$9,Paramètres!$A$1:$I$89,3,0)*0.475*44/12</f>
        <v>2.1755142606795737</v>
      </c>
      <c r="AB79" s="21">
        <f>EXP(-LN(2)/2)*AB78+(1-EXP(-LN(2)/2))/(LN(2)/2)*V79*Y79*VLOOKUP('Données projet'!$B$9,Paramètres!$A$1:$I$89,3,0)*0.475*44/12</f>
        <v>0.92394681441532267</v>
      </c>
      <c r="AC79" s="22">
        <f t="shared" si="57"/>
        <v>41.987617210146986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305.00000000000017</v>
      </c>
      <c r="AJ79" s="13">
        <f>AI79*VLOOKUP('Données projet'!$B$10,Paramètres!$A$1:$I$89,3,0)*VLOOKUP('Données projet'!$B$10,Paramètres!$A$1:$I$89,5,0)</f>
        <v>204.59400000000011</v>
      </c>
      <c r="AK79" s="13">
        <f t="shared" si="89"/>
        <v>50.75245156043249</v>
      </c>
      <c r="AL79" s="20">
        <f t="shared" si="58"/>
        <v>444.72840313442015</v>
      </c>
      <c r="AM79" s="59">
        <f t="shared" si="59"/>
        <v>738.06173646775346</v>
      </c>
      <c r="AN79" s="59">
        <f ca="1">AVERAGE(OFFSET($AM$3,0,0,'Données projet'!$E$10+1,1))-AVERAGE(OFFSET($H$3,0,0,'Données projet'!$E$10+1,1))</f>
        <v>269.67260882504996</v>
      </c>
      <c r="AO79" s="59">
        <f t="shared" si="90"/>
        <v>272.13858200810074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31.757971765137757</v>
      </c>
      <c r="AV79" s="21">
        <f>EXP(-LN(2)/25)*AV78+(1-EXP(-LN(2)/25))/(LN(2)/25)*Calculateur!AQ79*Calculateur!AS79*VLOOKUP('Données projet'!$B$10,Paramètres!$A$1:$I$89,3,0)*0.475*44/12</f>
        <v>1.8648911884345414</v>
      </c>
      <c r="AW79" s="21">
        <f>EXP(-LN(2)/2)*AW78+(1-EXP(-LN(2)/2))/(LN(2)/2)*AQ79*AT79*VLOOKUP('Données projet'!$B$10,Paramètres!$A$1:$I$89,3,0)*0.475*44/12</f>
        <v>0.11061559840279786</v>
      </c>
      <c r="AX79" s="21">
        <f t="shared" si="60"/>
        <v>33.733478551975097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453.99999999999977</v>
      </c>
      <c r="BE79" s="13">
        <f>BD79*VLOOKUP('Données projet'!$B$11,Paramètres!$A$1:$I$89,3,0)*VLOOKUP('Données projet'!$B$11,Paramètres!$A$1:$I$89,5,0)</f>
        <v>253.78599999999986</v>
      </c>
      <c r="BF79" s="13">
        <f t="shared" si="91"/>
        <v>61.395945216950906</v>
      </c>
      <c r="BG79" s="20">
        <f t="shared" si="61"/>
        <v>548.94188791952263</v>
      </c>
      <c r="BH79" s="59">
        <f t="shared" si="62"/>
        <v>842.275221252856</v>
      </c>
      <c r="BI79" s="59">
        <f ca="1">AVERAGE(OFFSET($BH$3,0,0,'Données projet'!$E$11+1,1))-AVERAGE(OFFSET($H$3,0,0,'Données projet'!$E$11+1,1))</f>
        <v>330.33728077846268</v>
      </c>
      <c r="BJ79" s="59">
        <f t="shared" si="92"/>
        <v>358.38872754175208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43.612960455284245</v>
      </c>
      <c r="BQ79" s="21">
        <f>EXP(-LN(2)/25)*BQ78+(1-EXP(-LN(2)/25))/(LN(2)/25)*Calculateur!BL79*Calculateur!BN79*VLOOKUP('Données projet'!$B$11,Paramètres!$A$1:$I$89,3,0)*0.475*44/12</f>
        <v>21.076105000808415</v>
      </c>
      <c r="BR79" s="21">
        <f>EXP(-LN(2)/2)*BR78+(1-EXP(-LN(2)/2))/(LN(2)/2)*BL79*BO79*VLOOKUP('Données projet'!$B$11,Paramètres!$A$1:$I$89,3,0)*0.475*44/12</f>
        <v>0.19961573284732656</v>
      </c>
      <c r="BS79" s="22">
        <f t="shared" si="63"/>
        <v>64.888681188939984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290.99999999999994</v>
      </c>
      <c r="BZ79" s="13">
        <f>BY79*VLOOKUP('Données projet'!$B$12,Paramètres!$A$1:$I$89,3,0)*VLOOKUP('Données projet'!$B$12,Paramètres!$A$1:$I$89,5,0)</f>
        <v>276.91559999999993</v>
      </c>
      <c r="CA79" s="13">
        <f t="shared" si="93"/>
        <v>66.314766879144742</v>
      </c>
      <c r="CB79" s="20">
        <f t="shared" si="64"/>
        <v>597.79288898117682</v>
      </c>
      <c r="CC79" s="59">
        <f t="shared" si="65"/>
        <v>891.12622231451019</v>
      </c>
      <c r="CD79" s="59">
        <f ca="1">AVERAGE(OFFSET($CC$3,0,0,'Données projet'!$E$12+1,1))-AVERAGE(OFFSET($H$3,0,0,'Données projet'!$E$12+1,1))</f>
        <v>367.39143258674738</v>
      </c>
      <c r="CE79" s="59">
        <f t="shared" si="94"/>
        <v>376.02790658970292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40.342326863494122</v>
      </c>
      <c r="CL79" s="21">
        <f>EXP(-LN(2)/25)*CL78+(1-EXP(-LN(2)/25))/(LN(2)/25)*Calculateur!CG79*Calculateur!CI79*VLOOKUP('Données projet'!$B$12,Paramètres!$A$1:$I$89,3,0)*0.475*44/12</f>
        <v>2.3175211863019776</v>
      </c>
      <c r="CM79" s="21">
        <f>EXP(-LN(2)/2)*CM78+(1-EXP(-LN(2)/2))/(LN(2)/2)*CG79*CJ79*VLOOKUP('Données projet'!$B$12,Paramètres!$A$1:$I$89,3,0)*0.475*44/12</f>
        <v>0.18141426309084832</v>
      </c>
      <c r="CN79" s="22">
        <f t="shared" si="66"/>
        <v>42.841262312886947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</v>
      </c>
      <c r="CT79" s="12">
        <f>IF('Données projet'!$A$140&gt;35,CT78+CS79-DB78,IF(A79&lt;'Données projet'!$A$140,$CQ$205^A79,IF(A79='Données projet'!$A$140,'Données projet'!$B$140,CT78+CS79-DB78)))</f>
        <v>915.00000000000034</v>
      </c>
      <c r="CU79" s="17">
        <f>CT79*VLOOKUP('Données projet'!$B$13,Paramètres!$A$1:$I$89,3,0)*VLOOKUP('Données projet'!$B$13,Paramètres!$A$1:$I$89,5,0)</f>
        <v>404.43000000000018</v>
      </c>
      <c r="CV79" s="13">
        <f t="shared" si="95"/>
        <v>92.674203214904111</v>
      </c>
      <c r="CW79" s="20">
        <f t="shared" si="67"/>
        <v>865.78982059929149</v>
      </c>
      <c r="CX79" s="59">
        <f t="shared" si="68"/>
        <v>1159.1231539326247</v>
      </c>
      <c r="CY79" s="59">
        <f ca="1">AVERAGE(OFFSET($CX$3,0,0,'Données projet'!$E$13+1,1))-AVERAGE(OFFSET($H$3,0,0,'Données projet'!$E$13+1,1))</f>
        <v>500.13646131618248</v>
      </c>
      <c r="CZ79" s="59">
        <f t="shared" si="96"/>
        <v>417.58036817539306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67.672983480325684</v>
      </c>
      <c r="DG79" s="21">
        <f>EXP(-LN(2)/25)*DG78+(1-EXP(-LN(2)/25))/(LN(2)/25)*Calculateur!DB79*Calculateur!DD79*VLOOKUP('Données projet'!$B$13,Paramètres!$A$1:$I$89,3,0)*0.475*44/12</f>
        <v>30.433637538177869</v>
      </c>
      <c r="DH79" s="21">
        <f>EXP(-LN(2)/2)*DH78+(1-EXP(-LN(2)/2))/(LN(2)/2)*DB79*DE79*VLOOKUP('Données projet'!$B$13,Paramètres!$A$1:$I$89,3,0)*0.475*44/12</f>
        <v>2.0037479269296683</v>
      </c>
      <c r="DI79" s="22">
        <f t="shared" si="69"/>
        <v>100.11036894543321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371.7282125501186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38.125583112676857</v>
      </c>
      <c r="AA80" s="21">
        <f>EXP(-LN(2)/25)*AA79+(1-EXP(-LN(2)/25))/(LN(2)/25)*Calculateur!V80*Calculateur!X80*VLOOKUP('Données projet'!$B$9,Paramètres!$A$1:$I$89,3,0)*0.475*44/12</f>
        <v>2.116024708815968</v>
      </c>
      <c r="AB80" s="21">
        <f>EXP(-LN(2)/2)*AB79+(1-EXP(-LN(2)/2))/(LN(2)/2)*V80*Y80*VLOOKUP('Données projet'!$B$9,Paramètres!$A$1:$I$89,3,0)*0.475*44/12</f>
        <v>0.65332905792878326</v>
      </c>
      <c r="AC80" s="22">
        <f t="shared" si="57"/>
        <v>40.894936879421614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305.00000000000017</v>
      </c>
      <c r="AJ80" s="13">
        <f>AI80*VLOOKUP('Données projet'!$B$10,Paramètres!$A$1:$I$89,3,0)*VLOOKUP('Données projet'!$B$10,Paramètres!$A$1:$I$89,5,0)</f>
        <v>204.59400000000011</v>
      </c>
      <c r="AK80" s="13">
        <f t="shared" si="89"/>
        <v>50.75245156043249</v>
      </c>
      <c r="AL80" s="20">
        <f t="shared" si="58"/>
        <v>444.72840313442015</v>
      </c>
      <c r="AM80" s="59">
        <f t="shared" si="59"/>
        <v>738.06173646775346</v>
      </c>
      <c r="AN80" s="59">
        <f ca="1">AVERAGE(OFFSET($AM$3,0,0,'Données projet'!$E$10+1,1))-AVERAGE(OFFSET($H$3,0,0,'Données projet'!$E$10+1,1))</f>
        <v>269.67260882504996</v>
      </c>
      <c r="AO80" s="59">
        <f t="shared" si="90"/>
        <v>272.13858200810074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31.135217309273511</v>
      </c>
      <c r="AV80" s="21">
        <f>EXP(-LN(2)/25)*AV79+(1-EXP(-LN(2)/25))/(LN(2)/25)*Calculateur!AQ80*Calculateur!AS80*VLOOKUP('Données projet'!$B$10,Paramètres!$A$1:$I$89,3,0)*0.475*44/12</f>
        <v>1.8138956408164335</v>
      </c>
      <c r="AW80" s="21">
        <f>EXP(-LN(2)/2)*AW79+(1-EXP(-LN(2)/2))/(LN(2)/2)*AQ80*AT80*VLOOKUP('Données projet'!$B$10,Paramètres!$A$1:$I$89,3,0)*0.475*44/12</f>
        <v>7.8217039735626201E-2</v>
      </c>
      <c r="AX80" s="21">
        <f t="shared" si="60"/>
        <v>33.027329989825574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453.99999999999977</v>
      </c>
      <c r="BE80" s="13">
        <f>BD80*VLOOKUP('Données projet'!$B$11,Paramètres!$A$1:$I$89,3,0)*VLOOKUP('Données projet'!$B$11,Paramètres!$A$1:$I$89,5,0)</f>
        <v>253.78599999999986</v>
      </c>
      <c r="BF80" s="13">
        <f t="shared" si="91"/>
        <v>61.395945216950906</v>
      </c>
      <c r="BG80" s="20">
        <f t="shared" si="61"/>
        <v>548.94188791952263</v>
      </c>
      <c r="BH80" s="59">
        <f t="shared" si="62"/>
        <v>842.275221252856</v>
      </c>
      <c r="BI80" s="59">
        <f ca="1">AVERAGE(OFFSET($BH$3,0,0,'Données projet'!$E$11+1,1))-AVERAGE(OFFSET($H$3,0,0,'Données projet'!$E$11+1,1))</f>
        <v>330.33728077846268</v>
      </c>
      <c r="BJ80" s="59">
        <f t="shared" si="92"/>
        <v>358.38872754175208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42.75773690203534</v>
      </c>
      <c r="BQ80" s="21">
        <f>EXP(-LN(2)/25)*BQ79+(1-EXP(-LN(2)/25))/(LN(2)/25)*Calculateur!BL80*Calculateur!BN80*VLOOKUP('Données projet'!$B$11,Paramètres!$A$1:$I$89,3,0)*0.475*44/12</f>
        <v>20.499777801217117</v>
      </c>
      <c r="BR80" s="21">
        <f>EXP(-LN(2)/2)*BR79+(1-EXP(-LN(2)/2))/(LN(2)/2)*BL80*BO80*VLOOKUP('Données projet'!$B$11,Paramètres!$A$1:$I$89,3,0)*0.475*44/12</f>
        <v>0.14114963832786687</v>
      </c>
      <c r="BS80" s="22">
        <f t="shared" si="63"/>
        <v>63.398664341580321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290.99999999999994</v>
      </c>
      <c r="BZ80" s="13">
        <f>BY80*VLOOKUP('Données projet'!$B$12,Paramètres!$A$1:$I$89,3,0)*VLOOKUP('Données projet'!$B$12,Paramètres!$A$1:$I$89,5,0)</f>
        <v>276.91559999999993</v>
      </c>
      <c r="CA80" s="13">
        <f t="shared" si="93"/>
        <v>66.314766879144742</v>
      </c>
      <c r="CB80" s="20">
        <f t="shared" si="64"/>
        <v>597.79288898117682</v>
      </c>
      <c r="CC80" s="59">
        <f t="shared" si="65"/>
        <v>891.12622231451019</v>
      </c>
      <c r="CD80" s="59">
        <f ca="1">AVERAGE(OFFSET($CC$3,0,0,'Données projet'!$E$12+1,1))-AVERAGE(OFFSET($H$3,0,0,'Données projet'!$E$12+1,1))</f>
        <v>367.39143258674738</v>
      </c>
      <c r="CE80" s="59">
        <f t="shared" si="94"/>
        <v>376.02790658970292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39.551238440090707</v>
      </c>
      <c r="CL80" s="21">
        <f>EXP(-LN(2)/25)*CL79+(1-EXP(-LN(2)/25))/(LN(2)/25)*Calculateur!CG80*Calculateur!CI80*VLOOKUP('Données projet'!$B$12,Paramètres!$A$1:$I$89,3,0)*0.475*44/12</f>
        <v>2.2541484475894076</v>
      </c>
      <c r="CM80" s="21">
        <f>EXP(-LN(2)/2)*CM79+(1-EXP(-LN(2)/2))/(LN(2)/2)*CG80*CJ80*VLOOKUP('Données projet'!$B$12,Paramètres!$A$1:$I$89,3,0)*0.475*44/12</f>
        <v>0.12827925563549925</v>
      </c>
      <c r="CN80" s="22">
        <f t="shared" si="66"/>
        <v>41.933666143315612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</v>
      </c>
      <c r="CT80" s="12">
        <f>IF('Données projet'!$A$140&gt;35,CT79+CS80-DB79,IF(A80&lt;'Données projet'!$A$140,$CQ$205^A80,IF(A80='Données projet'!$A$140,'Données projet'!$B$140,CT79+CS80-DB79)))</f>
        <v>924.00000000000034</v>
      </c>
      <c r="CU80" s="17">
        <f>CT80*VLOOKUP('Données projet'!$B$13,Paramètres!$A$1:$I$89,3,0)*VLOOKUP('Données projet'!$B$13,Paramètres!$A$1:$I$89,5,0)</f>
        <v>408.40800000000019</v>
      </c>
      <c r="CV80" s="13">
        <f t="shared" si="95"/>
        <v>93.479188982926331</v>
      </c>
      <c r="CW80" s="20">
        <f t="shared" si="67"/>
        <v>874.12018747859702</v>
      </c>
      <c r="CX80" s="59">
        <f t="shared" si="68"/>
        <v>1167.4535208119303</v>
      </c>
      <c r="CY80" s="59">
        <f ca="1">AVERAGE(OFFSET($CX$3,0,0,'Données projet'!$E$13+1,1))-AVERAGE(OFFSET($H$3,0,0,'Données projet'!$E$13+1,1))</f>
        <v>500.13646131618248</v>
      </c>
      <c r="CZ80" s="59">
        <f t="shared" si="96"/>
        <v>417.58036817539306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66.345957550720712</v>
      </c>
      <c r="DG80" s="21">
        <f>EXP(-LN(2)/25)*DG79+(1-EXP(-LN(2)/25))/(LN(2)/25)*Calculateur!DB80*Calculateur!DD80*VLOOKUP('Données projet'!$B$13,Paramètres!$A$1:$I$89,3,0)*0.475*44/12</f>
        <v>29.601428119260955</v>
      </c>
      <c r="DH80" s="21">
        <f>EXP(-LN(2)/2)*DH79+(1-EXP(-LN(2)/2))/(LN(2)/2)*DB80*DE80*VLOOKUP('Données projet'!$B$13,Paramètres!$A$1:$I$89,3,0)*0.475*44/12</f>
        <v>1.4168637469204552</v>
      </c>
      <c r="DI80" s="22">
        <f t="shared" si="69"/>
        <v>97.364249416902126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371.7282125501186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37.377963682146792</v>
      </c>
      <c r="AA81" s="21">
        <f>EXP(-LN(2)/25)*AA80+(1-EXP(-LN(2)/25))/(LN(2)/25)*Calculateur!V81*Calculateur!X81*VLOOKUP('Données projet'!$B$9,Paramètres!$A$1:$I$89,3,0)*0.475*44/12</f>
        <v>2.0581619018764923</v>
      </c>
      <c r="AB81" s="21">
        <f>EXP(-LN(2)/2)*AB80+(1-EXP(-LN(2)/2))/(LN(2)/2)*V81*Y81*VLOOKUP('Données projet'!$B$9,Paramètres!$A$1:$I$89,3,0)*0.475*44/12</f>
        <v>0.46197340720766139</v>
      </c>
      <c r="AC81" s="22">
        <f t="shared" si="57"/>
        <v>39.898098991230945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305.00000000000017</v>
      </c>
      <c r="AJ81" s="13">
        <f>AI81*VLOOKUP('Données projet'!$B$10,Paramètres!$A$1:$I$89,3,0)*VLOOKUP('Données projet'!$B$10,Paramètres!$A$1:$I$89,5,0)</f>
        <v>204.59400000000011</v>
      </c>
      <c r="AK81" s="13">
        <f t="shared" si="89"/>
        <v>50.75245156043249</v>
      </c>
      <c r="AL81" s="20">
        <f t="shared" si="58"/>
        <v>444.72840313442015</v>
      </c>
      <c r="AM81" s="59">
        <f t="shared" si="59"/>
        <v>738.06173646775346</v>
      </c>
      <c r="AN81" s="59">
        <f ca="1">AVERAGE(OFFSET($AM$3,0,0,'Données projet'!$E$10+1,1))-AVERAGE(OFFSET($H$3,0,0,'Données projet'!$E$10+1,1))</f>
        <v>269.67260882504996</v>
      </c>
      <c r="AO81" s="59">
        <f t="shared" si="90"/>
        <v>272.13858200810074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30.524674688446048</v>
      </c>
      <c r="AV81" s="21">
        <f>EXP(-LN(2)/25)*AV80+(1-EXP(-LN(2)/25))/(LN(2)/25)*Calculateur!AQ81*Calculateur!AS81*VLOOKUP('Données projet'!$B$10,Paramètres!$A$1:$I$89,3,0)*0.475*44/12</f>
        <v>1.7642945691296821</v>
      </c>
      <c r="AW81" s="21">
        <f>EXP(-LN(2)/2)*AW80+(1-EXP(-LN(2)/2))/(LN(2)/2)*AQ81*AT81*VLOOKUP('Données projet'!$B$10,Paramètres!$A$1:$I$89,3,0)*0.475*44/12</f>
        <v>5.530779920139893E-2</v>
      </c>
      <c r="AX81" s="21">
        <f t="shared" si="60"/>
        <v>32.34427705677713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453.99999999999977</v>
      </c>
      <c r="BE81" s="13">
        <f>BD81*VLOOKUP('Données projet'!$B$11,Paramètres!$A$1:$I$89,3,0)*VLOOKUP('Données projet'!$B$11,Paramètres!$A$1:$I$89,5,0)</f>
        <v>253.78599999999986</v>
      </c>
      <c r="BF81" s="13">
        <f t="shared" si="91"/>
        <v>61.395945216950906</v>
      </c>
      <c r="BG81" s="20">
        <f t="shared" si="61"/>
        <v>548.94188791952263</v>
      </c>
      <c r="BH81" s="59">
        <f t="shared" si="62"/>
        <v>842.275221252856</v>
      </c>
      <c r="BI81" s="59">
        <f ca="1">AVERAGE(OFFSET($BH$3,0,0,'Données projet'!$E$11+1,1))-AVERAGE(OFFSET($H$3,0,0,'Données projet'!$E$11+1,1))</f>
        <v>330.33728077846268</v>
      </c>
      <c r="BJ81" s="59">
        <f t="shared" si="92"/>
        <v>358.38872754175208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41.919283761030783</v>
      </c>
      <c r="BQ81" s="21">
        <f>EXP(-LN(2)/25)*BQ80+(1-EXP(-LN(2)/25))/(LN(2)/25)*Calculateur!BL81*Calculateur!BN81*VLOOKUP('Données projet'!$B$11,Paramètres!$A$1:$I$89,3,0)*0.475*44/12</f>
        <v>19.939210299206373</v>
      </c>
      <c r="BR81" s="21">
        <f>EXP(-LN(2)/2)*BR80+(1-EXP(-LN(2)/2))/(LN(2)/2)*BL81*BO81*VLOOKUP('Données projet'!$B$11,Paramètres!$A$1:$I$89,3,0)*0.475*44/12</f>
        <v>9.980786642366328E-2</v>
      </c>
      <c r="BS81" s="22">
        <f t="shared" si="63"/>
        <v>61.958301926660816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290.99999999999994</v>
      </c>
      <c r="BZ81" s="13">
        <f>BY81*VLOOKUP('Données projet'!$B$12,Paramètres!$A$1:$I$89,3,0)*VLOOKUP('Données projet'!$B$12,Paramètres!$A$1:$I$89,5,0)</f>
        <v>276.91559999999993</v>
      </c>
      <c r="CA81" s="13">
        <f t="shared" si="93"/>
        <v>66.314766879144742</v>
      </c>
      <c r="CB81" s="20">
        <f t="shared" si="64"/>
        <v>597.79288898117682</v>
      </c>
      <c r="CC81" s="59">
        <f t="shared" si="65"/>
        <v>891.12622231451019</v>
      </c>
      <c r="CD81" s="59">
        <f ca="1">AVERAGE(OFFSET($CC$3,0,0,'Données projet'!$E$12+1,1))-AVERAGE(OFFSET($H$3,0,0,'Données projet'!$E$12+1,1))</f>
        <v>367.39143258674738</v>
      </c>
      <c r="CE81" s="59">
        <f t="shared" si="94"/>
        <v>376.02790658970292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38.775662778153944</v>
      </c>
      <c r="CL81" s="21">
        <f>EXP(-LN(2)/25)*CL80+(1-EXP(-LN(2)/25))/(LN(2)/25)*Calculateur!CG81*Calculateur!CI81*VLOOKUP('Données projet'!$B$12,Paramètres!$A$1:$I$89,3,0)*0.475*44/12</f>
        <v>2.1925086397495601</v>
      </c>
      <c r="CM81" s="21">
        <f>EXP(-LN(2)/2)*CM80+(1-EXP(-LN(2)/2))/(LN(2)/2)*CG81*CJ81*VLOOKUP('Données projet'!$B$12,Paramètres!$A$1:$I$89,3,0)*0.475*44/12</f>
        <v>9.0707131545424161E-2</v>
      </c>
      <c r="CN81" s="22">
        <f t="shared" si="66"/>
        <v>41.058878549448927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</v>
      </c>
      <c r="CT81" s="12">
        <f>IF('Données projet'!$A$140&gt;35,CT80+CS81-DB80,IF(A81&lt;'Données projet'!$A$140,$CQ$205^A81,IF(A81='Données projet'!$A$140,'Données projet'!$B$140,CT80+CS81-DB80)))</f>
        <v>933.00000000000034</v>
      </c>
      <c r="CU81" s="17">
        <f>CT81*VLOOKUP('Données projet'!$B$13,Paramètres!$A$1:$I$89,3,0)*VLOOKUP('Données projet'!$B$13,Paramètres!$A$1:$I$89,5,0)</f>
        <v>412.38600000000019</v>
      </c>
      <c r="CV81" s="13">
        <f t="shared" si="95"/>
        <v>94.283262587190933</v>
      </c>
      <c r="CW81" s="20">
        <f t="shared" si="67"/>
        <v>882.44896567269132</v>
      </c>
      <c r="CX81" s="59">
        <f t="shared" si="68"/>
        <v>1175.7822990060247</v>
      </c>
      <c r="CY81" s="59">
        <f ca="1">AVERAGE(OFFSET($CX$3,0,0,'Données projet'!$E$13+1,1))-AVERAGE(OFFSET($H$3,0,0,'Données projet'!$E$13+1,1))</f>
        <v>500.13646131618248</v>
      </c>
      <c r="CZ81" s="59">
        <f t="shared" si="96"/>
        <v>417.58036817539306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65.044953790189396</v>
      </c>
      <c r="DG81" s="21">
        <f>EXP(-LN(2)/25)*DG80+(1-EXP(-LN(2)/25))/(LN(2)/25)*Calculateur!DB81*Calculateur!DD81*VLOOKUP('Données projet'!$B$13,Paramètres!$A$1:$I$89,3,0)*0.475*44/12</f>
        <v>28.791975510668316</v>
      </c>
      <c r="DH81" s="21">
        <f>EXP(-LN(2)/2)*DH80+(1-EXP(-LN(2)/2))/(LN(2)/2)*DB81*DE81*VLOOKUP('Données projet'!$B$13,Paramètres!$A$1:$I$89,3,0)*0.475*44/12</f>
        <v>1.0018739634648344</v>
      </c>
      <c r="DI81" s="22">
        <f t="shared" si="69"/>
        <v>94.83880326432255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371.7282125501186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36.645004612646595</v>
      </c>
      <c r="AA82" s="21">
        <f>EXP(-LN(2)/25)*AA81+(1-EXP(-LN(2)/25))/(LN(2)/25)*Calculateur!V82*Calculateur!X82*VLOOKUP('Données projet'!$B$9,Paramètres!$A$1:$I$89,3,0)*0.475*44/12</f>
        <v>2.001881356435649</v>
      </c>
      <c r="AB82" s="21">
        <f>EXP(-LN(2)/2)*AB81+(1-EXP(-LN(2)/2))/(LN(2)/2)*V82*Y82*VLOOKUP('Données projet'!$B$9,Paramètres!$A$1:$I$89,3,0)*0.475*44/12</f>
        <v>0.32666452896439169</v>
      </c>
      <c r="AC82" s="22">
        <f t="shared" si="57"/>
        <v>38.973550498046635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305.00000000000017</v>
      </c>
      <c r="AJ82" s="13">
        <f>AI82*VLOOKUP('Données projet'!$B$10,Paramètres!$A$1:$I$89,3,0)*VLOOKUP('Données projet'!$B$10,Paramètres!$A$1:$I$89,5,0)</f>
        <v>204.59400000000011</v>
      </c>
      <c r="AK82" s="13">
        <f t="shared" si="89"/>
        <v>50.75245156043249</v>
      </c>
      <c r="AL82" s="20">
        <f t="shared" si="58"/>
        <v>444.72840313442015</v>
      </c>
      <c r="AM82" s="59">
        <f t="shared" si="59"/>
        <v>738.06173646775346</v>
      </c>
      <c r="AN82" s="59">
        <f ca="1">AVERAGE(OFFSET($AM$3,0,0,'Données projet'!$E$10+1,1))-AVERAGE(OFFSET($H$3,0,0,'Données projet'!$E$10+1,1))</f>
        <v>269.67260882504996</v>
      </c>
      <c r="AO82" s="59">
        <f t="shared" si="90"/>
        <v>272.13858200810074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29.926104436018786</v>
      </c>
      <c r="AV82" s="21">
        <f>EXP(-LN(2)/25)*AV81+(1-EXP(-LN(2)/25))/(LN(2)/25)*Calculateur!AQ82*Calculateur!AS82*VLOOKUP('Données projet'!$B$10,Paramètres!$A$1:$I$89,3,0)*0.475*44/12</f>
        <v>1.7160498413566119</v>
      </c>
      <c r="AW82" s="21">
        <f>EXP(-LN(2)/2)*AW81+(1-EXP(-LN(2)/2))/(LN(2)/2)*AQ82*AT82*VLOOKUP('Données projet'!$B$10,Paramètres!$A$1:$I$89,3,0)*0.475*44/12</f>
        <v>3.91085198678131E-2</v>
      </c>
      <c r="AX82" s="21">
        <f t="shared" si="60"/>
        <v>31.68126279724321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453.99999999999977</v>
      </c>
      <c r="BE82" s="13">
        <f>BD82*VLOOKUP('Données projet'!$B$11,Paramètres!$A$1:$I$89,3,0)*VLOOKUP('Données projet'!$B$11,Paramètres!$A$1:$I$89,5,0)</f>
        <v>253.78599999999986</v>
      </c>
      <c r="BF82" s="13">
        <f t="shared" si="91"/>
        <v>61.395945216950906</v>
      </c>
      <c r="BG82" s="20">
        <f t="shared" si="61"/>
        <v>548.94188791952263</v>
      </c>
      <c r="BH82" s="59">
        <f t="shared" si="62"/>
        <v>842.275221252856</v>
      </c>
      <c r="BI82" s="59">
        <f ca="1">AVERAGE(OFFSET($BH$3,0,0,'Données projet'!$E$11+1,1))-AVERAGE(OFFSET($H$3,0,0,'Données projet'!$E$11+1,1))</f>
        <v>330.33728077846268</v>
      </c>
      <c r="BJ82" s="59">
        <f t="shared" si="92"/>
        <v>358.38872754175208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41.097272174715407</v>
      </c>
      <c r="BQ82" s="21">
        <f>EXP(-LN(2)/25)*BQ81+(1-EXP(-LN(2)/25))/(LN(2)/25)*Calculateur!BL82*Calculateur!BN82*VLOOKUP('Données projet'!$B$11,Paramètres!$A$1:$I$89,3,0)*0.475*44/12</f>
        <v>19.393971545017077</v>
      </c>
      <c r="BR82" s="21">
        <f>EXP(-LN(2)/2)*BR81+(1-EXP(-LN(2)/2))/(LN(2)/2)*BL82*BO82*VLOOKUP('Données projet'!$B$11,Paramètres!$A$1:$I$89,3,0)*0.475*44/12</f>
        <v>7.0574819163933433E-2</v>
      </c>
      <c r="BS82" s="22">
        <f t="shared" si="63"/>
        <v>60.561818538896411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290.99999999999994</v>
      </c>
      <c r="BZ82" s="13">
        <f>BY82*VLOOKUP('Données projet'!$B$12,Paramètres!$A$1:$I$89,3,0)*VLOOKUP('Données projet'!$B$12,Paramètres!$A$1:$I$89,5,0)</f>
        <v>276.91559999999993</v>
      </c>
      <c r="CA82" s="13">
        <f t="shared" si="93"/>
        <v>66.314766879144742</v>
      </c>
      <c r="CB82" s="20">
        <f t="shared" si="64"/>
        <v>597.79288898117682</v>
      </c>
      <c r="CC82" s="59">
        <f t="shared" si="65"/>
        <v>891.12622231451019</v>
      </c>
      <c r="CD82" s="59">
        <f ca="1">AVERAGE(OFFSET($CC$3,0,0,'Données projet'!$E$12+1,1))-AVERAGE(OFFSET($H$3,0,0,'Données projet'!$E$12+1,1))</f>
        <v>367.39143258674738</v>
      </c>
      <c r="CE82" s="59">
        <f t="shared" si="94"/>
        <v>376.02790658970292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38.015295681893313</v>
      </c>
      <c r="CL82" s="21">
        <f>EXP(-LN(2)/25)*CL81+(1-EXP(-LN(2)/25))/(LN(2)/25)*Calculateur!CG82*Calculateur!CI82*VLOOKUP('Données projet'!$B$12,Paramètres!$A$1:$I$89,3,0)*0.475*44/12</f>
        <v>2.1325543756965901</v>
      </c>
      <c r="CM82" s="21">
        <f>EXP(-LN(2)/2)*CM81+(1-EXP(-LN(2)/2))/(LN(2)/2)*CG82*CJ82*VLOOKUP('Données projet'!$B$12,Paramètres!$A$1:$I$89,3,0)*0.475*44/12</f>
        <v>6.4139627817749623E-2</v>
      </c>
      <c r="CN82" s="22">
        <f t="shared" si="66"/>
        <v>40.211989685407659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</v>
      </c>
      <c r="CT82" s="12">
        <f>IF('Données projet'!$A$140&gt;35,CT81+CS82-DB81,IF(A82&lt;'Données projet'!$A$140,$CQ$205^A82,IF(A82='Données projet'!$A$140,'Données projet'!$B$140,CT81+CS82-DB81)))</f>
        <v>942.00000000000034</v>
      </c>
      <c r="CU82" s="17">
        <f>CT82*VLOOKUP('Données projet'!$B$13,Paramètres!$A$1:$I$89,3,0)*VLOOKUP('Données projet'!$B$13,Paramètres!$A$1:$I$89,5,0)</f>
        <v>416.3640000000002</v>
      </c>
      <c r="CV82" s="13">
        <f t="shared" si="95"/>
        <v>95.086433845702857</v>
      </c>
      <c r="CW82" s="20">
        <f t="shared" si="67"/>
        <v>890.7761722812661</v>
      </c>
      <c r="CX82" s="59">
        <f t="shared" si="68"/>
        <v>1184.1095056145994</v>
      </c>
      <c r="CY82" s="59">
        <f ca="1">AVERAGE(OFFSET($CX$3,0,0,'Données projet'!$E$13+1,1))-AVERAGE(OFFSET($H$3,0,0,'Données projet'!$E$13+1,1))</f>
        <v>500.13646131618248</v>
      </c>
      <c r="CZ82" s="59">
        <f t="shared" si="96"/>
        <v>417.58036817539306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63.769461919868164</v>
      </c>
      <c r="DG82" s="21">
        <f>EXP(-LN(2)/25)*DG81+(1-EXP(-LN(2)/25))/(LN(2)/25)*Calculateur!DB82*Calculateur!DD82*VLOOKUP('Données projet'!$B$13,Paramètres!$A$1:$I$89,3,0)*0.475*44/12</f>
        <v>28.004657426224902</v>
      </c>
      <c r="DH82" s="21">
        <f>EXP(-LN(2)/2)*DH81+(1-EXP(-LN(2)/2))/(LN(2)/2)*DB82*DE82*VLOOKUP('Données projet'!$B$13,Paramètres!$A$1:$I$89,3,0)*0.475*44/12</f>
        <v>0.70843187346022785</v>
      </c>
      <c r="DI82" s="22">
        <f t="shared" si="69"/>
        <v>92.482551219553301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371.7282125501186</v>
      </c>
      <c r="T83" s="59">
        <f t="shared" si="88"/>
        <v>231.36959598460686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0.34400000000000003</v>
      </c>
      <c r="X83" s="16">
        <f>IF(ISNA(VLOOKUP(A83,'Données projet'!$A$35:$I$55,6,0)),0%,VLOOKUP(A83,'Données projet'!$A$35:$I$55,6,0)*VLOOKUP('Données projet'!$B$9,Paramètres!$A$1:$I$89,7,0))</f>
        <v>1.72E-2</v>
      </c>
      <c r="Y83" s="16">
        <f>IF(ISNA(VLOOKUP(A83,'Données projet'!$A$35:$I$55,7,0)),0%,VLOOKUP(A83,'Données projet'!$A$35:$I$55,7,0))</f>
        <v>0.06</v>
      </c>
      <c r="Z83" s="21">
        <f>EXP(-LN(2)/35)*Z82+(1-EXP(-LN(2)/35))/(LN(2)/35)*V83*W83*VLOOKUP('Données projet'!$B$9,Paramètres!$A$1:$I$89,3,0)*0.475*44/12</f>
        <v>43.152077049514219</v>
      </c>
      <c r="AA83" s="21">
        <f>EXP(-LN(2)/25)*AA82+(1-EXP(-LN(2)/25))/(LN(2)/25)*Calculateur!V83*Calculateur!X83*VLOOKUP('Données projet'!$B$9,Paramètres!$A$1:$I$89,3,0)*0.475*44/12</f>
        <v>2.3070002282132092</v>
      </c>
      <c r="AB83" s="21">
        <f>EXP(-LN(2)/2)*AB82+(1-EXP(-LN(2)/2))/(LN(2)/2)*V83*Y83*VLOOKUP('Données projet'!$B$9,Paramètres!$A$1:$I$89,3,0)*0.475*44/12</f>
        <v>1.3066526755458741</v>
      </c>
      <c r="AC83" s="22">
        <f t="shared" si="57"/>
        <v>46.765729953273308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305.00000000000017</v>
      </c>
      <c r="AJ83" s="13">
        <f>AI83*VLOOKUP('Données projet'!$B$10,Paramètres!$A$1:$I$89,3,0)*VLOOKUP('Données projet'!$B$10,Paramètres!$A$1:$I$89,5,0)</f>
        <v>204.59400000000011</v>
      </c>
      <c r="AK83" s="13">
        <f t="shared" si="89"/>
        <v>50.75245156043249</v>
      </c>
      <c r="AL83" s="20">
        <f t="shared" si="58"/>
        <v>444.72840313442015</v>
      </c>
      <c r="AM83" s="59">
        <f t="shared" si="59"/>
        <v>738.06173646775346</v>
      </c>
      <c r="AN83" s="59">
        <f ca="1">AVERAGE(OFFSET($AM$3,0,0,'Données projet'!$E$10+1,1))-AVERAGE(OFFSET($H$3,0,0,'Données projet'!$E$10+1,1))</f>
        <v>269.67260882504996</v>
      </c>
      <c r="AO83" s="59">
        <f t="shared" si="90"/>
        <v>272.13858200810074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29.339271781149819</v>
      </c>
      <c r="AV83" s="21">
        <f>EXP(-LN(2)/25)*AV82+(1-EXP(-LN(2)/25))/(LN(2)/25)*Calculateur!AQ83*Calculateur!AS83*VLOOKUP('Données projet'!$B$10,Paramètres!$A$1:$I$89,3,0)*0.475*44/12</f>
        <v>1.6691243682015762</v>
      </c>
      <c r="AW83" s="21">
        <f>EXP(-LN(2)/2)*AW82+(1-EXP(-LN(2)/2))/(LN(2)/2)*AQ83*AT83*VLOOKUP('Données projet'!$B$10,Paramètres!$A$1:$I$89,3,0)*0.475*44/12</f>
        <v>2.7653899600699465E-2</v>
      </c>
      <c r="AX83" s="21">
        <f t="shared" si="60"/>
        <v>31.036050048952095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453.99999999999977</v>
      </c>
      <c r="BE83" s="13">
        <f>BD83*VLOOKUP('Données projet'!$B$11,Paramètres!$A$1:$I$89,3,0)*VLOOKUP('Données projet'!$B$11,Paramètres!$A$1:$I$89,5,0)</f>
        <v>253.78599999999986</v>
      </c>
      <c r="BF83" s="13">
        <f t="shared" si="91"/>
        <v>61.395945216950906</v>
      </c>
      <c r="BG83" s="20">
        <f t="shared" si="61"/>
        <v>548.94188791952263</v>
      </c>
      <c r="BH83" s="59">
        <f t="shared" si="62"/>
        <v>842.275221252856</v>
      </c>
      <c r="BI83" s="59">
        <f ca="1">AVERAGE(OFFSET($BH$3,0,0,'Données projet'!$E$11+1,1))-AVERAGE(OFFSET($H$3,0,0,'Données projet'!$E$11+1,1))</f>
        <v>330.33728077846268</v>
      </c>
      <c r="BJ83" s="59">
        <f t="shared" si="92"/>
        <v>358.38872754175208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40.291379734230119</v>
      </c>
      <c r="BQ83" s="21">
        <f>EXP(-LN(2)/25)*BQ82+(1-EXP(-LN(2)/25))/(LN(2)/25)*Calculateur!BL83*Calculateur!BN83*VLOOKUP('Données projet'!$B$11,Paramètres!$A$1:$I$89,3,0)*0.475*44/12</f>
        <v>18.863642373233947</v>
      </c>
      <c r="BR83" s="21">
        <f>EXP(-LN(2)/2)*BR82+(1-EXP(-LN(2)/2))/(LN(2)/2)*BL83*BO83*VLOOKUP('Données projet'!$B$11,Paramètres!$A$1:$I$89,3,0)*0.475*44/12</f>
        <v>4.990393321183164E-2</v>
      </c>
      <c r="BS83" s="22">
        <f t="shared" si="63"/>
        <v>59.204926040675893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290.99999999999994</v>
      </c>
      <c r="BZ83" s="13">
        <f>BY83*VLOOKUP('Données projet'!$B$12,Paramètres!$A$1:$I$89,3,0)*VLOOKUP('Données projet'!$B$12,Paramètres!$A$1:$I$89,5,0)</f>
        <v>276.91559999999993</v>
      </c>
      <c r="CA83" s="13">
        <f t="shared" si="93"/>
        <v>66.314766879144742</v>
      </c>
      <c r="CB83" s="20">
        <f t="shared" si="64"/>
        <v>597.79288898117682</v>
      </c>
      <c r="CC83" s="59">
        <f t="shared" si="65"/>
        <v>891.12622231451019</v>
      </c>
      <c r="CD83" s="59">
        <f ca="1">AVERAGE(OFFSET($CC$3,0,0,'Données projet'!$E$12+1,1))-AVERAGE(OFFSET($H$3,0,0,'Données projet'!$E$12+1,1))</f>
        <v>367.39143258674738</v>
      </c>
      <c r="CE83" s="59">
        <f t="shared" si="94"/>
        <v>376.02790658970292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37.269838920612223</v>
      </c>
      <c r="CL83" s="21">
        <f>EXP(-LN(2)/25)*CL82+(1-EXP(-LN(2)/25))/(LN(2)/25)*Calculateur!CG83*Calculateur!CI83*VLOOKUP('Données projet'!$B$12,Paramètres!$A$1:$I$89,3,0)*0.475*44/12</f>
        <v>2.0742395641470064</v>
      </c>
      <c r="CM83" s="21">
        <f>EXP(-LN(2)/2)*CM82+(1-EXP(-LN(2)/2))/(LN(2)/2)*CG83*CJ83*VLOOKUP('Données projet'!$B$12,Paramètres!$A$1:$I$89,3,0)*0.475*44/12</f>
        <v>4.535356577271208E-2</v>
      </c>
      <c r="CN83" s="22">
        <f t="shared" si="66"/>
        <v>39.389432050531944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951</v>
      </c>
      <c r="CR83" s="12">
        <f>VLOOKUP(A83,'Données projet'!$A$139:$I$159,9,0)</f>
        <v>9</v>
      </c>
      <c r="CS83" s="12">
        <f t="array" ref="CS83">INDEX(CR:CR,MIN(IF(ISNUMBER(CR83:CR279),ROW(CR83:CR279),"")))</f>
        <v>9</v>
      </c>
      <c r="CT83" s="12">
        <f>IF('Données projet'!$A$140&gt;35,CT82+CS83-DB82,IF(A83&lt;'Données projet'!$A$140,$CQ$205^A83,IF(A83='Données projet'!$A$140,'Données projet'!$B$140,CT82+CS83-DB82)))</f>
        <v>951.00000000000034</v>
      </c>
      <c r="CU83" s="17">
        <f>CT83*VLOOKUP('Données projet'!$B$13,Paramètres!$A$1:$I$89,3,0)*VLOOKUP('Données projet'!$B$13,Paramètres!$A$1:$I$89,5,0)</f>
        <v>420.34200000000021</v>
      </c>
      <c r="CV83" s="13">
        <f t="shared" si="95"/>
        <v>95.888712378044346</v>
      </c>
      <c r="CW83" s="20">
        <f t="shared" si="67"/>
        <v>899.10182405842761</v>
      </c>
      <c r="CX83" s="59">
        <f t="shared" si="68"/>
        <v>1192.4351573917609</v>
      </c>
      <c r="CY83" s="59">
        <f ca="1">AVERAGE(OFFSET($CX$3,0,0,'Données projet'!$E$13+1,1))-AVERAGE(OFFSET($H$3,0,0,'Données projet'!$E$13+1,1))</f>
        <v>500.13646131618248</v>
      </c>
      <c r="CZ83" s="59">
        <f t="shared" si="96"/>
        <v>417.58036817539306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26</v>
      </c>
      <c r="DC83" s="16">
        <f>IF(ISNA(VLOOKUP(A83,'Données projet'!$A$139:$I$159,5,0)),0%,VLOOKUP(A83,'Données projet'!$A$139:$I$159,5,0)*VLOOKUP('Données projet'!$B$13,Paramètres!$A$1:$I$89,7,0))</f>
        <v>0.38500000000000001</v>
      </c>
      <c r="DD83" s="16">
        <f>IF(ISNA(VLOOKUP(A83,'Données projet'!$A$139:$I$159,6,0)),0%,VLOOKUP(A83,'Données projet'!$A$139:$I$159,6,0)*VLOOKUP('Données projet'!$B$13,Paramètres!$A$1:$I$89,7,0))</f>
        <v>0.13750000000000001</v>
      </c>
      <c r="DE83" s="16">
        <f>IF(ISNA(VLOOKUP(A83,'Données projet'!$A$139:$I$159,7,0)),0%,VLOOKUP(A83,'Données projet'!$A$139:$I$159,7,0))</f>
        <v>0.15</v>
      </c>
      <c r="DF83" s="21">
        <f>EXP(-LN(2)/35)*DF82+(1-EXP(-LN(2)/35))/(LN(2)/35)*DB83*DC83*VLOOKUP('Données projet'!$B$13,Paramètres!$A$1:$I$89,3,0)*0.475*44/12</f>
        <v>68.388259975086513</v>
      </c>
      <c r="DG83" s="21">
        <f>EXP(-LN(2)/25)*DG82+(1-EXP(-LN(2)/25))/(LN(2)/25)*Calculateur!DB83*Calculateur!DD83*VLOOKUP('Données projet'!$B$13,Paramètres!$A$1:$I$89,3,0)*0.475*44/12</f>
        <v>29.32678599722782</v>
      </c>
      <c r="DH83" s="21">
        <f>EXP(-LN(2)/2)*DH82+(1-EXP(-LN(2)/2))/(LN(2)/2)*DB83*DE83*VLOOKUP('Données projet'!$B$13,Paramètres!$A$1:$I$89,3,0)*0.475*44/12</f>
        <v>2.4526790162085392</v>
      </c>
      <c r="DI83" s="22">
        <f t="shared" si="69"/>
        <v>100.16772498852286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371.7282125501186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42.305891138741345</v>
      </c>
      <c r="AA84" s="21">
        <f>EXP(-LN(2)/25)*AA83+(1-EXP(-LN(2)/25))/(LN(2)/25)*Calculateur!V84*Calculateur!X84*VLOOKUP('Données projet'!$B$9,Paramètres!$A$1:$I$89,3,0)*0.475*44/12</f>
        <v>2.2439151856528499</v>
      </c>
      <c r="AB84" s="21">
        <f>EXP(-LN(2)/2)*AB83+(1-EXP(-LN(2)/2))/(LN(2)/2)*V84*Y84*VLOOKUP('Données projet'!$B$9,Paramètres!$A$1:$I$89,3,0)*0.475*44/12</f>
        <v>0.92394296753403327</v>
      </c>
      <c r="AC84" s="22">
        <f t="shared" si="57"/>
        <v>45.473749291928229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305.00000000000017</v>
      </c>
      <c r="AJ84" s="13">
        <f>AI84*VLOOKUP('Données projet'!$B$10,Paramètres!$A$1:$I$89,3,0)*VLOOKUP('Données projet'!$B$10,Paramètres!$A$1:$I$89,5,0)</f>
        <v>204.59400000000011</v>
      </c>
      <c r="AK84" s="13">
        <f t="shared" si="89"/>
        <v>50.75245156043249</v>
      </c>
      <c r="AL84" s="20">
        <f t="shared" si="58"/>
        <v>444.72840313442015</v>
      </c>
      <c r="AM84" s="59">
        <f t="shared" si="59"/>
        <v>738.06173646775346</v>
      </c>
      <c r="AN84" s="59">
        <f ca="1">AVERAGE(OFFSET($AM$3,0,0,'Données projet'!$E$10+1,1))-AVERAGE(OFFSET($H$3,0,0,'Données projet'!$E$10+1,1))</f>
        <v>269.67260882504996</v>
      </c>
      <c r="AO84" s="59">
        <f t="shared" si="90"/>
        <v>272.13858200810074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28.763946556710255</v>
      </c>
      <c r="AV84" s="21">
        <f>EXP(-LN(2)/25)*AV83+(1-EXP(-LN(2)/25))/(LN(2)/25)*Calculateur!AQ84*Calculateur!AS84*VLOOKUP('Données projet'!$B$10,Paramètres!$A$1:$I$89,3,0)*0.475*44/12</f>
        <v>1.6234820745776684</v>
      </c>
      <c r="AW84" s="21">
        <f>EXP(-LN(2)/2)*AW83+(1-EXP(-LN(2)/2))/(LN(2)/2)*AQ84*AT84*VLOOKUP('Données projet'!$B$10,Paramètres!$A$1:$I$89,3,0)*0.475*44/12</f>
        <v>1.955425993390655E-2</v>
      </c>
      <c r="AX84" s="21">
        <f t="shared" si="60"/>
        <v>30.40698289122183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453.99999999999977</v>
      </c>
      <c r="BE84" s="13">
        <f>BD84*VLOOKUP('Données projet'!$B$11,Paramètres!$A$1:$I$89,3,0)*VLOOKUP('Données projet'!$B$11,Paramètres!$A$1:$I$89,5,0)</f>
        <v>253.78599999999986</v>
      </c>
      <c r="BF84" s="13">
        <f t="shared" si="91"/>
        <v>61.395945216950906</v>
      </c>
      <c r="BG84" s="20">
        <f t="shared" si="61"/>
        <v>548.94188791952263</v>
      </c>
      <c r="BH84" s="59">
        <f t="shared" si="62"/>
        <v>842.275221252856</v>
      </c>
      <c r="BI84" s="59">
        <f ca="1">AVERAGE(OFFSET($BH$3,0,0,'Données projet'!$E$11+1,1))-AVERAGE(OFFSET($H$3,0,0,'Données projet'!$E$11+1,1))</f>
        <v>330.33728077846268</v>
      </c>
      <c r="BJ84" s="59">
        <f t="shared" si="92"/>
        <v>358.38872754175208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39.501290352956893</v>
      </c>
      <c r="BQ84" s="21">
        <f>EXP(-LN(2)/25)*BQ83+(1-EXP(-LN(2)/25))/(LN(2)/25)*Calculateur!BL84*Calculateur!BN84*VLOOKUP('Données projet'!$B$11,Paramètres!$A$1:$I$89,3,0)*0.475*44/12</f>
        <v>18.347815080542027</v>
      </c>
      <c r="BR84" s="21">
        <f>EXP(-LN(2)/2)*BR83+(1-EXP(-LN(2)/2))/(LN(2)/2)*BL84*BO84*VLOOKUP('Données projet'!$B$11,Paramètres!$A$1:$I$89,3,0)*0.475*44/12</f>
        <v>3.5287409581966717E-2</v>
      </c>
      <c r="BS84" s="22">
        <f t="shared" si="63"/>
        <v>57.884392843080889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290.99999999999994</v>
      </c>
      <c r="BZ84" s="13">
        <f>BY84*VLOOKUP('Données projet'!$B$12,Paramètres!$A$1:$I$89,3,0)*VLOOKUP('Données projet'!$B$12,Paramètres!$A$1:$I$89,5,0)</f>
        <v>276.91559999999993</v>
      </c>
      <c r="CA84" s="13">
        <f t="shared" si="93"/>
        <v>66.314766879144742</v>
      </c>
      <c r="CB84" s="20">
        <f t="shared" si="64"/>
        <v>597.79288898117682</v>
      </c>
      <c r="CC84" s="59">
        <f t="shared" si="65"/>
        <v>891.12622231451019</v>
      </c>
      <c r="CD84" s="59">
        <f ca="1">AVERAGE(OFFSET($CC$3,0,0,'Données projet'!$E$12+1,1))-AVERAGE(OFFSET($H$3,0,0,'Données projet'!$E$12+1,1))</f>
        <v>367.39143258674738</v>
      </c>
      <c r="CE84" s="59">
        <f t="shared" si="94"/>
        <v>376.02790658970292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36.539000111736122</v>
      </c>
      <c r="CL84" s="21">
        <f>EXP(-LN(2)/25)*CL83+(1-EXP(-LN(2)/25))/(LN(2)/25)*Calculateur!CG84*Calculateur!CI84*VLOOKUP('Données projet'!$B$12,Paramètres!$A$1:$I$89,3,0)*0.475*44/12</f>
        <v>2.0175193741858886</v>
      </c>
      <c r="CM84" s="21">
        <f>EXP(-LN(2)/2)*CM83+(1-EXP(-LN(2)/2))/(LN(2)/2)*CG84*CJ84*VLOOKUP('Données projet'!$B$12,Paramètres!$A$1:$I$89,3,0)*0.475*44/12</f>
        <v>3.2069813908874811E-2</v>
      </c>
      <c r="CN84" s="22">
        <f t="shared" si="66"/>
        <v>38.588589299830886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925.00000000000034</v>
      </c>
      <c r="CU84" s="17">
        <f>CT84*VLOOKUP('Données projet'!$B$13,Paramètres!$A$1:$I$89,3,0)*VLOOKUP('Données projet'!$B$13,Paramètres!$A$1:$I$89,5,0)</f>
        <v>408.85000000000014</v>
      </c>
      <c r="CV84" s="13">
        <f t="shared" si="95"/>
        <v>93.568575358321141</v>
      </c>
      <c r="CW84" s="20">
        <f t="shared" si="67"/>
        <v>875.04568541574281</v>
      </c>
      <c r="CX84" s="59">
        <f t="shared" si="68"/>
        <v>1168.3790187490761</v>
      </c>
      <c r="CY84" s="59">
        <f ca="1">AVERAGE(OFFSET($CX$3,0,0,'Données projet'!$E$13+1,1))-AVERAGE(OFFSET($H$3,0,0,'Données projet'!$E$13+1,1))</f>
        <v>500.13646131618248</v>
      </c>
      <c r="CZ84" s="59">
        <f t="shared" si="96"/>
        <v>417.58036817539306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67.047207909694862</v>
      </c>
      <c r="DG84" s="21">
        <f>EXP(-LN(2)/25)*DG83+(1-EXP(-LN(2)/25))/(LN(2)/25)*Calculateur!DB84*Calculateur!DD84*VLOOKUP('Données projet'!$B$13,Paramètres!$A$1:$I$89,3,0)*0.475*44/12</f>
        <v>28.524843491904978</v>
      </c>
      <c r="DH84" s="21">
        <f>EXP(-LN(2)/2)*DH83+(1-EXP(-LN(2)/2))/(LN(2)/2)*DB84*DE84*VLOOKUP('Données projet'!$B$13,Paramètres!$A$1:$I$89,3,0)*0.475*44/12</f>
        <v>1.7343059644350083</v>
      </c>
      <c r="DI84" s="22">
        <f t="shared" si="69"/>
        <v>97.306357366034845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371.7282125501186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41.476298417556286</v>
      </c>
      <c r="AA85" s="21">
        <f>EXP(-LN(2)/25)*AA84+(1-EXP(-LN(2)/25))/(LN(2)/25)*Calculateur!V85*Calculateur!X85*VLOOKUP('Données projet'!$B$9,Paramètres!$A$1:$I$89,3,0)*0.475*44/12</f>
        <v>2.1825552068988014</v>
      </c>
      <c r="AB85" s="21">
        <f>EXP(-LN(2)/2)*AB84+(1-EXP(-LN(2)/2))/(LN(2)/2)*V85*Y85*VLOOKUP('Données projet'!$B$9,Paramètres!$A$1:$I$89,3,0)*0.475*44/12</f>
        <v>0.65332633777293714</v>
      </c>
      <c r="AC85" s="22">
        <f t="shared" si="57"/>
        <v>44.312179962228029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305.00000000000017</v>
      </c>
      <c r="AJ85" s="13">
        <f>AI85*VLOOKUP('Données projet'!$B$10,Paramètres!$A$1:$I$89,3,0)*VLOOKUP('Données projet'!$B$10,Paramètres!$A$1:$I$89,5,0)</f>
        <v>204.59400000000011</v>
      </c>
      <c r="AK85" s="13">
        <f t="shared" si="89"/>
        <v>50.75245156043249</v>
      </c>
      <c r="AL85" s="20">
        <f t="shared" si="58"/>
        <v>444.72840313442015</v>
      </c>
      <c r="AM85" s="59">
        <f t="shared" si="59"/>
        <v>738.06173646775346</v>
      </c>
      <c r="AN85" s="59">
        <f ca="1">AVERAGE(OFFSET($AM$3,0,0,'Données projet'!$E$10+1,1))-AVERAGE(OFFSET($H$3,0,0,'Données projet'!$E$10+1,1))</f>
        <v>269.67260882504996</v>
      </c>
      <c r="AO85" s="59">
        <f t="shared" si="90"/>
        <v>272.13858200810074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28.199903109008215</v>
      </c>
      <c r="AV85" s="21">
        <f>EXP(-LN(2)/25)*AV84+(1-EXP(-LN(2)/25))/(LN(2)/25)*Calculateur!AQ85*Calculateur!AS85*VLOOKUP('Données projet'!$B$10,Paramètres!$A$1:$I$89,3,0)*0.475*44/12</f>
        <v>1.5790878718731303</v>
      </c>
      <c r="AW85" s="21">
        <f>EXP(-LN(2)/2)*AW84+(1-EXP(-LN(2)/2))/(LN(2)/2)*AQ85*AT85*VLOOKUP('Données projet'!$B$10,Paramètres!$A$1:$I$89,3,0)*0.475*44/12</f>
        <v>1.3826949800349733E-2</v>
      </c>
      <c r="AX85" s="21">
        <f t="shared" si="60"/>
        <v>29.792817930681696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453.99999999999977</v>
      </c>
      <c r="BE85" s="13">
        <f>BD85*VLOOKUP('Données projet'!$B$11,Paramètres!$A$1:$I$89,3,0)*VLOOKUP('Données projet'!$B$11,Paramètres!$A$1:$I$89,5,0)</f>
        <v>253.78599999999986</v>
      </c>
      <c r="BF85" s="13">
        <f t="shared" si="91"/>
        <v>61.395945216950906</v>
      </c>
      <c r="BG85" s="20">
        <f t="shared" si="61"/>
        <v>548.94188791952263</v>
      </c>
      <c r="BH85" s="59">
        <f t="shared" si="62"/>
        <v>842.275221252856</v>
      </c>
      <c r="BI85" s="59">
        <f ca="1">AVERAGE(OFFSET($BH$3,0,0,'Données projet'!$E$11+1,1))-AVERAGE(OFFSET($H$3,0,0,'Données projet'!$E$11+1,1))</f>
        <v>330.33728077846268</v>
      </c>
      <c r="BJ85" s="59">
        <f t="shared" si="92"/>
        <v>358.38872754175208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38.726694142543501</v>
      </c>
      <c r="BQ85" s="21">
        <f>EXP(-LN(2)/25)*BQ84+(1-EXP(-LN(2)/25))/(LN(2)/25)*Calculateur!BL85*Calculateur!BN85*VLOOKUP('Données projet'!$B$11,Paramètres!$A$1:$I$89,3,0)*0.475*44/12</f>
        <v>17.846093112294945</v>
      </c>
      <c r="BR85" s="21">
        <f>EXP(-LN(2)/2)*BR84+(1-EXP(-LN(2)/2))/(LN(2)/2)*BL85*BO85*VLOOKUP('Données projet'!$B$11,Paramètres!$A$1:$I$89,3,0)*0.475*44/12</f>
        <v>2.495196660591582E-2</v>
      </c>
      <c r="BS85" s="22">
        <f t="shared" si="63"/>
        <v>56.597739221444364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290.99999999999994</v>
      </c>
      <c r="BZ85" s="13">
        <f>BY85*VLOOKUP('Données projet'!$B$12,Paramètres!$A$1:$I$89,3,0)*VLOOKUP('Données projet'!$B$12,Paramètres!$A$1:$I$89,5,0)</f>
        <v>276.91559999999993</v>
      </c>
      <c r="CA85" s="13">
        <f t="shared" si="93"/>
        <v>66.314766879144742</v>
      </c>
      <c r="CB85" s="20">
        <f t="shared" si="64"/>
        <v>597.79288898117682</v>
      </c>
      <c r="CC85" s="59">
        <f t="shared" si="65"/>
        <v>891.12622231451019</v>
      </c>
      <c r="CD85" s="59">
        <f ca="1">AVERAGE(OFFSET($CC$3,0,0,'Données projet'!$E$12+1,1))-AVERAGE(OFFSET($H$3,0,0,'Données projet'!$E$12+1,1))</f>
        <v>367.39143258674738</v>
      </c>
      <c r="CE85" s="59">
        <f t="shared" si="94"/>
        <v>376.02790658970292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35.822492606134425</v>
      </c>
      <c r="CL85" s="21">
        <f>EXP(-LN(2)/25)*CL84+(1-EXP(-LN(2)/25))/(LN(2)/25)*Calculateur!CG85*Calculateur!CI85*VLOOKUP('Données projet'!$B$12,Paramètres!$A$1:$I$89,3,0)*0.475*44/12</f>
        <v>1.9623502008020426</v>
      </c>
      <c r="CM85" s="21">
        <f>EXP(-LN(2)/2)*CM84+(1-EXP(-LN(2)/2))/(LN(2)/2)*CG85*CJ85*VLOOKUP('Données projet'!$B$12,Paramètres!$A$1:$I$89,3,0)*0.475*44/12</f>
        <v>2.267678288635604E-2</v>
      </c>
      <c r="CN85" s="22">
        <f t="shared" si="66"/>
        <v>37.807519589822824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925.00000000000034</v>
      </c>
      <c r="CU85" s="17">
        <f>CT85*VLOOKUP('Données projet'!$B$13,Paramètres!$A$1:$I$89,3,0)*VLOOKUP('Données projet'!$B$13,Paramètres!$A$1:$I$89,5,0)</f>
        <v>408.85000000000014</v>
      </c>
      <c r="CV85" s="13">
        <f t="shared" si="95"/>
        <v>93.568575358321141</v>
      </c>
      <c r="CW85" s="20">
        <f t="shared" si="67"/>
        <v>875.04568541574281</v>
      </c>
      <c r="CX85" s="59">
        <f t="shared" si="68"/>
        <v>1168.3790187490761</v>
      </c>
      <c r="CY85" s="59">
        <f ca="1">AVERAGE(OFFSET($CX$3,0,0,'Données projet'!$E$13+1,1))-AVERAGE(OFFSET($H$3,0,0,'Données projet'!$E$13+1,1))</f>
        <v>500.13646131618248</v>
      </c>
      <c r="CZ85" s="59">
        <f t="shared" si="96"/>
        <v>417.58036817539306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65.732453057344543</v>
      </c>
      <c r="DG85" s="21">
        <f>EXP(-LN(2)/25)*DG84+(1-EXP(-LN(2)/25))/(LN(2)/25)*Calculateur!DB85*Calculateur!DD85*VLOOKUP('Données projet'!$B$13,Paramètres!$A$1:$I$89,3,0)*0.475*44/12</f>
        <v>27.74483014656251</v>
      </c>
      <c r="DH85" s="21">
        <f>EXP(-LN(2)/2)*DH84+(1-EXP(-LN(2)/2))/(LN(2)/2)*DB85*DE85*VLOOKUP('Données projet'!$B$13,Paramètres!$A$1:$I$89,3,0)*0.475*44/12</f>
        <v>1.2263395081042698</v>
      </c>
      <c r="DI85" s="22">
        <f t="shared" si="69"/>
        <v>94.703622712011324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371.7282125501186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40.662973503632067</v>
      </c>
      <c r="AA86" s="21">
        <f>EXP(-LN(2)/25)*AA85+(1-EXP(-LN(2)/25))/(LN(2)/25)*Calculateur!V86*Calculateur!X86*VLOOKUP('Données projet'!$B$9,Paramètres!$A$1:$I$89,3,0)*0.475*44/12</f>
        <v>2.1228731199905635</v>
      </c>
      <c r="AB86" s="21">
        <f>EXP(-LN(2)/2)*AB85+(1-EXP(-LN(2)/2))/(LN(2)/2)*V86*Y86*VLOOKUP('Données projet'!$B$9,Paramètres!$A$1:$I$89,3,0)*0.475*44/12</f>
        <v>0.46197148376701674</v>
      </c>
      <c r="AC86" s="22">
        <f t="shared" si="57"/>
        <v>43.247818107389648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305.00000000000017</v>
      </c>
      <c r="AJ86" s="13">
        <f>AI86*VLOOKUP('Données projet'!$B$10,Paramètres!$A$1:$I$89,3,0)*VLOOKUP('Données projet'!$B$10,Paramètres!$A$1:$I$89,5,0)</f>
        <v>204.59400000000011</v>
      </c>
      <c r="AK86" s="13">
        <f t="shared" si="89"/>
        <v>50.75245156043249</v>
      </c>
      <c r="AL86" s="20">
        <f t="shared" si="58"/>
        <v>444.72840313442015</v>
      </c>
      <c r="AM86" s="59">
        <f t="shared" si="59"/>
        <v>738.06173646775346</v>
      </c>
      <c r="AN86" s="59">
        <f ca="1">AVERAGE(OFFSET($AM$3,0,0,'Données projet'!$E$10+1,1))-AVERAGE(OFFSET($H$3,0,0,'Données projet'!$E$10+1,1))</f>
        <v>269.67260882504996</v>
      </c>
      <c r="AO86" s="59">
        <f t="shared" si="90"/>
        <v>272.13858200810074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27.646920209283078</v>
      </c>
      <c r="AV86" s="21">
        <f>EXP(-LN(2)/25)*AV85+(1-EXP(-LN(2)/25))/(LN(2)/25)*Calculateur!AQ86*Calculateur!AS86*VLOOKUP('Données projet'!$B$10,Paramètres!$A$1:$I$89,3,0)*0.475*44/12</f>
        <v>1.5359076309761375</v>
      </c>
      <c r="AW86" s="21">
        <f>EXP(-LN(2)/2)*AW85+(1-EXP(-LN(2)/2))/(LN(2)/2)*AQ86*AT86*VLOOKUP('Données projet'!$B$10,Paramètres!$A$1:$I$89,3,0)*0.475*44/12</f>
        <v>9.7771299669532751E-3</v>
      </c>
      <c r="AX86" s="21">
        <f t="shared" si="60"/>
        <v>29.192604970226167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453.99999999999977</v>
      </c>
      <c r="BE86" s="13">
        <f>BD86*VLOOKUP('Données projet'!$B$11,Paramètres!$A$1:$I$89,3,0)*VLOOKUP('Données projet'!$B$11,Paramètres!$A$1:$I$89,5,0)</f>
        <v>253.78599999999986</v>
      </c>
      <c r="BF86" s="13">
        <f t="shared" si="91"/>
        <v>61.395945216950906</v>
      </c>
      <c r="BG86" s="20">
        <f t="shared" si="61"/>
        <v>548.94188791952263</v>
      </c>
      <c r="BH86" s="59">
        <f t="shared" si="62"/>
        <v>842.275221252856</v>
      </c>
      <c r="BI86" s="59">
        <f ca="1">AVERAGE(OFFSET($BH$3,0,0,'Données projet'!$E$11+1,1))-AVERAGE(OFFSET($H$3,0,0,'Données projet'!$E$11+1,1))</f>
        <v>330.33728077846268</v>
      </c>
      <c r="BJ86" s="59">
        <f t="shared" si="92"/>
        <v>358.38872754175208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37.967287291359277</v>
      </c>
      <c r="BQ86" s="21">
        <f>EXP(-LN(2)/25)*BQ85+(1-EXP(-LN(2)/25))/(LN(2)/25)*Calculateur!BL86*Calculateur!BN86*VLOOKUP('Données projet'!$B$11,Paramètres!$A$1:$I$89,3,0)*0.475*44/12</f>
        <v>17.35809075765399</v>
      </c>
      <c r="BR86" s="21">
        <f>EXP(-LN(2)/2)*BR85+(1-EXP(-LN(2)/2))/(LN(2)/2)*BL86*BO86*VLOOKUP('Données projet'!$B$11,Paramètres!$A$1:$I$89,3,0)*0.475*44/12</f>
        <v>1.7643704790983358E-2</v>
      </c>
      <c r="BS86" s="22">
        <f t="shared" si="63"/>
        <v>55.343021753804251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290.99999999999994</v>
      </c>
      <c r="BZ86" s="13">
        <f>BY86*VLOOKUP('Données projet'!$B$12,Paramètres!$A$1:$I$89,3,0)*VLOOKUP('Données projet'!$B$12,Paramètres!$A$1:$I$89,5,0)</f>
        <v>276.91559999999993</v>
      </c>
      <c r="CA86" s="13">
        <f t="shared" si="93"/>
        <v>66.314766879144742</v>
      </c>
      <c r="CB86" s="20">
        <f t="shared" si="64"/>
        <v>597.79288898117682</v>
      </c>
      <c r="CC86" s="59">
        <f t="shared" si="65"/>
        <v>891.12622231451019</v>
      </c>
      <c r="CD86" s="59">
        <f ca="1">AVERAGE(OFFSET($CC$3,0,0,'Données projet'!$E$12+1,1))-AVERAGE(OFFSET($H$3,0,0,'Données projet'!$E$12+1,1))</f>
        <v>367.39143258674738</v>
      </c>
      <c r="CE86" s="59">
        <f t="shared" si="94"/>
        <v>376.02790658970292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35.120035375691153</v>
      </c>
      <c r="CL86" s="21">
        <f>EXP(-LN(2)/25)*CL85+(1-EXP(-LN(2)/25))/(LN(2)/25)*Calculateur!CG86*Calculateur!CI86*VLOOKUP('Données projet'!$B$12,Paramètres!$A$1:$I$89,3,0)*0.475*44/12</f>
        <v>1.9086896313655988</v>
      </c>
      <c r="CM86" s="21">
        <f>EXP(-LN(2)/2)*CM85+(1-EXP(-LN(2)/2))/(LN(2)/2)*CG86*CJ86*VLOOKUP('Données projet'!$B$12,Paramètres!$A$1:$I$89,3,0)*0.475*44/12</f>
        <v>1.6034906954437406E-2</v>
      </c>
      <c r="CN86" s="22">
        <f t="shared" si="66"/>
        <v>37.044759914011188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925.00000000000034</v>
      </c>
      <c r="CU86" s="17">
        <f>CT86*VLOOKUP('Données projet'!$B$13,Paramètres!$A$1:$I$89,3,0)*VLOOKUP('Données projet'!$B$13,Paramètres!$A$1:$I$89,5,0)</f>
        <v>408.85000000000014</v>
      </c>
      <c r="CV86" s="13">
        <f t="shared" si="95"/>
        <v>93.568575358321141</v>
      </c>
      <c r="CW86" s="20">
        <f t="shared" si="67"/>
        <v>875.04568541574281</v>
      </c>
      <c r="CX86" s="59">
        <f t="shared" si="68"/>
        <v>1168.3790187490761</v>
      </c>
      <c r="CY86" s="59">
        <f ca="1">AVERAGE(OFFSET($CX$3,0,0,'Données projet'!$E$13+1,1))-AVERAGE(OFFSET($H$3,0,0,'Données projet'!$E$13+1,1))</f>
        <v>500.13646131618248</v>
      </c>
      <c r="CZ86" s="59">
        <f t="shared" si="96"/>
        <v>417.58036817539306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64.443479745727544</v>
      </c>
      <c r="DG86" s="21">
        <f>EXP(-LN(2)/25)*DG85+(1-EXP(-LN(2)/25))/(LN(2)/25)*Calculateur!DB86*Calculateur!DD86*VLOOKUP('Données projet'!$B$13,Paramètres!$A$1:$I$89,3,0)*0.475*44/12</f>
        <v>26.986146307167552</v>
      </c>
      <c r="DH86" s="21">
        <f>EXP(-LN(2)/2)*DH85+(1-EXP(-LN(2)/2))/(LN(2)/2)*DB86*DE86*VLOOKUP('Données projet'!$B$13,Paramètres!$A$1:$I$89,3,0)*0.475*44/12</f>
        <v>0.86715298221750436</v>
      </c>
      <c r="DI86" s="22">
        <f t="shared" si="69"/>
        <v>92.296779035112593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371.7282125501186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39.86559739519069</v>
      </c>
      <c r="AA87" s="21">
        <f>EXP(-LN(2)/25)*AA86+(1-EXP(-LN(2)/25))/(LN(2)/25)*Calculateur!V87*Calculateur!X87*VLOOKUP('Données projet'!$B$9,Paramètres!$A$1:$I$89,3,0)*0.475*44/12</f>
        <v>2.0648230428873759</v>
      </c>
      <c r="AB87" s="21">
        <f>EXP(-LN(2)/2)*AB86+(1-EXP(-LN(2)/2))/(LN(2)/2)*V87*Y87*VLOOKUP('Données projet'!$B$9,Paramètres!$A$1:$I$89,3,0)*0.475*44/12</f>
        <v>0.32666316888646862</v>
      </c>
      <c r="AC87" s="22">
        <f t="shared" si="57"/>
        <v>42.257083606964535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305.00000000000017</v>
      </c>
      <c r="AJ87" s="13">
        <f>AI87*VLOOKUP('Données projet'!$B$10,Paramètres!$A$1:$I$89,3,0)*VLOOKUP('Données projet'!$B$10,Paramètres!$A$1:$I$89,5,0)</f>
        <v>204.59400000000011</v>
      </c>
      <c r="AK87" s="13">
        <f t="shared" si="89"/>
        <v>50.75245156043249</v>
      </c>
      <c r="AL87" s="20">
        <f t="shared" si="58"/>
        <v>444.72840313442015</v>
      </c>
      <c r="AM87" s="59">
        <f t="shared" si="59"/>
        <v>738.06173646775346</v>
      </c>
      <c r="AN87" s="59">
        <f ca="1">AVERAGE(OFFSET($AM$3,0,0,'Données projet'!$E$10+1,1))-AVERAGE(OFFSET($H$3,0,0,'Données projet'!$E$10+1,1))</f>
        <v>269.67260882504996</v>
      </c>
      <c r="AO87" s="59">
        <f t="shared" si="90"/>
        <v>272.13858200810074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27.104780966935287</v>
      </c>
      <c r="AV87" s="21">
        <f>EXP(-LN(2)/25)*AV86+(1-EXP(-LN(2)/25))/(LN(2)/25)*Calculateur!AQ87*Calculateur!AS87*VLOOKUP('Données projet'!$B$10,Paramètres!$A$1:$I$89,3,0)*0.475*44/12</f>
        <v>1.4939081560372229</v>
      </c>
      <c r="AW87" s="21">
        <f>EXP(-LN(2)/2)*AW86+(1-EXP(-LN(2)/2))/(LN(2)/2)*AQ87*AT87*VLOOKUP('Données projet'!$B$10,Paramètres!$A$1:$I$89,3,0)*0.475*44/12</f>
        <v>6.9134749001748663E-3</v>
      </c>
      <c r="AX87" s="21">
        <f t="shared" si="60"/>
        <v>28.605602597872682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453.99999999999977</v>
      </c>
      <c r="BE87" s="13">
        <f>BD87*VLOOKUP('Données projet'!$B$11,Paramètres!$A$1:$I$89,3,0)*VLOOKUP('Données projet'!$B$11,Paramètres!$A$1:$I$89,5,0)</f>
        <v>253.78599999999986</v>
      </c>
      <c r="BF87" s="13">
        <f t="shared" si="91"/>
        <v>61.395945216950906</v>
      </c>
      <c r="BG87" s="20">
        <f t="shared" si="61"/>
        <v>548.94188791952263</v>
      </c>
      <c r="BH87" s="59">
        <f t="shared" si="62"/>
        <v>842.275221252856</v>
      </c>
      <c r="BI87" s="59">
        <f ca="1">AVERAGE(OFFSET($BH$3,0,0,'Données projet'!$E$11+1,1))-AVERAGE(OFFSET($H$3,0,0,'Données projet'!$E$11+1,1))</f>
        <v>330.33728077846268</v>
      </c>
      <c r="BJ87" s="59">
        <f t="shared" si="92"/>
        <v>358.38872754175208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37.22277194533433</v>
      </c>
      <c r="BQ87" s="21">
        <f>EXP(-LN(2)/25)*BQ86+(1-EXP(-LN(2)/25))/(LN(2)/25)*Calculateur!BL87*Calculateur!BN87*VLOOKUP('Données projet'!$B$11,Paramètres!$A$1:$I$89,3,0)*0.475*44/12</f>
        <v>16.883432853063621</v>
      </c>
      <c r="BR87" s="21">
        <f>EXP(-LN(2)/2)*BR86+(1-EXP(-LN(2)/2))/(LN(2)/2)*BL87*BO87*VLOOKUP('Données projet'!$B$11,Paramètres!$A$1:$I$89,3,0)*0.475*44/12</f>
        <v>1.247598330295791E-2</v>
      </c>
      <c r="BS87" s="22">
        <f t="shared" si="63"/>
        <v>54.11868078170091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290.99999999999994</v>
      </c>
      <c r="BZ87" s="13">
        <f>BY87*VLOOKUP('Données projet'!$B$12,Paramètres!$A$1:$I$89,3,0)*VLOOKUP('Données projet'!$B$12,Paramètres!$A$1:$I$89,5,0)</f>
        <v>276.91559999999993</v>
      </c>
      <c r="CA87" s="13">
        <f t="shared" si="93"/>
        <v>66.314766879144742</v>
      </c>
      <c r="CB87" s="20">
        <f t="shared" si="64"/>
        <v>597.79288898117682</v>
      </c>
      <c r="CC87" s="59">
        <f t="shared" si="65"/>
        <v>891.12622231451019</v>
      </c>
      <c r="CD87" s="59">
        <f ca="1">AVERAGE(OFFSET($CC$3,0,0,'Données projet'!$E$12+1,1))-AVERAGE(OFFSET($H$3,0,0,'Données projet'!$E$12+1,1))</f>
        <v>367.39143258674738</v>
      </c>
      <c r="CE87" s="59">
        <f t="shared" si="94"/>
        <v>376.02790658970292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34.431352903080267</v>
      </c>
      <c r="CL87" s="21">
        <f>EXP(-LN(2)/25)*CL86+(1-EXP(-LN(2)/25))/(LN(2)/25)*Calculateur!CG87*Calculateur!CI87*VLOOKUP('Données projet'!$B$12,Paramètres!$A$1:$I$89,3,0)*0.475*44/12</f>
        <v>1.8564964130222812</v>
      </c>
      <c r="CM87" s="21">
        <f>EXP(-LN(2)/2)*CM86+(1-EXP(-LN(2)/2))/(LN(2)/2)*CG87*CJ87*VLOOKUP('Données projet'!$B$12,Paramètres!$A$1:$I$89,3,0)*0.475*44/12</f>
        <v>1.133839144317802E-2</v>
      </c>
      <c r="CN87" s="22">
        <f t="shared" si="66"/>
        <v>36.299187707545727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925.00000000000034</v>
      </c>
      <c r="CU87" s="17">
        <f>CT87*VLOOKUP('Données projet'!$B$13,Paramètres!$A$1:$I$89,3,0)*VLOOKUP('Données projet'!$B$13,Paramètres!$A$1:$I$89,5,0)</f>
        <v>408.85000000000014</v>
      </c>
      <c r="CV87" s="13">
        <f t="shared" si="95"/>
        <v>93.568575358321141</v>
      </c>
      <c r="CW87" s="20">
        <f t="shared" si="67"/>
        <v>875.04568541574281</v>
      </c>
      <c r="CX87" s="59">
        <f t="shared" si="68"/>
        <v>1168.3790187490761</v>
      </c>
      <c r="CY87" s="59">
        <f ca="1">AVERAGE(OFFSET($CX$3,0,0,'Données projet'!$E$13+1,1))-AVERAGE(OFFSET($H$3,0,0,'Données projet'!$E$13+1,1))</f>
        <v>500.13646131618248</v>
      </c>
      <c r="CZ87" s="59">
        <f t="shared" si="96"/>
        <v>417.58036817539306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63.179782414555262</v>
      </c>
      <c r="DG87" s="21">
        <f>EXP(-LN(2)/25)*DG86+(1-EXP(-LN(2)/25))/(LN(2)/25)*Calculateur!DB87*Calculateur!DD87*VLOOKUP('Données projet'!$B$13,Paramètres!$A$1:$I$89,3,0)*0.475*44/12</f>
        <v>26.248208717258297</v>
      </c>
      <c r="DH87" s="21">
        <f>EXP(-LN(2)/2)*DH86+(1-EXP(-LN(2)/2))/(LN(2)/2)*DB87*DE87*VLOOKUP('Données projet'!$B$13,Paramètres!$A$1:$I$89,3,0)*0.475*44/12</f>
        <v>0.61316975405213503</v>
      </c>
      <c r="DI87" s="22">
        <f t="shared" si="69"/>
        <v>90.041160885865693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371.7282125501186</v>
      </c>
      <c r="T88" s="59">
        <f t="shared" si="88"/>
        <v>231.36959598460686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0.34400000000000003</v>
      </c>
      <c r="X88" s="16">
        <f>IF(ISNA(VLOOKUP(A88,'Données projet'!$A$35:$I$55,6,0)),0%,VLOOKUP(A88,'Données projet'!$A$35:$I$55,6,0)*VLOOKUP('Données projet'!$B$9,Paramètres!$A$1:$I$89,7,0))</f>
        <v>1.72E-2</v>
      </c>
      <c r="Y88" s="16">
        <f>IF(ISNA(VLOOKUP(A88,'Données projet'!$A$35:$I$55,7,0)),0%,VLOOKUP(A88,'Données projet'!$A$35:$I$55,7,0))</f>
        <v>0.06</v>
      </c>
      <c r="Z88" s="21">
        <f>EXP(-LN(2)/35)*Z87+(1-EXP(-LN(2)/35))/(LN(2)/35)*V88*W88*VLOOKUP('Données projet'!$B$9,Paramètres!$A$1:$I$89,3,0)*0.475*44/12</f>
        <v>46.309515971960252</v>
      </c>
      <c r="AA88" s="21">
        <f>EXP(-LN(2)/25)*AA87+(1-EXP(-LN(2)/25))/(LN(2)/25)*Calculateur!V88*Calculateur!X88*VLOOKUP('Données projet'!$B$9,Paramètres!$A$1:$I$89,3,0)*0.475*44/12</f>
        <v>2.368220770938954</v>
      </c>
      <c r="AB88" s="21">
        <f>EXP(-LN(2)/2)*AB87+(1-EXP(-LN(2)/2))/(LN(2)/2)*V88*Y88*VLOOKUP('Données projet'!$B$9,Paramètres!$A$1:$I$89,3,0)*0.475*44/12</f>
        <v>1.3066517138255518</v>
      </c>
      <c r="AC88" s="22">
        <f t="shared" si="57"/>
        <v>49.984388456724758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305.00000000000017</v>
      </c>
      <c r="AJ88" s="13">
        <f>AI88*VLOOKUP('Données projet'!$B$10,Paramètres!$A$1:$I$89,3,0)*VLOOKUP('Données projet'!$B$10,Paramètres!$A$1:$I$89,5,0)</f>
        <v>204.59400000000011</v>
      </c>
      <c r="AK88" s="13">
        <f t="shared" si="89"/>
        <v>50.75245156043249</v>
      </c>
      <c r="AL88" s="20">
        <f t="shared" si="58"/>
        <v>444.72840313442015</v>
      </c>
      <c r="AM88" s="59">
        <f t="shared" si="59"/>
        <v>738.06173646775346</v>
      </c>
      <c r="AN88" s="59">
        <f ca="1">AVERAGE(OFFSET($AM$3,0,0,'Données projet'!$E$10+1,1))-AVERAGE(OFFSET($H$3,0,0,'Données projet'!$E$10+1,1))</f>
        <v>269.67260882504996</v>
      </c>
      <c r="AO88" s="59">
        <f t="shared" si="90"/>
        <v>272.13858200810074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26.57327274445765</v>
      </c>
      <c r="AV88" s="21">
        <f>EXP(-LN(2)/25)*AV87+(1-EXP(-LN(2)/25))/(LN(2)/25)*Calculateur!AQ88*Calculateur!AS88*VLOOKUP('Données projet'!$B$10,Paramètres!$A$1:$I$89,3,0)*0.475*44/12</f>
        <v>1.4530571589491694</v>
      </c>
      <c r="AW88" s="21">
        <f>EXP(-LN(2)/2)*AW87+(1-EXP(-LN(2)/2))/(LN(2)/2)*AQ88*AT88*VLOOKUP('Données projet'!$B$10,Paramètres!$A$1:$I$89,3,0)*0.475*44/12</f>
        <v>4.8885649834766376E-3</v>
      </c>
      <c r="AX88" s="21">
        <f t="shared" si="60"/>
        <v>28.031218468390296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453.99999999999977</v>
      </c>
      <c r="BE88" s="13">
        <f>BD88*VLOOKUP('Données projet'!$B$11,Paramètres!$A$1:$I$89,3,0)*VLOOKUP('Données projet'!$B$11,Paramètres!$A$1:$I$89,5,0)</f>
        <v>253.78599999999986</v>
      </c>
      <c r="BF88" s="13">
        <f t="shared" si="91"/>
        <v>61.395945216950906</v>
      </c>
      <c r="BG88" s="20">
        <f t="shared" si="61"/>
        <v>548.94188791952263</v>
      </c>
      <c r="BH88" s="59">
        <f t="shared" si="62"/>
        <v>842.275221252856</v>
      </c>
      <c r="BI88" s="59">
        <f ca="1">AVERAGE(OFFSET($BH$3,0,0,'Données projet'!$E$11+1,1))-AVERAGE(OFFSET($H$3,0,0,'Données projet'!$E$11+1,1))</f>
        <v>330.33728077846268</v>
      </c>
      <c r="BJ88" s="59">
        <f t="shared" si="92"/>
        <v>358.38872754175208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36.492856091135408</v>
      </c>
      <c r="BQ88" s="21">
        <f>EXP(-LN(2)/25)*BQ87+(1-EXP(-LN(2)/25))/(LN(2)/25)*Calculateur!BL88*Calculateur!BN88*VLOOKUP('Données projet'!$B$11,Paramètres!$A$1:$I$89,3,0)*0.475*44/12</f>
        <v>16.421754493835451</v>
      </c>
      <c r="BR88" s="21">
        <f>EXP(-LN(2)/2)*BR87+(1-EXP(-LN(2)/2))/(LN(2)/2)*BL88*BO88*VLOOKUP('Données projet'!$B$11,Paramètres!$A$1:$I$89,3,0)*0.475*44/12</f>
        <v>8.8218523954916792E-3</v>
      </c>
      <c r="BS88" s="22">
        <f t="shared" si="63"/>
        <v>52.923432437366351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290.99999999999994</v>
      </c>
      <c r="BZ88" s="13">
        <f>BY88*VLOOKUP('Données projet'!$B$12,Paramètres!$A$1:$I$89,3,0)*VLOOKUP('Données projet'!$B$12,Paramètres!$A$1:$I$89,5,0)</f>
        <v>276.91559999999993</v>
      </c>
      <c r="CA88" s="13">
        <f t="shared" si="93"/>
        <v>66.314766879144742</v>
      </c>
      <c r="CB88" s="20">
        <f t="shared" si="64"/>
        <v>597.79288898117682</v>
      </c>
      <c r="CC88" s="59">
        <f t="shared" si="65"/>
        <v>891.12622231451019</v>
      </c>
      <c r="CD88" s="59">
        <f ca="1">AVERAGE(OFFSET($CC$3,0,0,'Données projet'!$E$12+1,1))-AVERAGE(OFFSET($H$3,0,0,'Données projet'!$E$12+1,1))</f>
        <v>367.39143258674738</v>
      </c>
      <c r="CE88" s="59">
        <f t="shared" si="94"/>
        <v>376.02790658970292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33.756175073702451</v>
      </c>
      <c r="CL88" s="21">
        <f>EXP(-LN(2)/25)*CL87+(1-EXP(-LN(2)/25))/(LN(2)/25)*Calculateur!CG88*Calculateur!CI88*VLOOKUP('Données projet'!$B$12,Paramètres!$A$1:$I$89,3,0)*0.475*44/12</f>
        <v>1.8057304209792837</v>
      </c>
      <c r="CM88" s="21">
        <f>EXP(-LN(2)/2)*CM87+(1-EXP(-LN(2)/2))/(LN(2)/2)*CG88*CJ88*VLOOKUP('Données projet'!$B$12,Paramètres!$A$1:$I$89,3,0)*0.475*44/12</f>
        <v>8.0174534772187028E-3</v>
      </c>
      <c r="CN88" s="22">
        <f t="shared" si="66"/>
        <v>35.569922948158947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925.00000000000034</v>
      </c>
      <c r="CU88" s="17">
        <f>CT88*VLOOKUP('Données projet'!$B$13,Paramètres!$A$1:$I$89,3,0)*VLOOKUP('Données projet'!$B$13,Paramètres!$A$1:$I$89,5,0)</f>
        <v>408.85000000000014</v>
      </c>
      <c r="CV88" s="13">
        <f t="shared" si="95"/>
        <v>93.568575358321141</v>
      </c>
      <c r="CW88" s="20">
        <f t="shared" si="67"/>
        <v>875.04568541574281</v>
      </c>
      <c r="CX88" s="59">
        <f t="shared" si="68"/>
        <v>1168.3790187490761</v>
      </c>
      <c r="CY88" s="59">
        <f ca="1">AVERAGE(OFFSET($CX$3,0,0,'Données projet'!$E$13+1,1))-AVERAGE(OFFSET($H$3,0,0,'Données projet'!$E$13+1,1))</f>
        <v>500.13646131618248</v>
      </c>
      <c r="CZ88" s="59">
        <f t="shared" si="96"/>
        <v>417.58036817539306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61.940865417268007</v>
      </c>
      <c r="DG88" s="21">
        <f>EXP(-LN(2)/25)*DG87+(1-EXP(-LN(2)/25))/(LN(2)/25)*Calculateur!DB88*Calculateur!DD88*VLOOKUP('Données projet'!$B$13,Paramètres!$A$1:$I$89,3,0)*0.475*44/12</f>
        <v>25.530450069551563</v>
      </c>
      <c r="DH88" s="21">
        <f>EXP(-LN(2)/2)*DH87+(1-EXP(-LN(2)/2))/(LN(2)/2)*DB88*DE88*VLOOKUP('Données projet'!$B$13,Paramètres!$A$1:$I$89,3,0)*0.475*44/12</f>
        <v>0.43357649110875224</v>
      </c>
      <c r="DI88" s="22">
        <f t="shared" si="69"/>
        <v>87.90489197792833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371.7282125501186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45.401414609765794</v>
      </c>
      <c r="AA89" s="21">
        <f>EXP(-LN(2)/25)*AA88+(1-EXP(-LN(2)/25))/(LN(2)/25)*Calculateur!V89*Calculateur!X89*VLOOKUP('Données projet'!$B$9,Paramètres!$A$1:$I$89,3,0)*0.475*44/12</f>
        <v>2.3034616494183107</v>
      </c>
      <c r="AB89" s="21">
        <f>EXP(-LN(2)/2)*AB88+(1-EXP(-LN(2)/2))/(LN(2)/2)*V89*Y89*VLOOKUP('Données projet'!$B$9,Paramètres!$A$1:$I$89,3,0)*0.475*44/12</f>
        <v>0.92394228749507179</v>
      </c>
      <c r="AC89" s="22">
        <f t="shared" si="57"/>
        <v>48.628818546679177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305.00000000000017</v>
      </c>
      <c r="AJ89" s="13">
        <f>AI89*VLOOKUP('Données projet'!$B$10,Paramètres!$A$1:$I$89,3,0)*VLOOKUP('Données projet'!$B$10,Paramètres!$A$1:$I$89,5,0)</f>
        <v>204.59400000000011</v>
      </c>
      <c r="AK89" s="13">
        <f t="shared" si="89"/>
        <v>50.75245156043249</v>
      </c>
      <c r="AL89" s="20">
        <f t="shared" si="58"/>
        <v>444.72840313442015</v>
      </c>
      <c r="AM89" s="59">
        <f t="shared" si="59"/>
        <v>738.06173646775346</v>
      </c>
      <c r="AN89" s="59">
        <f ca="1">AVERAGE(OFFSET($AM$3,0,0,'Données projet'!$E$10+1,1))-AVERAGE(OFFSET($H$3,0,0,'Données projet'!$E$10+1,1))</f>
        <v>269.67260882504996</v>
      </c>
      <c r="AO89" s="59">
        <f t="shared" si="90"/>
        <v>272.13858200810074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26.052187074034794</v>
      </c>
      <c r="AV89" s="21">
        <f>EXP(-LN(2)/25)*AV88+(1-EXP(-LN(2)/25))/(LN(2)/25)*Calculateur!AQ89*Calculateur!AS89*VLOOKUP('Données projet'!$B$10,Paramètres!$A$1:$I$89,3,0)*0.475*44/12</f>
        <v>1.4133232345247495</v>
      </c>
      <c r="AW89" s="21">
        <f>EXP(-LN(2)/2)*AW88+(1-EXP(-LN(2)/2))/(LN(2)/2)*AQ89*AT89*VLOOKUP('Données projet'!$B$10,Paramètres!$A$1:$I$89,3,0)*0.475*44/12</f>
        <v>3.4567374500874331E-3</v>
      </c>
      <c r="AX89" s="21">
        <f t="shared" si="60"/>
        <v>27.468967046009631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453.99999999999977</v>
      </c>
      <c r="BE89" s="13">
        <f>BD89*VLOOKUP('Données projet'!$B$11,Paramètres!$A$1:$I$89,3,0)*VLOOKUP('Données projet'!$B$11,Paramètres!$A$1:$I$89,5,0)</f>
        <v>253.78599999999986</v>
      </c>
      <c r="BF89" s="13">
        <f t="shared" si="91"/>
        <v>61.395945216950906</v>
      </c>
      <c r="BG89" s="20">
        <f t="shared" si="61"/>
        <v>548.94188791952263</v>
      </c>
      <c r="BH89" s="59">
        <f t="shared" si="62"/>
        <v>842.275221252856</v>
      </c>
      <c r="BI89" s="59">
        <f ca="1">AVERAGE(OFFSET($BH$3,0,0,'Données projet'!$E$11+1,1))-AVERAGE(OFFSET($H$3,0,0,'Données projet'!$E$11+1,1))</f>
        <v>330.33728077846268</v>
      </c>
      <c r="BJ89" s="59">
        <f t="shared" si="92"/>
        <v>358.38872754175208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35.777253441632617</v>
      </c>
      <c r="BQ89" s="21">
        <f>EXP(-LN(2)/25)*BQ88+(1-EXP(-LN(2)/25))/(LN(2)/25)*Calculateur!BL89*Calculateur!BN89*VLOOKUP('Données projet'!$B$11,Paramètres!$A$1:$I$89,3,0)*0.475*44/12</f>
        <v>15.972700753618984</v>
      </c>
      <c r="BR89" s="21">
        <f>EXP(-LN(2)/2)*BR88+(1-EXP(-LN(2)/2))/(LN(2)/2)*BL89*BO89*VLOOKUP('Données projet'!$B$11,Paramètres!$A$1:$I$89,3,0)*0.475*44/12</f>
        <v>6.237991651478955E-3</v>
      </c>
      <c r="BS89" s="22">
        <f t="shared" si="63"/>
        <v>51.756192186903085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290.99999999999994</v>
      </c>
      <c r="BZ89" s="13">
        <f>BY89*VLOOKUP('Données projet'!$B$12,Paramètres!$A$1:$I$89,3,0)*VLOOKUP('Données projet'!$B$12,Paramètres!$A$1:$I$89,5,0)</f>
        <v>276.91559999999993</v>
      </c>
      <c r="CA89" s="13">
        <f t="shared" si="93"/>
        <v>66.314766879144742</v>
      </c>
      <c r="CB89" s="20">
        <f t="shared" si="64"/>
        <v>597.79288898117682</v>
      </c>
      <c r="CC89" s="59">
        <f t="shared" si="65"/>
        <v>891.12622231451019</v>
      </c>
      <c r="CD89" s="59">
        <f ca="1">AVERAGE(OFFSET($CC$3,0,0,'Données projet'!$E$12+1,1))-AVERAGE(OFFSET($H$3,0,0,'Données projet'!$E$12+1,1))</f>
        <v>367.39143258674738</v>
      </c>
      <c r="CE89" s="59">
        <f t="shared" si="94"/>
        <v>376.02790658970292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33.09423706974092</v>
      </c>
      <c r="CL89" s="21">
        <f>EXP(-LN(2)/25)*CL88+(1-EXP(-LN(2)/25))/(LN(2)/25)*Calculateur!CG89*Calculateur!CI89*VLOOKUP('Données projet'!$B$12,Paramètres!$A$1:$I$89,3,0)*0.475*44/12</f>
        <v>1.7563526276583694</v>
      </c>
      <c r="CM89" s="21">
        <f>EXP(-LN(2)/2)*CM88+(1-EXP(-LN(2)/2))/(LN(2)/2)*CG89*CJ89*VLOOKUP('Données projet'!$B$12,Paramètres!$A$1:$I$89,3,0)*0.475*44/12</f>
        <v>5.66919572158901E-3</v>
      </c>
      <c r="CN89" s="22">
        <f t="shared" si="66"/>
        <v>34.856258893120874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925.00000000000034</v>
      </c>
      <c r="CU89" s="17">
        <f>CT89*VLOOKUP('Données projet'!$B$13,Paramètres!$A$1:$I$89,3,0)*VLOOKUP('Données projet'!$B$13,Paramètres!$A$1:$I$89,5,0)</f>
        <v>408.85000000000014</v>
      </c>
      <c r="CV89" s="13">
        <f t="shared" si="95"/>
        <v>93.568575358321141</v>
      </c>
      <c r="CW89" s="20">
        <f t="shared" si="67"/>
        <v>875.04568541574281</v>
      </c>
      <c r="CX89" s="59">
        <f t="shared" si="68"/>
        <v>1168.3790187490761</v>
      </c>
      <c r="CY89" s="59">
        <f ca="1">AVERAGE(OFFSET($CX$3,0,0,'Données projet'!$E$13+1,1))-AVERAGE(OFFSET($H$3,0,0,'Données projet'!$E$13+1,1))</f>
        <v>500.13646131618248</v>
      </c>
      <c r="CZ89" s="59">
        <f t="shared" si="96"/>
        <v>417.58036817539306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60.726242826632799</v>
      </c>
      <c r="DG89" s="21">
        <f>EXP(-LN(2)/25)*DG88+(1-EXP(-LN(2)/25))/(LN(2)/25)*Calculateur!DB89*Calculateur!DD89*VLOOKUP('Données projet'!$B$13,Paramètres!$A$1:$I$89,3,0)*0.475*44/12</f>
        <v>24.832318569811658</v>
      </c>
      <c r="DH89" s="21">
        <f>EXP(-LN(2)/2)*DH88+(1-EXP(-LN(2)/2))/(LN(2)/2)*DB89*DE89*VLOOKUP('Données projet'!$B$13,Paramètres!$A$1:$I$89,3,0)*0.475*44/12</f>
        <v>0.30658487702606757</v>
      </c>
      <c r="DI89" s="22">
        <f t="shared" si="69"/>
        <v>85.865146273470529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371.7282125501186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44.511120561396829</v>
      </c>
      <c r="AA90" s="21">
        <f>EXP(-LN(2)/25)*AA89+(1-EXP(-LN(2)/25))/(LN(2)/25)*Calculateur!V90*Calculateur!X90*VLOOKUP('Données projet'!$B$9,Paramètres!$A$1:$I$89,3,0)*0.475*44/12</f>
        <v>2.2404733694811836</v>
      </c>
      <c r="AB90" s="21">
        <f>EXP(-LN(2)/2)*AB89+(1-EXP(-LN(2)/2))/(LN(2)/2)*V90*Y90*VLOOKUP('Données projet'!$B$9,Paramètres!$A$1:$I$89,3,0)*0.475*44/12</f>
        <v>0.653325856912776</v>
      </c>
      <c r="AC90" s="22">
        <f t="shared" si="57"/>
        <v>47.404919787790789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305.00000000000017</v>
      </c>
      <c r="AJ90" s="13">
        <f>AI90*VLOOKUP('Données projet'!$B$10,Paramètres!$A$1:$I$89,3,0)*VLOOKUP('Données projet'!$B$10,Paramètres!$A$1:$I$89,5,0)</f>
        <v>204.59400000000011</v>
      </c>
      <c r="AK90" s="13">
        <f t="shared" si="89"/>
        <v>50.75245156043249</v>
      </c>
      <c r="AL90" s="20">
        <f t="shared" si="58"/>
        <v>444.72840313442015</v>
      </c>
      <c r="AM90" s="59">
        <f t="shared" si="59"/>
        <v>738.06173646775346</v>
      </c>
      <c r="AN90" s="59">
        <f ca="1">AVERAGE(OFFSET($AM$3,0,0,'Données projet'!$E$10+1,1))-AVERAGE(OFFSET($H$3,0,0,'Données projet'!$E$10+1,1))</f>
        <v>269.67260882504996</v>
      </c>
      <c r="AO90" s="59">
        <f t="shared" si="90"/>
        <v>272.13858200810074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25.541319575778054</v>
      </c>
      <c r="AV90" s="21">
        <f>EXP(-LN(2)/25)*AV89+(1-EXP(-LN(2)/25))/(LN(2)/25)*Calculateur!AQ90*Calculateur!AS90*VLOOKUP('Données projet'!$B$10,Paramètres!$A$1:$I$89,3,0)*0.475*44/12</f>
        <v>1.3746758363532314</v>
      </c>
      <c r="AW90" s="21">
        <f>EXP(-LN(2)/2)*AW89+(1-EXP(-LN(2)/2))/(LN(2)/2)*AQ90*AT90*VLOOKUP('Données projet'!$B$10,Paramètres!$A$1:$I$89,3,0)*0.475*44/12</f>
        <v>2.4442824917383188E-3</v>
      </c>
      <c r="AX90" s="21">
        <f t="shared" si="60"/>
        <v>26.918439694623022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453.99999999999977</v>
      </c>
      <c r="BE90" s="13">
        <f>BD90*VLOOKUP('Données projet'!$B$11,Paramètres!$A$1:$I$89,3,0)*VLOOKUP('Données projet'!$B$11,Paramètres!$A$1:$I$89,5,0)</f>
        <v>253.78599999999986</v>
      </c>
      <c r="BF90" s="13">
        <f t="shared" si="91"/>
        <v>61.395945216950906</v>
      </c>
      <c r="BG90" s="20">
        <f t="shared" si="61"/>
        <v>548.94188791952263</v>
      </c>
      <c r="BH90" s="59">
        <f t="shared" si="62"/>
        <v>842.275221252856</v>
      </c>
      <c r="BI90" s="59">
        <f ca="1">AVERAGE(OFFSET($BH$3,0,0,'Données projet'!$E$11+1,1))-AVERAGE(OFFSET($H$3,0,0,'Données projet'!$E$11+1,1))</f>
        <v>330.33728077846268</v>
      </c>
      <c r="BJ90" s="59">
        <f t="shared" si="92"/>
        <v>358.38872754175208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35.075683323612061</v>
      </c>
      <c r="BQ90" s="21">
        <f>EXP(-LN(2)/25)*BQ89+(1-EXP(-LN(2)/25))/(LN(2)/25)*Calculateur!BL90*Calculateur!BN90*VLOOKUP('Données projet'!$B$11,Paramètres!$A$1:$I$89,3,0)*0.475*44/12</f>
        <v>15.535926411543446</v>
      </c>
      <c r="BR90" s="21">
        <f>EXP(-LN(2)/2)*BR89+(1-EXP(-LN(2)/2))/(LN(2)/2)*BL90*BO90*VLOOKUP('Données projet'!$B$11,Paramètres!$A$1:$I$89,3,0)*0.475*44/12</f>
        <v>4.4109261977458396E-3</v>
      </c>
      <c r="BS90" s="22">
        <f t="shared" si="63"/>
        <v>50.616020661353254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290.99999999999994</v>
      </c>
      <c r="BZ90" s="13">
        <f>BY90*VLOOKUP('Données projet'!$B$12,Paramètres!$A$1:$I$89,3,0)*VLOOKUP('Données projet'!$B$12,Paramètres!$A$1:$I$89,5,0)</f>
        <v>276.91559999999993</v>
      </c>
      <c r="CA90" s="13">
        <f t="shared" si="93"/>
        <v>66.314766879144742</v>
      </c>
      <c r="CB90" s="20">
        <f t="shared" si="64"/>
        <v>597.79288898117682</v>
      </c>
      <c r="CC90" s="59">
        <f t="shared" si="65"/>
        <v>891.12622231451019</v>
      </c>
      <c r="CD90" s="59">
        <f ca="1">AVERAGE(OFFSET($CC$3,0,0,'Données projet'!$E$12+1,1))-AVERAGE(OFFSET($H$3,0,0,'Données projet'!$E$12+1,1))</f>
        <v>367.39143258674738</v>
      </c>
      <c r="CE90" s="59">
        <f t="shared" si="94"/>
        <v>376.02790658970292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32.445279266294762</v>
      </c>
      <c r="CL90" s="21">
        <f>EXP(-LN(2)/25)*CL89+(1-EXP(-LN(2)/25))/(LN(2)/25)*Calculateur!CG90*Calculateur!CI90*VLOOKUP('Données projet'!$B$12,Paramètres!$A$1:$I$89,3,0)*0.475*44/12</f>
        <v>1.7083250726924808</v>
      </c>
      <c r="CM90" s="21">
        <f>EXP(-LN(2)/2)*CM89+(1-EXP(-LN(2)/2))/(LN(2)/2)*CG90*CJ90*VLOOKUP('Données projet'!$B$12,Paramètres!$A$1:$I$89,3,0)*0.475*44/12</f>
        <v>4.0087267386093514E-3</v>
      </c>
      <c r="CN90" s="22">
        <f t="shared" si="66"/>
        <v>34.157613065725855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925.00000000000034</v>
      </c>
      <c r="CU90" s="17">
        <f>CT90*VLOOKUP('Données projet'!$B$13,Paramètres!$A$1:$I$89,3,0)*VLOOKUP('Données projet'!$B$13,Paramètres!$A$1:$I$89,5,0)</f>
        <v>408.85000000000014</v>
      </c>
      <c r="CV90" s="13">
        <f t="shared" si="95"/>
        <v>93.568575358321141</v>
      </c>
      <c r="CW90" s="20">
        <f t="shared" si="67"/>
        <v>875.04568541574281</v>
      </c>
      <c r="CX90" s="59">
        <f t="shared" si="68"/>
        <v>1168.3790187490761</v>
      </c>
      <c r="CY90" s="59">
        <f ca="1">AVERAGE(OFFSET($CX$3,0,0,'Données projet'!$E$13+1,1))-AVERAGE(OFFSET($H$3,0,0,'Données projet'!$E$13+1,1))</f>
        <v>500.13646131618248</v>
      </c>
      <c r="CZ90" s="59">
        <f t="shared" si="96"/>
        <v>417.58036817539306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59.535438244153319</v>
      </c>
      <c r="DG90" s="21">
        <f>EXP(-LN(2)/25)*DG89+(1-EXP(-LN(2)/25))/(LN(2)/25)*Calculateur!DB90*Calculateur!DD90*VLOOKUP('Données projet'!$B$13,Paramètres!$A$1:$I$89,3,0)*0.475*44/12</f>
        <v>24.153277512645278</v>
      </c>
      <c r="DH90" s="21">
        <f>EXP(-LN(2)/2)*DH89+(1-EXP(-LN(2)/2))/(LN(2)/2)*DB90*DE90*VLOOKUP('Données projet'!$B$13,Paramètres!$A$1:$I$89,3,0)*0.475*44/12</f>
        <v>0.21678824555437615</v>
      </c>
      <c r="DI90" s="22">
        <f t="shared" si="69"/>
        <v>83.905504002352984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371.7282125501186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43.638284636290628</v>
      </c>
      <c r="AA91" s="21">
        <f>EXP(-LN(2)/25)*AA90+(1-EXP(-LN(2)/25))/(LN(2)/25)*Calculateur!V91*Calculateur!X91*VLOOKUP('Données projet'!$B$9,Paramètres!$A$1:$I$89,3,0)*0.475*44/12</f>
        <v>2.1792075073713466</v>
      </c>
      <c r="AB91" s="21">
        <f>EXP(-LN(2)/2)*AB90+(1-EXP(-LN(2)/2))/(LN(2)/2)*V91*Y91*VLOOKUP('Données projet'!$B$9,Paramètres!$A$1:$I$89,3,0)*0.475*44/12</f>
        <v>0.46197114374753601</v>
      </c>
      <c r="AC91" s="22">
        <f t="shared" si="57"/>
        <v>46.279463287409506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305.00000000000017</v>
      </c>
      <c r="AJ91" s="13">
        <f>AI91*VLOOKUP('Données projet'!$B$10,Paramètres!$A$1:$I$89,3,0)*VLOOKUP('Données projet'!$B$10,Paramètres!$A$1:$I$89,5,0)</f>
        <v>204.59400000000011</v>
      </c>
      <c r="AK91" s="13">
        <f t="shared" si="89"/>
        <v>50.75245156043249</v>
      </c>
      <c r="AL91" s="20">
        <f t="shared" si="58"/>
        <v>444.72840313442015</v>
      </c>
      <c r="AM91" s="59">
        <f t="shared" si="59"/>
        <v>738.06173646775346</v>
      </c>
      <c r="AN91" s="59">
        <f ca="1">AVERAGE(OFFSET($AM$3,0,0,'Données projet'!$E$10+1,1))-AVERAGE(OFFSET($H$3,0,0,'Données projet'!$E$10+1,1))</f>
        <v>269.67260882504996</v>
      </c>
      <c r="AO91" s="59">
        <f t="shared" si="90"/>
        <v>272.13858200810074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25.040469877563723</v>
      </c>
      <c r="AV91" s="21">
        <f>EXP(-LN(2)/25)*AV90+(1-EXP(-LN(2)/25))/(LN(2)/25)*Calculateur!AQ91*Calculateur!AS91*VLOOKUP('Données projet'!$B$10,Paramètres!$A$1:$I$89,3,0)*0.475*44/12</f>
        <v>1.337085253317092</v>
      </c>
      <c r="AW91" s="21">
        <f>EXP(-LN(2)/2)*AW90+(1-EXP(-LN(2)/2))/(LN(2)/2)*AQ91*AT91*VLOOKUP('Données projet'!$B$10,Paramètres!$A$1:$I$89,3,0)*0.475*44/12</f>
        <v>1.7283687250437166E-3</v>
      </c>
      <c r="AX91" s="21">
        <f t="shared" si="60"/>
        <v>26.379283499605858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453.99999999999977</v>
      </c>
      <c r="BE91" s="13">
        <f>BD91*VLOOKUP('Données projet'!$B$11,Paramètres!$A$1:$I$89,3,0)*VLOOKUP('Données projet'!$B$11,Paramètres!$A$1:$I$89,5,0)</f>
        <v>253.78599999999986</v>
      </c>
      <c r="BF91" s="13">
        <f t="shared" si="91"/>
        <v>61.395945216950906</v>
      </c>
      <c r="BG91" s="20">
        <f t="shared" si="61"/>
        <v>548.94188791952263</v>
      </c>
      <c r="BH91" s="59">
        <f t="shared" si="62"/>
        <v>842.275221252856</v>
      </c>
      <c r="BI91" s="59">
        <f ca="1">AVERAGE(OFFSET($BH$3,0,0,'Données projet'!$E$11+1,1))-AVERAGE(OFFSET($H$3,0,0,'Données projet'!$E$11+1,1))</f>
        <v>330.33728077846268</v>
      </c>
      <c r="BJ91" s="59">
        <f t="shared" si="92"/>
        <v>358.38872754175208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34.387870567690371</v>
      </c>
      <c r="BQ91" s="21">
        <f>EXP(-LN(2)/25)*BQ90+(1-EXP(-LN(2)/25))/(LN(2)/25)*Calculateur!BL91*Calculateur!BN91*VLOOKUP('Données projet'!$B$11,Paramètres!$A$1:$I$89,3,0)*0.475*44/12</f>
        <v>15.111095686820928</v>
      </c>
      <c r="BR91" s="21">
        <f>EXP(-LN(2)/2)*BR90+(1-EXP(-LN(2)/2))/(LN(2)/2)*BL91*BO91*VLOOKUP('Données projet'!$B$11,Paramètres!$A$1:$I$89,3,0)*0.475*44/12</f>
        <v>3.1189958257394775E-3</v>
      </c>
      <c r="BS91" s="22">
        <f t="shared" si="63"/>
        <v>49.502085250337039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290.99999999999994</v>
      </c>
      <c r="BZ91" s="13">
        <f>BY91*VLOOKUP('Données projet'!$B$12,Paramètres!$A$1:$I$89,3,0)*VLOOKUP('Données projet'!$B$12,Paramètres!$A$1:$I$89,5,0)</f>
        <v>276.91559999999993</v>
      </c>
      <c r="CA91" s="13">
        <f t="shared" si="93"/>
        <v>66.314766879144742</v>
      </c>
      <c r="CB91" s="20">
        <f t="shared" si="64"/>
        <v>597.79288898117682</v>
      </c>
      <c r="CC91" s="59">
        <f t="shared" si="65"/>
        <v>891.12622231451019</v>
      </c>
      <c r="CD91" s="59">
        <f ca="1">AVERAGE(OFFSET($CC$3,0,0,'Données projet'!$E$12+1,1))-AVERAGE(OFFSET($H$3,0,0,'Données projet'!$E$12+1,1))</f>
        <v>367.39143258674738</v>
      </c>
      <c r="CE91" s="59">
        <f t="shared" si="94"/>
        <v>376.02790658970292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31.809047129549008</v>
      </c>
      <c r="CL91" s="21">
        <f>EXP(-LN(2)/25)*CL90+(1-EXP(-LN(2)/25))/(LN(2)/25)*Calculateur!CG91*Calculateur!CI91*VLOOKUP('Données projet'!$B$12,Paramètres!$A$1:$I$89,3,0)*0.475*44/12</f>
        <v>1.6616108337427937</v>
      </c>
      <c r="CM91" s="21">
        <f>EXP(-LN(2)/2)*CM90+(1-EXP(-LN(2)/2))/(LN(2)/2)*CG91*CJ91*VLOOKUP('Données projet'!$B$12,Paramètres!$A$1:$I$89,3,0)*0.475*44/12</f>
        <v>2.834597860794505E-3</v>
      </c>
      <c r="CN91" s="22">
        <f t="shared" si="66"/>
        <v>33.473492561152597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925.00000000000034</v>
      </c>
      <c r="CU91" s="17">
        <f>CT91*VLOOKUP('Données projet'!$B$13,Paramètres!$A$1:$I$89,3,0)*VLOOKUP('Données projet'!$B$13,Paramètres!$A$1:$I$89,5,0)</f>
        <v>408.85000000000014</v>
      </c>
      <c r="CV91" s="13">
        <f t="shared" si="95"/>
        <v>93.568575358321141</v>
      </c>
      <c r="CW91" s="20">
        <f t="shared" si="67"/>
        <v>875.04568541574281</v>
      </c>
      <c r="CX91" s="59">
        <f t="shared" si="68"/>
        <v>1168.3790187490761</v>
      </c>
      <c r="CY91" s="59">
        <f ca="1">AVERAGE(OFFSET($CX$3,0,0,'Données projet'!$E$13+1,1))-AVERAGE(OFFSET($H$3,0,0,'Données projet'!$E$13+1,1))</f>
        <v>500.13646131618248</v>
      </c>
      <c r="CZ91" s="59">
        <f t="shared" si="96"/>
        <v>417.58036817539306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58.367984613217189</v>
      </c>
      <c r="DG91" s="21">
        <f>EXP(-LN(2)/25)*DG90+(1-EXP(-LN(2)/25))/(LN(2)/25)*Calculateur!DB91*Calculateur!DD91*VLOOKUP('Données projet'!$B$13,Paramètres!$A$1:$I$89,3,0)*0.475*44/12</f>
        <v>23.492804868896332</v>
      </c>
      <c r="DH91" s="21">
        <f>EXP(-LN(2)/2)*DH90+(1-EXP(-LN(2)/2))/(LN(2)/2)*DB91*DE91*VLOOKUP('Données projet'!$B$13,Paramètres!$A$1:$I$89,3,0)*0.475*44/12</f>
        <v>0.15329243851303379</v>
      </c>
      <c r="DI91" s="22">
        <f t="shared" si="69"/>
        <v>82.014081920626552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371.7282125501186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42.782564491298416</v>
      </c>
      <c r="AA92" s="21">
        <f>EXP(-LN(2)/25)*AA91+(1-EXP(-LN(2)/25))/(LN(2)/25)*Calculateur!V92*Calculateur!X92*VLOOKUP('Données projet'!$B$9,Paramètres!$A$1:$I$89,3,0)*0.475*44/12</f>
        <v>2.1196169634827351</v>
      </c>
      <c r="AB92" s="21">
        <f>EXP(-LN(2)/2)*AB91+(1-EXP(-LN(2)/2))/(LN(2)/2)*V92*Y92*VLOOKUP('Données projet'!$B$9,Paramètres!$A$1:$I$89,3,0)*0.475*44/12</f>
        <v>0.32666292845638806</v>
      </c>
      <c r="AC92" s="22">
        <f t="shared" si="57"/>
        <v>45.228844383237536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305.00000000000017</v>
      </c>
      <c r="AJ92" s="13">
        <f>AI92*VLOOKUP('Données projet'!$B$10,Paramètres!$A$1:$I$89,3,0)*VLOOKUP('Données projet'!$B$10,Paramètres!$A$1:$I$89,5,0)</f>
        <v>204.59400000000011</v>
      </c>
      <c r="AK92" s="13">
        <f t="shared" si="89"/>
        <v>50.75245156043249</v>
      </c>
      <c r="AL92" s="20">
        <f t="shared" si="58"/>
        <v>444.72840313442015</v>
      </c>
      <c r="AM92" s="59">
        <f t="shared" si="59"/>
        <v>738.06173646775346</v>
      </c>
      <c r="AN92" s="59">
        <f ca="1">AVERAGE(OFFSET($AM$3,0,0,'Données projet'!$E$10+1,1))-AVERAGE(OFFSET($H$3,0,0,'Données projet'!$E$10+1,1))</f>
        <v>269.67260882504996</v>
      </c>
      <c r="AO92" s="59">
        <f t="shared" si="90"/>
        <v>272.13858200810074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24.549441536443222</v>
      </c>
      <c r="AV92" s="21">
        <f>EXP(-LN(2)/25)*AV91+(1-EXP(-LN(2)/25))/(LN(2)/25)*Calculateur!AQ92*Calculateur!AS92*VLOOKUP('Données projet'!$B$10,Paramètres!$A$1:$I$89,3,0)*0.475*44/12</f>
        <v>1.3005225867508787</v>
      </c>
      <c r="AW92" s="21">
        <f>EXP(-LN(2)/2)*AW91+(1-EXP(-LN(2)/2))/(LN(2)/2)*AQ92*AT92*VLOOKUP('Données projet'!$B$10,Paramètres!$A$1:$I$89,3,0)*0.475*44/12</f>
        <v>1.2221412458691594E-3</v>
      </c>
      <c r="AX92" s="21">
        <f t="shared" si="60"/>
        <v>25.851186264439971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453.99999999999977</v>
      </c>
      <c r="BE92" s="13">
        <f>BD92*VLOOKUP('Données projet'!$B$11,Paramètres!$A$1:$I$89,3,0)*VLOOKUP('Données projet'!$B$11,Paramètres!$A$1:$I$89,5,0)</f>
        <v>253.78599999999986</v>
      </c>
      <c r="BF92" s="13">
        <f t="shared" si="91"/>
        <v>61.395945216950906</v>
      </c>
      <c r="BG92" s="20">
        <f t="shared" si="61"/>
        <v>548.94188791952263</v>
      </c>
      <c r="BH92" s="59">
        <f t="shared" si="62"/>
        <v>842.275221252856</v>
      </c>
      <c r="BI92" s="59">
        <f ca="1">AVERAGE(OFFSET($BH$3,0,0,'Données projet'!$E$11+1,1))-AVERAGE(OFFSET($H$3,0,0,'Données projet'!$E$11+1,1))</f>
        <v>330.33728077846268</v>
      </c>
      <c r="BJ92" s="59">
        <f t="shared" si="92"/>
        <v>358.38872754175208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33.713545400387943</v>
      </c>
      <c r="BQ92" s="21">
        <f>EXP(-LN(2)/25)*BQ91+(1-EXP(-LN(2)/25))/(LN(2)/25)*Calculateur!BL92*Calculateur!BN92*VLOOKUP('Données projet'!$B$11,Paramètres!$A$1:$I$89,3,0)*0.475*44/12</f>
        <v>14.697881980606825</v>
      </c>
      <c r="BR92" s="21">
        <f>EXP(-LN(2)/2)*BR91+(1-EXP(-LN(2)/2))/(LN(2)/2)*BL92*BO92*VLOOKUP('Données projet'!$B$11,Paramètres!$A$1:$I$89,3,0)*0.475*44/12</f>
        <v>2.2054630988729198E-3</v>
      </c>
      <c r="BS92" s="22">
        <f t="shared" si="63"/>
        <v>48.413632844093641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290.99999999999994</v>
      </c>
      <c r="BZ92" s="13">
        <f>BY92*VLOOKUP('Données projet'!$B$12,Paramètres!$A$1:$I$89,3,0)*VLOOKUP('Données projet'!$B$12,Paramètres!$A$1:$I$89,5,0)</f>
        <v>276.91559999999993</v>
      </c>
      <c r="CA92" s="13">
        <f t="shared" si="93"/>
        <v>66.314766879144742</v>
      </c>
      <c r="CB92" s="20">
        <f t="shared" si="64"/>
        <v>597.79288898117682</v>
      </c>
      <c r="CC92" s="59">
        <f t="shared" si="65"/>
        <v>891.12622231451019</v>
      </c>
      <c r="CD92" s="59">
        <f ca="1">AVERAGE(OFFSET($CC$3,0,0,'Données projet'!$E$12+1,1))-AVERAGE(OFFSET($H$3,0,0,'Données projet'!$E$12+1,1))</f>
        <v>367.39143258674738</v>
      </c>
      <c r="CE92" s="59">
        <f t="shared" si="94"/>
        <v>376.02790658970292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31.185291116941553</v>
      </c>
      <c r="CL92" s="21">
        <f>EXP(-LN(2)/25)*CL91+(1-EXP(-LN(2)/25))/(LN(2)/25)*Calculateur!CG92*Calculateur!CI92*VLOOKUP('Données projet'!$B$12,Paramètres!$A$1:$I$89,3,0)*0.475*44/12</f>
        <v>1.616173998113781</v>
      </c>
      <c r="CM92" s="21">
        <f>EXP(-LN(2)/2)*CM91+(1-EXP(-LN(2)/2))/(LN(2)/2)*CG92*CJ92*VLOOKUP('Données projet'!$B$12,Paramètres!$A$1:$I$89,3,0)*0.475*44/12</f>
        <v>2.0043633693046757E-3</v>
      </c>
      <c r="CN92" s="22">
        <f t="shared" si="66"/>
        <v>32.803469478424638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925.00000000000034</v>
      </c>
      <c r="CU92" s="17">
        <f>CT92*VLOOKUP('Données projet'!$B$13,Paramètres!$A$1:$I$89,3,0)*VLOOKUP('Données projet'!$B$13,Paramètres!$A$1:$I$89,5,0)</f>
        <v>408.85000000000014</v>
      </c>
      <c r="CV92" s="13">
        <f t="shared" si="95"/>
        <v>93.568575358321141</v>
      </c>
      <c r="CW92" s="20">
        <f t="shared" si="67"/>
        <v>875.04568541574281</v>
      </c>
      <c r="CX92" s="59">
        <f t="shared" si="68"/>
        <v>1168.3790187490761</v>
      </c>
      <c r="CY92" s="59">
        <f ca="1">AVERAGE(OFFSET($CX$3,0,0,'Données projet'!$E$13+1,1))-AVERAGE(OFFSET($H$3,0,0,'Données projet'!$E$13+1,1))</f>
        <v>500.13646131618248</v>
      </c>
      <c r="CZ92" s="59">
        <f t="shared" si="96"/>
        <v>417.58036817539306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57.223424035907314</v>
      </c>
      <c r="DG92" s="21">
        <f>EXP(-LN(2)/25)*DG91+(1-EXP(-LN(2)/25))/(LN(2)/25)*Calculateur!DB92*Calculateur!DD92*VLOOKUP('Données projet'!$B$13,Paramètres!$A$1:$I$89,3,0)*0.475*44/12</f>
        <v>22.850392884323448</v>
      </c>
      <c r="DH92" s="21">
        <f>EXP(-LN(2)/2)*DH91+(1-EXP(-LN(2)/2))/(LN(2)/2)*DB92*DE92*VLOOKUP('Données projet'!$B$13,Paramètres!$A$1:$I$89,3,0)*0.475*44/12</f>
        <v>0.10839412277718807</v>
      </c>
      <c r="DI92" s="22">
        <f t="shared" si="69"/>
        <v>80.182211043007953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371.7282125501186</v>
      </c>
      <c r="T93" s="59">
        <f t="shared" si="88"/>
        <v>231.36959598460686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0.34400000000000003</v>
      </c>
      <c r="X93" s="16">
        <f>IF(ISNA(VLOOKUP(A93,'Données projet'!$A$35:$I$55,6,0)),0%,VLOOKUP(A93,'Données projet'!$A$35:$I$55,6,0)*VLOOKUP('Données projet'!$B$9,Paramètres!$A$1:$I$89,7,0))</f>
        <v>1.72E-2</v>
      </c>
      <c r="Y93" s="16">
        <f>IF(ISNA(VLOOKUP(A93,'Données projet'!$A$35:$I$55,7,0)),0%,VLOOKUP(A93,'Données projet'!$A$35:$I$55,7,0))</f>
        <v>0.06</v>
      </c>
      <c r="Z93" s="21">
        <f>EXP(-LN(2)/35)*Z92+(1-EXP(-LN(2)/35))/(LN(2)/35)*V93*W93*VLOOKUP('Données projet'!$B$9,Paramètres!$A$1:$I$89,3,0)*0.475*44/12</f>
        <v>49.169283122487556</v>
      </c>
      <c r="AA93" s="21">
        <f>EXP(-LN(2)/25)*AA92+(1-EXP(-LN(2)/25))/(LN(2)/25)*Calculateur!V93*Calculateur!X93*VLOOKUP('Données projet'!$B$9,Paramètres!$A$1:$I$89,3,0)*0.475*44/12</f>
        <v>2.421516348894146</v>
      </c>
      <c r="AB93" s="21">
        <f>EXP(-LN(2)/2)*AB92+(1-EXP(-LN(2)/2))/(LN(2)/2)*V93*Y93*VLOOKUP('Données projet'!$B$9,Paramètres!$A$1:$I$89,3,0)*0.475*44/12</f>
        <v>1.3066515438158115</v>
      </c>
      <c r="AC93" s="22">
        <f t="shared" si="57"/>
        <v>52.897451015197511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305.00000000000017</v>
      </c>
      <c r="AJ93" s="13">
        <f>AI93*VLOOKUP('Données projet'!$B$10,Paramètres!$A$1:$I$89,3,0)*VLOOKUP('Données projet'!$B$10,Paramètres!$A$1:$I$89,5,0)</f>
        <v>204.59400000000011</v>
      </c>
      <c r="AK93" s="13">
        <f t="shared" si="89"/>
        <v>50.75245156043249</v>
      </c>
      <c r="AL93" s="20">
        <f t="shared" si="58"/>
        <v>444.72840313442015</v>
      </c>
      <c r="AM93" s="59">
        <f t="shared" si="59"/>
        <v>738.06173646775346</v>
      </c>
      <c r="AN93" s="59">
        <f ca="1">AVERAGE(OFFSET($AM$3,0,0,'Données projet'!$E$10+1,1))-AVERAGE(OFFSET($H$3,0,0,'Données projet'!$E$10+1,1))</f>
        <v>269.67260882504996</v>
      </c>
      <c r="AO93" s="59">
        <f t="shared" si="90"/>
        <v>272.13858200810074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24.068041961594378</v>
      </c>
      <c r="AV93" s="21">
        <f>EXP(-LN(2)/25)*AV92+(1-EXP(-LN(2)/25))/(LN(2)/25)*Calculateur!AQ93*Calculateur!AS93*VLOOKUP('Données projet'!$B$10,Paramètres!$A$1:$I$89,3,0)*0.475*44/12</f>
        <v>1.2649597282246654</v>
      </c>
      <c r="AW93" s="21">
        <f>EXP(-LN(2)/2)*AW92+(1-EXP(-LN(2)/2))/(LN(2)/2)*AQ93*AT93*VLOOKUP('Données projet'!$B$10,Paramètres!$A$1:$I$89,3,0)*0.475*44/12</f>
        <v>8.6418436252185828E-4</v>
      </c>
      <c r="AX93" s="21">
        <f t="shared" si="60"/>
        <v>25.333865874181566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453.99999999999977</v>
      </c>
      <c r="BE93" s="13">
        <f>BD93*VLOOKUP('Données projet'!$B$11,Paramètres!$A$1:$I$89,3,0)*VLOOKUP('Données projet'!$B$11,Paramètres!$A$1:$I$89,5,0)</f>
        <v>253.78599999999986</v>
      </c>
      <c r="BF93" s="13">
        <f t="shared" si="91"/>
        <v>61.395945216950906</v>
      </c>
      <c r="BG93" s="20">
        <f t="shared" si="61"/>
        <v>548.94188791952263</v>
      </c>
      <c r="BH93" s="59">
        <f t="shared" si="62"/>
        <v>842.275221252856</v>
      </c>
      <c r="BI93" s="59">
        <f ca="1">AVERAGE(OFFSET($BH$3,0,0,'Données projet'!$E$11+1,1))-AVERAGE(OFFSET($H$3,0,0,'Données projet'!$E$11+1,1))</f>
        <v>330.33728077846268</v>
      </c>
      <c r="BJ93" s="59">
        <f t="shared" si="92"/>
        <v>358.38872754175208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33.052443338318582</v>
      </c>
      <c r="BQ93" s="21">
        <f>EXP(-LN(2)/25)*BQ92+(1-EXP(-LN(2)/25))/(LN(2)/25)*Calculateur!BL93*Calculateur!BN93*VLOOKUP('Données projet'!$B$11,Paramètres!$A$1:$I$89,3,0)*0.475*44/12</f>
        <v>14.295967624919109</v>
      </c>
      <c r="BR93" s="21">
        <f>EXP(-LN(2)/2)*BR92+(1-EXP(-LN(2)/2))/(LN(2)/2)*BL93*BO93*VLOOKUP('Données projet'!$B$11,Paramètres!$A$1:$I$89,3,0)*0.475*44/12</f>
        <v>1.5594979128697388E-3</v>
      </c>
      <c r="BS93" s="22">
        <f t="shared" si="63"/>
        <v>47.349970461150562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290.99999999999994</v>
      </c>
      <c r="BZ93" s="13">
        <f>BY93*VLOOKUP('Données projet'!$B$12,Paramètres!$A$1:$I$89,3,0)*VLOOKUP('Données projet'!$B$12,Paramètres!$A$1:$I$89,5,0)</f>
        <v>276.91559999999993</v>
      </c>
      <c r="CA93" s="13">
        <f t="shared" si="93"/>
        <v>66.314766879144742</v>
      </c>
      <c r="CB93" s="20">
        <f t="shared" si="64"/>
        <v>597.79288898117682</v>
      </c>
      <c r="CC93" s="59">
        <f t="shared" si="65"/>
        <v>891.12622231451019</v>
      </c>
      <c r="CD93" s="59">
        <f ca="1">AVERAGE(OFFSET($CC$3,0,0,'Données projet'!$E$12+1,1))-AVERAGE(OFFSET($H$3,0,0,'Données projet'!$E$12+1,1))</f>
        <v>367.39143258674738</v>
      </c>
      <c r="CE93" s="59">
        <f t="shared" si="94"/>
        <v>376.02790658970292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30.573766579287728</v>
      </c>
      <c r="CL93" s="21">
        <f>EXP(-LN(2)/25)*CL92+(1-EXP(-LN(2)/25))/(LN(2)/25)*Calculateur!CG93*Calculateur!CI93*VLOOKUP('Données projet'!$B$12,Paramètres!$A$1:$I$89,3,0)*0.475*44/12</f>
        <v>1.571979635144463</v>
      </c>
      <c r="CM93" s="21">
        <f>EXP(-LN(2)/2)*CM92+(1-EXP(-LN(2)/2))/(LN(2)/2)*CG93*CJ93*VLOOKUP('Données projet'!$B$12,Paramètres!$A$1:$I$89,3,0)*0.475*44/12</f>
        <v>1.4172989303972525E-3</v>
      </c>
      <c r="CN93" s="22">
        <f t="shared" si="66"/>
        <v>32.147163513362592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925.00000000000034</v>
      </c>
      <c r="CU93" s="17">
        <f>CT93*VLOOKUP('Données projet'!$B$13,Paramètres!$A$1:$I$89,3,0)*VLOOKUP('Données projet'!$B$13,Paramètres!$A$1:$I$89,5,0)</f>
        <v>408.85000000000014</v>
      </c>
      <c r="CV93" s="13">
        <f t="shared" si="95"/>
        <v>93.568575358321141</v>
      </c>
      <c r="CW93" s="20">
        <f t="shared" si="67"/>
        <v>875.04568541574281</v>
      </c>
      <c r="CX93" s="59">
        <f t="shared" si="68"/>
        <v>1168.3790187490761</v>
      </c>
      <c r="CY93" s="59">
        <f ca="1">AVERAGE(OFFSET($CX$3,0,0,'Données projet'!$E$13+1,1))-AVERAGE(OFFSET($H$3,0,0,'Données projet'!$E$13+1,1))</f>
        <v>500.13646131618248</v>
      </c>
      <c r="CZ93" s="59">
        <f t="shared" si="96"/>
        <v>417.58036817539306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56.101307593405465</v>
      </c>
      <c r="DG93" s="21">
        <f>EXP(-LN(2)/25)*DG92+(1-EXP(-LN(2)/25))/(LN(2)/25)*Calculateur!DB93*Calculateur!DD93*VLOOKUP('Données projet'!$B$13,Paramètres!$A$1:$I$89,3,0)*0.475*44/12</f>
        <v>22.225547689251687</v>
      </c>
      <c r="DH93" s="21">
        <f>EXP(-LN(2)/2)*DH92+(1-EXP(-LN(2)/2))/(LN(2)/2)*DB93*DE93*VLOOKUP('Données projet'!$B$13,Paramètres!$A$1:$I$89,3,0)*0.475*44/12</f>
        <v>7.6646219256516893E-2</v>
      </c>
      <c r="DI93" s="22">
        <f t="shared" si="69"/>
        <v>78.403501501913667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801.14056019463919</v>
      </c>
      <c r="S94" s="59">
        <f ca="1">AVERAGE(OFFSET($R$3,0,0,'Données projet'!$E$9+1,1))-AVERAGE(OFFSET($H$3,0,0,'Données projet'!$E$9+1,1))</f>
        <v>371.7282125501186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48.205103470756981</v>
      </c>
      <c r="AA94" s="21">
        <f>EXP(-LN(2)/25)*AA93+(1-EXP(-LN(2)/25))/(LN(2)/25)*Calculateur!V94*Calculateur!X94*VLOOKUP('Données projet'!$B$9,Paramètres!$A$1:$I$89,3,0)*0.475*44/12</f>
        <v>2.3552998569916253</v>
      </c>
      <c r="AB94" s="21">
        <f>EXP(-LN(2)/2)*AB93+(1-EXP(-LN(2)/2))/(LN(2)/2)*V94*Y94*VLOOKUP('Données projet'!$B$9,Paramètres!$A$1:$I$89,3,0)*0.475*44/12</f>
        <v>0.92394216728003165</v>
      </c>
      <c r="AC94" s="22">
        <f t="shared" si="57"/>
        <v>51.484345495028641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305.00000000000017</v>
      </c>
      <c r="AJ94" s="13">
        <f>AI94*VLOOKUP('Données projet'!$B$10,Paramètres!$A$1:$I$89,3,0)*VLOOKUP('Données projet'!$B$10,Paramètres!$A$1:$I$89,5,0)</f>
        <v>204.59400000000011</v>
      </c>
      <c r="AK94" s="13">
        <f t="shared" si="89"/>
        <v>50.75245156043249</v>
      </c>
      <c r="AL94" s="20">
        <f t="shared" si="58"/>
        <v>444.72840313442015</v>
      </c>
      <c r="AM94" s="59">
        <f t="shared" si="59"/>
        <v>738.06173646775346</v>
      </c>
      <c r="AN94" s="59">
        <f ca="1">AVERAGE(OFFSET($AM$3,0,0,'Données projet'!$E$10+1,1))-AVERAGE(OFFSET($H$3,0,0,'Données projet'!$E$10+1,1))</f>
        <v>269.67260882504996</v>
      </c>
      <c r="AO94" s="59">
        <f t="shared" si="90"/>
        <v>272.13858200810074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23.596082338783575</v>
      </c>
      <c r="AV94" s="21">
        <f>EXP(-LN(2)/25)*AV93+(1-EXP(-LN(2)/25))/(LN(2)/25)*Calculateur!AQ94*Calculateur!AS94*VLOOKUP('Données projet'!$B$10,Paramètres!$A$1:$I$89,3,0)*0.475*44/12</f>
        <v>1.2303693379350209</v>
      </c>
      <c r="AW94" s="21">
        <f>EXP(-LN(2)/2)*AW93+(1-EXP(-LN(2)/2))/(LN(2)/2)*AQ94*AT94*VLOOKUP('Données projet'!$B$10,Paramètres!$A$1:$I$89,3,0)*0.475*44/12</f>
        <v>6.1107062293457969E-4</v>
      </c>
      <c r="AX94" s="21">
        <f t="shared" si="60"/>
        <v>24.827062747341529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453.99999999999977</v>
      </c>
      <c r="BE94" s="13">
        <f>BD94*VLOOKUP('Données projet'!$B$11,Paramètres!$A$1:$I$89,3,0)*VLOOKUP('Données projet'!$B$11,Paramètres!$A$1:$I$89,5,0)</f>
        <v>253.78599999999986</v>
      </c>
      <c r="BF94" s="13">
        <f t="shared" si="91"/>
        <v>61.395945216950906</v>
      </c>
      <c r="BG94" s="20">
        <f t="shared" si="61"/>
        <v>548.94188791952263</v>
      </c>
      <c r="BH94" s="59">
        <f t="shared" si="62"/>
        <v>842.275221252856</v>
      </c>
      <c r="BI94" s="59">
        <f ca="1">AVERAGE(OFFSET($BH$3,0,0,'Données projet'!$E$11+1,1))-AVERAGE(OFFSET($H$3,0,0,'Données projet'!$E$11+1,1))</f>
        <v>330.33728077846268</v>
      </c>
      <c r="BJ94" s="59">
        <f t="shared" si="92"/>
        <v>358.38872754175208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32.404305084453959</v>
      </c>
      <c r="BQ94" s="21">
        <f>EXP(-LN(2)/25)*BQ93+(1-EXP(-LN(2)/25))/(LN(2)/25)*Calculateur!BL94*Calculateur!BN94*VLOOKUP('Données projet'!$B$11,Paramètres!$A$1:$I$89,3,0)*0.475*44/12</f>
        <v>13.905043638423432</v>
      </c>
      <c r="BR94" s="21">
        <f>EXP(-LN(2)/2)*BR93+(1-EXP(-LN(2)/2))/(LN(2)/2)*BL94*BO94*VLOOKUP('Données projet'!$B$11,Paramètres!$A$1:$I$89,3,0)*0.475*44/12</f>
        <v>1.1027315494364599E-3</v>
      </c>
      <c r="BS94" s="22">
        <f t="shared" si="63"/>
        <v>46.310451454426826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290.99999999999994</v>
      </c>
      <c r="BZ94" s="13">
        <f>BY94*VLOOKUP('Données projet'!$B$12,Paramètres!$A$1:$I$89,3,0)*VLOOKUP('Données projet'!$B$12,Paramètres!$A$1:$I$89,5,0)</f>
        <v>276.91559999999993</v>
      </c>
      <c r="CA94" s="13">
        <f t="shared" si="93"/>
        <v>66.314766879144742</v>
      </c>
      <c r="CB94" s="20">
        <f t="shared" si="64"/>
        <v>597.79288898117682</v>
      </c>
      <c r="CC94" s="59">
        <f t="shared" si="65"/>
        <v>891.12622231451019</v>
      </c>
      <c r="CD94" s="59">
        <f ca="1">AVERAGE(OFFSET($CC$3,0,0,'Données projet'!$E$12+1,1))-AVERAGE(OFFSET($H$3,0,0,'Données projet'!$E$12+1,1))</f>
        <v>367.39143258674738</v>
      </c>
      <c r="CE94" s="59">
        <f t="shared" si="94"/>
        <v>376.02790658970292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29.974233664824158</v>
      </c>
      <c r="CL94" s="21">
        <f>EXP(-LN(2)/25)*CL93+(1-EXP(-LN(2)/25))/(LN(2)/25)*Calculateur!CG94*Calculateur!CI94*VLOOKUP('Données projet'!$B$12,Paramètres!$A$1:$I$89,3,0)*0.475*44/12</f>
        <v>1.5289937693546214</v>
      </c>
      <c r="CM94" s="21">
        <f>EXP(-LN(2)/2)*CM93+(1-EXP(-LN(2)/2))/(LN(2)/2)*CG94*CJ94*VLOOKUP('Données projet'!$B$12,Paramètres!$A$1:$I$89,3,0)*0.475*44/12</f>
        <v>1.0021816846523379E-3</v>
      </c>
      <c r="CN94" s="22">
        <f t="shared" si="66"/>
        <v>31.50422961586343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925.00000000000034</v>
      </c>
      <c r="CU94" s="17">
        <f>CT94*VLOOKUP('Données projet'!$B$13,Paramètres!$A$1:$I$89,3,0)*VLOOKUP('Données projet'!$B$13,Paramètres!$A$1:$I$89,5,0)</f>
        <v>408.85000000000014</v>
      </c>
      <c r="CV94" s="13">
        <f t="shared" si="95"/>
        <v>93.568575358321141</v>
      </c>
      <c r="CW94" s="20">
        <f t="shared" si="67"/>
        <v>875.04568541574281</v>
      </c>
      <c r="CX94" s="59">
        <f t="shared" si="68"/>
        <v>1168.3790187490761</v>
      </c>
      <c r="CY94" s="59">
        <f ca="1">AVERAGE(OFFSET($CX$3,0,0,'Données projet'!$E$13+1,1))-AVERAGE(OFFSET($H$3,0,0,'Données projet'!$E$13+1,1))</f>
        <v>500.13646131618248</v>
      </c>
      <c r="CZ94" s="59">
        <f t="shared" si="96"/>
        <v>417.58036817539306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55.001195169917629</v>
      </c>
      <c r="DG94" s="21">
        <f>EXP(-LN(2)/25)*DG93+(1-EXP(-LN(2)/25))/(LN(2)/25)*Calculateur!DB94*Calculateur!DD94*VLOOKUP('Données projet'!$B$13,Paramètres!$A$1:$I$89,3,0)*0.475*44/12</f>
        <v>21.617788918898345</v>
      </c>
      <c r="DH94" s="21">
        <f>EXP(-LN(2)/2)*DH93+(1-EXP(-LN(2)/2))/(LN(2)/2)*DB94*DE94*VLOOKUP('Données projet'!$B$13,Paramètres!$A$1:$I$89,3,0)*0.475*44/12</f>
        <v>5.4197061388594037E-2</v>
      </c>
      <c r="DI94" s="22">
        <f t="shared" si="69"/>
        <v>76.67318115020457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810.71794681982283</v>
      </c>
      <c r="S95" s="59">
        <f ca="1">AVERAGE(OFFSET($R$3,0,0,'Données projet'!$E$9+1,1))-AVERAGE(OFFSET($H$3,0,0,'Données projet'!$E$9+1,1))</f>
        <v>371.7282125501186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47.25983079390533</v>
      </c>
      <c r="AA95" s="21">
        <f>EXP(-LN(2)/25)*AA94+(1-EXP(-LN(2)/25))/(LN(2)/25)*Calculateur!V95*Calculateur!X95*VLOOKUP('Données projet'!$B$9,Paramètres!$A$1:$I$89,3,0)*0.475*44/12</f>
        <v>2.290894058542353</v>
      </c>
      <c r="AB95" s="21">
        <f>EXP(-LN(2)/2)*AB94+(1-EXP(-LN(2)/2))/(LN(2)/2)*V95*Y95*VLOOKUP('Données projet'!$B$9,Paramètres!$A$1:$I$89,3,0)*0.475*44/12</f>
        <v>0.65332577190790586</v>
      </c>
      <c r="AC95" s="22">
        <f t="shared" si="57"/>
        <v>50.204050624355595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305.00000000000017</v>
      </c>
      <c r="AJ95" s="13">
        <f>AI95*VLOOKUP('Données projet'!$B$10,Paramètres!$A$1:$I$89,3,0)*VLOOKUP('Données projet'!$B$10,Paramètres!$A$1:$I$89,5,0)</f>
        <v>204.59400000000011</v>
      </c>
      <c r="AK95" s="13">
        <f t="shared" si="89"/>
        <v>50.75245156043249</v>
      </c>
      <c r="AL95" s="20">
        <f t="shared" si="58"/>
        <v>444.72840313442015</v>
      </c>
      <c r="AM95" s="59">
        <f t="shared" si="59"/>
        <v>738.06173646775346</v>
      </c>
      <c r="AN95" s="59">
        <f ca="1">AVERAGE(OFFSET($AM$3,0,0,'Données projet'!$E$10+1,1))-AVERAGE(OFFSET($H$3,0,0,'Données projet'!$E$10+1,1))</f>
        <v>269.67260882504996</v>
      </c>
      <c r="AO95" s="59">
        <f t="shared" si="90"/>
        <v>272.13858200810074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23.133377556309146</v>
      </c>
      <c r="AV95" s="21">
        <f>EXP(-LN(2)/25)*AV94+(1-EXP(-LN(2)/25))/(LN(2)/25)*Calculateur!AQ95*Calculateur!AS95*VLOOKUP('Données projet'!$B$10,Paramètres!$A$1:$I$89,3,0)*0.475*44/12</f>
        <v>1.1967248236868764</v>
      </c>
      <c r="AW95" s="21">
        <f>EXP(-LN(2)/2)*AW94+(1-EXP(-LN(2)/2))/(LN(2)/2)*AQ95*AT95*VLOOKUP('Données projet'!$B$10,Paramètres!$A$1:$I$89,3,0)*0.475*44/12</f>
        <v>4.3209218126092914E-4</v>
      </c>
      <c r="AX95" s="21">
        <f t="shared" si="60"/>
        <v>24.33053447217728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453.99999999999977</v>
      </c>
      <c r="BE95" s="13">
        <f>BD95*VLOOKUP('Données projet'!$B$11,Paramètres!$A$1:$I$89,3,0)*VLOOKUP('Données projet'!$B$11,Paramètres!$A$1:$I$89,5,0)</f>
        <v>253.78599999999986</v>
      </c>
      <c r="BF95" s="13">
        <f t="shared" si="91"/>
        <v>61.395945216950906</v>
      </c>
      <c r="BG95" s="20">
        <f t="shared" si="61"/>
        <v>548.94188791952263</v>
      </c>
      <c r="BH95" s="59">
        <f t="shared" si="62"/>
        <v>842.275221252856</v>
      </c>
      <c r="BI95" s="59">
        <f ca="1">AVERAGE(OFFSET($BH$3,0,0,'Données projet'!$E$11+1,1))-AVERAGE(OFFSET($H$3,0,0,'Données projet'!$E$11+1,1))</f>
        <v>330.33728077846268</v>
      </c>
      <c r="BJ95" s="59">
        <f t="shared" si="92"/>
        <v>358.38872754175208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31.76887642642232</v>
      </c>
      <c r="BQ95" s="21">
        <f>EXP(-LN(2)/25)*BQ94+(1-EXP(-LN(2)/25))/(LN(2)/25)*Calculateur!BL95*Calculateur!BN95*VLOOKUP('Données projet'!$B$11,Paramètres!$A$1:$I$89,3,0)*0.475*44/12</f>
        <v>13.524809488896279</v>
      </c>
      <c r="BR95" s="21">
        <f>EXP(-LN(2)/2)*BR94+(1-EXP(-LN(2)/2))/(LN(2)/2)*BL95*BO95*VLOOKUP('Données projet'!$B$11,Paramètres!$A$1:$I$89,3,0)*0.475*44/12</f>
        <v>7.7974895643486938E-4</v>
      </c>
      <c r="BS95" s="22">
        <f t="shared" si="63"/>
        <v>45.29446566427503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290.99999999999994</v>
      </c>
      <c r="BZ95" s="13">
        <f>BY95*VLOOKUP('Données projet'!$B$12,Paramètres!$A$1:$I$89,3,0)*VLOOKUP('Données projet'!$B$12,Paramètres!$A$1:$I$89,5,0)</f>
        <v>276.91559999999993</v>
      </c>
      <c r="CA95" s="13">
        <f t="shared" si="93"/>
        <v>66.314766879144742</v>
      </c>
      <c r="CB95" s="20">
        <f t="shared" si="64"/>
        <v>597.79288898117682</v>
      </c>
      <c r="CC95" s="59">
        <f t="shared" si="65"/>
        <v>891.12622231451019</v>
      </c>
      <c r="CD95" s="59">
        <f ca="1">AVERAGE(OFFSET($CC$3,0,0,'Données projet'!$E$12+1,1))-AVERAGE(OFFSET($H$3,0,0,'Données projet'!$E$12+1,1))</f>
        <v>367.39143258674738</v>
      </c>
      <c r="CE95" s="59">
        <f t="shared" si="94"/>
        <v>376.02790658970292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29.386457225134247</v>
      </c>
      <c r="CL95" s="21">
        <f>EXP(-LN(2)/25)*CL94+(1-EXP(-LN(2)/25))/(LN(2)/25)*Calculateur!CG95*Calculateur!CI95*VLOOKUP('Données projet'!$B$12,Paramètres!$A$1:$I$89,3,0)*0.475*44/12</f>
        <v>1.4871833543253314</v>
      </c>
      <c r="CM95" s="21">
        <f>EXP(-LN(2)/2)*CM94+(1-EXP(-LN(2)/2))/(LN(2)/2)*CG95*CJ95*VLOOKUP('Données projet'!$B$12,Paramètres!$A$1:$I$89,3,0)*0.475*44/12</f>
        <v>7.0864946519862625E-4</v>
      </c>
      <c r="CN95" s="22">
        <f t="shared" si="66"/>
        <v>30.874349228924778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925.00000000000034</v>
      </c>
      <c r="CU95" s="17">
        <f>CT95*VLOOKUP('Données projet'!$B$13,Paramètres!$A$1:$I$89,3,0)*VLOOKUP('Données projet'!$B$13,Paramètres!$A$1:$I$89,5,0)</f>
        <v>408.85000000000014</v>
      </c>
      <c r="CV95" s="13">
        <f t="shared" si="95"/>
        <v>93.568575358321141</v>
      </c>
      <c r="CW95" s="20">
        <f t="shared" si="67"/>
        <v>875.04568541574281</v>
      </c>
      <c r="CX95" s="59">
        <f t="shared" si="68"/>
        <v>1168.3790187490761</v>
      </c>
      <c r="CY95" s="59">
        <f ca="1">AVERAGE(OFFSET($CX$3,0,0,'Données projet'!$E$13+1,1))-AVERAGE(OFFSET($H$3,0,0,'Données projet'!$E$13+1,1))</f>
        <v>500.13646131618248</v>
      </c>
      <c r="CZ95" s="59">
        <f t="shared" si="96"/>
        <v>417.58036817539306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53.922655280052069</v>
      </c>
      <c r="DG95" s="21">
        <f>EXP(-LN(2)/25)*DG94+(1-EXP(-LN(2)/25))/(LN(2)/25)*Calculateur!DB95*Calculateur!DD95*VLOOKUP('Données projet'!$B$13,Paramètres!$A$1:$I$89,3,0)*0.475*44/12</f>
        <v>21.026649344080958</v>
      </c>
      <c r="DH95" s="21">
        <f>EXP(-LN(2)/2)*DH94+(1-EXP(-LN(2)/2))/(LN(2)/2)*DB95*DE95*VLOOKUP('Données projet'!$B$13,Paramètres!$A$1:$I$89,3,0)*0.475*44/12</f>
        <v>3.8323109628258446E-2</v>
      </c>
      <c r="DI95" s="22">
        <f t="shared" si="69"/>
        <v>74.987627733761272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820.29159382285388</v>
      </c>
      <c r="S96" s="59">
        <f ca="1">AVERAGE(OFFSET($R$3,0,0,'Données projet'!$E$9+1,1))-AVERAGE(OFFSET($H$3,0,0,'Données projet'!$E$9+1,1))</f>
        <v>371.7282125501186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46.333094337687335</v>
      </c>
      <c r="AA96" s="21">
        <f>EXP(-LN(2)/25)*AA95+(1-EXP(-LN(2)/25))/(LN(2)/25)*Calculateur!V96*Calculateur!X96*VLOOKUP('Données projet'!$B$9,Paramètres!$A$1:$I$89,3,0)*0.475*44/12</f>
        <v>2.2282494400386295</v>
      </c>
      <c r="AB96" s="21">
        <f>EXP(-LN(2)/2)*AB95+(1-EXP(-LN(2)/2))/(LN(2)/2)*V96*Y96*VLOOKUP('Données projet'!$B$9,Paramètres!$A$1:$I$89,3,0)*0.475*44/12</f>
        <v>0.46197108364001588</v>
      </c>
      <c r="AC96" s="22">
        <f t="shared" si="57"/>
        <v>49.023314861365982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305.00000000000017</v>
      </c>
      <c r="AJ96" s="13">
        <f>AI96*VLOOKUP('Données projet'!$B$10,Paramètres!$A$1:$I$89,3,0)*VLOOKUP('Données projet'!$B$10,Paramètres!$A$1:$I$89,5,0)</f>
        <v>204.59400000000011</v>
      </c>
      <c r="AK96" s="13">
        <f t="shared" si="89"/>
        <v>50.75245156043249</v>
      </c>
      <c r="AL96" s="20">
        <f t="shared" si="58"/>
        <v>444.72840313442015</v>
      </c>
      <c r="AM96" s="59">
        <f t="shared" si="59"/>
        <v>738.06173646775346</v>
      </c>
      <c r="AN96" s="59">
        <f ca="1">AVERAGE(OFFSET($AM$3,0,0,'Données projet'!$E$10+1,1))-AVERAGE(OFFSET($H$3,0,0,'Données projet'!$E$10+1,1))</f>
        <v>269.67260882504996</v>
      </c>
      <c r="AO96" s="59">
        <f t="shared" si="90"/>
        <v>272.13858200810074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22.679746132396989</v>
      </c>
      <c r="AV96" s="21">
        <f>EXP(-LN(2)/25)*AV95+(1-EXP(-LN(2)/25))/(LN(2)/25)*Calculateur!AQ96*Calculateur!AS96*VLOOKUP('Données projet'!$B$10,Paramètres!$A$1:$I$89,3,0)*0.475*44/12</f>
        <v>1.1640003204501355</v>
      </c>
      <c r="AW96" s="21">
        <f>EXP(-LN(2)/2)*AW95+(1-EXP(-LN(2)/2))/(LN(2)/2)*AQ96*AT96*VLOOKUP('Données projet'!$B$10,Paramètres!$A$1:$I$89,3,0)*0.475*44/12</f>
        <v>3.0553531146728985E-4</v>
      </c>
      <c r="AX96" s="21">
        <f t="shared" si="60"/>
        <v>23.844051988158594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453.99999999999977</v>
      </c>
      <c r="BE96" s="13">
        <f>BD96*VLOOKUP('Données projet'!$B$11,Paramètres!$A$1:$I$89,3,0)*VLOOKUP('Données projet'!$B$11,Paramètres!$A$1:$I$89,5,0)</f>
        <v>253.78599999999986</v>
      </c>
      <c r="BF96" s="13">
        <f t="shared" si="91"/>
        <v>61.395945216950906</v>
      </c>
      <c r="BG96" s="20">
        <f t="shared" si="61"/>
        <v>548.94188791952263</v>
      </c>
      <c r="BH96" s="59">
        <f t="shared" si="62"/>
        <v>842.275221252856</v>
      </c>
      <c r="BI96" s="59">
        <f ca="1">AVERAGE(OFFSET($BH$3,0,0,'Données projet'!$E$11+1,1))-AVERAGE(OFFSET($H$3,0,0,'Données projet'!$E$11+1,1))</f>
        <v>330.33728077846268</v>
      </c>
      <c r="BJ96" s="59">
        <f t="shared" si="92"/>
        <v>358.38872754175208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31.14590813680147</v>
      </c>
      <c r="BQ96" s="21">
        <f>EXP(-LN(2)/25)*BQ95+(1-EXP(-LN(2)/25))/(LN(2)/25)*Calculateur!BL96*Calculateur!BN96*VLOOKUP('Données projet'!$B$11,Paramètres!$A$1:$I$89,3,0)*0.475*44/12</f>
        <v>13.154972862183591</v>
      </c>
      <c r="BR96" s="21">
        <f>EXP(-LN(2)/2)*BR95+(1-EXP(-LN(2)/2))/(LN(2)/2)*BL96*BO96*VLOOKUP('Données projet'!$B$11,Paramètres!$A$1:$I$89,3,0)*0.475*44/12</f>
        <v>5.5136577471822995E-4</v>
      </c>
      <c r="BS96" s="22">
        <f t="shared" si="63"/>
        <v>44.301432364759783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290.99999999999994</v>
      </c>
      <c r="BZ96" s="13">
        <f>BY96*VLOOKUP('Données projet'!$B$12,Paramètres!$A$1:$I$89,3,0)*VLOOKUP('Données projet'!$B$12,Paramètres!$A$1:$I$89,5,0)</f>
        <v>276.91559999999993</v>
      </c>
      <c r="CA96" s="13">
        <f t="shared" si="93"/>
        <v>66.314766879144742</v>
      </c>
      <c r="CB96" s="20">
        <f t="shared" si="64"/>
        <v>597.79288898117682</v>
      </c>
      <c r="CC96" s="59">
        <f t="shared" si="65"/>
        <v>891.12622231451019</v>
      </c>
      <c r="CD96" s="59">
        <f ca="1">AVERAGE(OFFSET($CC$3,0,0,'Données projet'!$E$12+1,1))-AVERAGE(OFFSET($H$3,0,0,'Données projet'!$E$12+1,1))</f>
        <v>367.39143258674738</v>
      </c>
      <c r="CE96" s="59">
        <f t="shared" si="94"/>
        <v>376.02790658970292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28.810206722918426</v>
      </c>
      <c r="CL96" s="21">
        <f>EXP(-LN(2)/25)*CL95+(1-EXP(-LN(2)/25))/(LN(2)/25)*Calculateur!CG96*Calculateur!CI96*VLOOKUP('Données projet'!$B$12,Paramètres!$A$1:$I$89,3,0)*0.475*44/12</f>
        <v>1.4465162472937316</v>
      </c>
      <c r="CM96" s="21">
        <f>EXP(-LN(2)/2)*CM95+(1-EXP(-LN(2)/2))/(LN(2)/2)*CG96*CJ96*VLOOKUP('Données projet'!$B$12,Paramètres!$A$1:$I$89,3,0)*0.475*44/12</f>
        <v>5.0109084232616893E-4</v>
      </c>
      <c r="CN96" s="22">
        <f t="shared" si="66"/>
        <v>30.257224061054487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925.00000000000034</v>
      </c>
      <c r="CU96" s="17">
        <f>CT96*VLOOKUP('Données projet'!$B$13,Paramètres!$A$1:$I$89,3,0)*VLOOKUP('Données projet'!$B$13,Paramètres!$A$1:$I$89,5,0)</f>
        <v>408.85000000000014</v>
      </c>
      <c r="CV96" s="13">
        <f t="shared" si="95"/>
        <v>93.568575358321141</v>
      </c>
      <c r="CW96" s="20">
        <f t="shared" si="67"/>
        <v>875.04568541574281</v>
      </c>
      <c r="CX96" s="59">
        <f t="shared" si="68"/>
        <v>1168.3790187490761</v>
      </c>
      <c r="CY96" s="59">
        <f ca="1">AVERAGE(OFFSET($CX$3,0,0,'Données projet'!$E$13+1,1))-AVERAGE(OFFSET($H$3,0,0,'Données projet'!$E$13+1,1))</f>
        <v>500.13646131618248</v>
      </c>
      <c r="CZ96" s="59">
        <f t="shared" si="96"/>
        <v>417.58036817539306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52.865264899582392</v>
      </c>
      <c r="DG96" s="21">
        <f>EXP(-LN(2)/25)*DG95+(1-EXP(-LN(2)/25))/(LN(2)/25)*Calculateur!DB96*Calculateur!DD96*VLOOKUP('Données projet'!$B$13,Paramètres!$A$1:$I$89,3,0)*0.475*44/12</f>
        <v>20.451674512023633</v>
      </c>
      <c r="DH96" s="21">
        <f>EXP(-LN(2)/2)*DH95+(1-EXP(-LN(2)/2))/(LN(2)/2)*DB96*DE96*VLOOKUP('Données projet'!$B$13,Paramètres!$A$1:$I$89,3,0)*0.475*44/12</f>
        <v>2.7098530694297018E-2</v>
      </c>
      <c r="DI96" s="22">
        <f t="shared" si="69"/>
        <v>73.344037942300332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829.86157872948434</v>
      </c>
      <c r="S97" s="59">
        <f ca="1">AVERAGE(OFFSET($R$3,0,0,'Données projet'!$E$9+1,1))-AVERAGE(OFFSET($H$3,0,0,'Données projet'!$E$9+1,1))</f>
        <v>371.7282125501186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45.424530618122347</v>
      </c>
      <c r="AA97" s="21">
        <f>EXP(-LN(2)/25)*AA96+(1-EXP(-LN(2)/25))/(LN(2)/25)*Calculateur!V97*Calculateur!X97*VLOOKUP('Données projet'!$B$9,Paramètres!$A$1:$I$89,3,0)*0.475*44/12</f>
        <v>2.1673178419222277</v>
      </c>
      <c r="AB97" s="21">
        <f>EXP(-LN(2)/2)*AB96+(1-EXP(-LN(2)/2))/(LN(2)/2)*V97*Y97*VLOOKUP('Données projet'!$B$9,Paramètres!$A$1:$I$89,3,0)*0.475*44/12</f>
        <v>0.32666288595395299</v>
      </c>
      <c r="AC97" s="22">
        <f t="shared" si="57"/>
        <v>47.918511345998525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305.00000000000017</v>
      </c>
      <c r="AJ97" s="13">
        <f>AI97*VLOOKUP('Données projet'!$B$10,Paramètres!$A$1:$I$89,3,0)*VLOOKUP('Données projet'!$B$10,Paramètres!$A$1:$I$89,5,0)</f>
        <v>204.59400000000011</v>
      </c>
      <c r="AK97" s="13">
        <f t="shared" si="89"/>
        <v>50.75245156043249</v>
      </c>
      <c r="AL97" s="20">
        <f t="shared" si="58"/>
        <v>444.72840313442015</v>
      </c>
      <c r="AM97" s="59">
        <f t="shared" si="59"/>
        <v>738.06173646775346</v>
      </c>
      <c r="AN97" s="59">
        <f ca="1">AVERAGE(OFFSET($AM$3,0,0,'Données projet'!$E$10+1,1))-AVERAGE(OFFSET($H$3,0,0,'Données projet'!$E$10+1,1))</f>
        <v>269.67260882504996</v>
      </c>
      <c r="AO97" s="59">
        <f t="shared" si="90"/>
        <v>272.13858200810074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22.235010144019903</v>
      </c>
      <c r="AV97" s="21">
        <f>EXP(-LN(2)/25)*AV96+(1-EXP(-LN(2)/25))/(LN(2)/25)*Calculateur!AQ97*Calculateur!AS97*VLOOKUP('Données projet'!$B$10,Paramètres!$A$1:$I$89,3,0)*0.475*44/12</f>
        <v>1.1321706704753101</v>
      </c>
      <c r="AW97" s="21">
        <f>EXP(-LN(2)/2)*AW96+(1-EXP(-LN(2)/2))/(LN(2)/2)*AQ97*AT97*VLOOKUP('Données projet'!$B$10,Paramètres!$A$1:$I$89,3,0)*0.475*44/12</f>
        <v>2.1604609063046457E-4</v>
      </c>
      <c r="AX97" s="21">
        <f t="shared" si="60"/>
        <v>23.367396860585846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453.99999999999977</v>
      </c>
      <c r="BE97" s="13">
        <f>BD97*VLOOKUP('Données projet'!$B$11,Paramètres!$A$1:$I$89,3,0)*VLOOKUP('Données projet'!$B$11,Paramètres!$A$1:$I$89,5,0)</f>
        <v>253.78599999999986</v>
      </c>
      <c r="BF97" s="13">
        <f t="shared" si="91"/>
        <v>61.395945216950906</v>
      </c>
      <c r="BG97" s="20">
        <f t="shared" si="61"/>
        <v>548.94188791952263</v>
      </c>
      <c r="BH97" s="59">
        <f t="shared" si="62"/>
        <v>842.275221252856</v>
      </c>
      <c r="BI97" s="59">
        <f ca="1">AVERAGE(OFFSET($BH$3,0,0,'Données projet'!$E$11+1,1))-AVERAGE(OFFSET($H$3,0,0,'Données projet'!$E$11+1,1))</f>
        <v>330.33728077846268</v>
      </c>
      <c r="BJ97" s="59">
        <f t="shared" si="92"/>
        <v>358.38872754175208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30.535155875366947</v>
      </c>
      <c r="BQ97" s="21">
        <f>EXP(-LN(2)/25)*BQ96+(1-EXP(-LN(2)/25))/(LN(2)/25)*Calculateur!BL97*Calculateur!BN97*VLOOKUP('Données projet'!$B$11,Paramètres!$A$1:$I$89,3,0)*0.475*44/12</f>
        <v>12.795249437477224</v>
      </c>
      <c r="BR97" s="21">
        <f>EXP(-LN(2)/2)*BR96+(1-EXP(-LN(2)/2))/(LN(2)/2)*BL97*BO97*VLOOKUP('Données projet'!$B$11,Paramètres!$A$1:$I$89,3,0)*0.475*44/12</f>
        <v>3.8987447821743469E-4</v>
      </c>
      <c r="BS97" s="22">
        <f t="shared" si="63"/>
        <v>43.330795187322387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290.99999999999994</v>
      </c>
      <c r="BZ97" s="13">
        <f>BY97*VLOOKUP('Données projet'!$B$12,Paramètres!$A$1:$I$89,3,0)*VLOOKUP('Données projet'!$B$12,Paramètres!$A$1:$I$89,5,0)</f>
        <v>276.91559999999993</v>
      </c>
      <c r="CA97" s="13">
        <f t="shared" si="93"/>
        <v>66.314766879144742</v>
      </c>
      <c r="CB97" s="20">
        <f t="shared" si="64"/>
        <v>597.79288898117682</v>
      </c>
      <c r="CC97" s="59">
        <f t="shared" si="65"/>
        <v>891.12622231451019</v>
      </c>
      <c r="CD97" s="59">
        <f ca="1">AVERAGE(OFFSET($CC$3,0,0,'Données projet'!$E$12+1,1))-AVERAGE(OFFSET($H$3,0,0,'Données projet'!$E$12+1,1))</f>
        <v>367.39143258674738</v>
      </c>
      <c r="CE97" s="59">
        <f t="shared" si="94"/>
        <v>376.02790658970292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28.245256141572959</v>
      </c>
      <c r="CL97" s="21">
        <f>EXP(-LN(2)/25)*CL96+(1-EXP(-LN(2)/25))/(LN(2)/25)*Calculateur!CG97*Calculateur!CI97*VLOOKUP('Données projet'!$B$12,Paramètres!$A$1:$I$89,3,0)*0.475*44/12</f>
        <v>1.4069611844425012</v>
      </c>
      <c r="CM97" s="21">
        <f>EXP(-LN(2)/2)*CM96+(1-EXP(-LN(2)/2))/(LN(2)/2)*CG97*CJ97*VLOOKUP('Données projet'!$B$12,Paramètres!$A$1:$I$89,3,0)*0.475*44/12</f>
        <v>3.5432473259931313E-4</v>
      </c>
      <c r="CN97" s="22">
        <f t="shared" si="66"/>
        <v>29.652571650748058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925.00000000000034</v>
      </c>
      <c r="CU97" s="17">
        <f>CT97*VLOOKUP('Données projet'!$B$13,Paramètres!$A$1:$I$89,3,0)*VLOOKUP('Données projet'!$B$13,Paramètres!$A$1:$I$89,5,0)</f>
        <v>408.85000000000014</v>
      </c>
      <c r="CV97" s="13">
        <f t="shared" si="95"/>
        <v>93.568575358321141</v>
      </c>
      <c r="CW97" s="20">
        <f t="shared" si="67"/>
        <v>875.04568541574281</v>
      </c>
      <c r="CX97" s="59">
        <f t="shared" si="68"/>
        <v>1168.3790187490761</v>
      </c>
      <c r="CY97" s="59">
        <f ca="1">AVERAGE(OFFSET($CX$3,0,0,'Données projet'!$E$13+1,1))-AVERAGE(OFFSET($H$3,0,0,'Données projet'!$E$13+1,1))</f>
        <v>500.13646131618248</v>
      </c>
      <c r="CZ97" s="59">
        <f t="shared" si="96"/>
        <v>417.58036817539306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51.828609299529276</v>
      </c>
      <c r="DG97" s="21">
        <f>EXP(-LN(2)/25)*DG96+(1-EXP(-LN(2)/25))/(LN(2)/25)*Calculateur!DB97*Calculateur!DD97*VLOOKUP('Données projet'!$B$13,Paramètres!$A$1:$I$89,3,0)*0.475*44/12</f>
        <v>19.892422396985527</v>
      </c>
      <c r="DH97" s="21">
        <f>EXP(-LN(2)/2)*DH96+(1-EXP(-LN(2)/2))/(LN(2)/2)*DB97*DE97*VLOOKUP('Données projet'!$B$13,Paramètres!$A$1:$I$89,3,0)*0.475*44/12</f>
        <v>1.9161554814129223E-2</v>
      </c>
      <c r="DI97" s="22">
        <f t="shared" si="69"/>
        <v>71.740193251328932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839.42797607406874</v>
      </c>
      <c r="S98" s="59">
        <f ca="1">AVERAGE(OFFSET($R$3,0,0,'Données projet'!$E$9+1,1))-AVERAGE(OFFSET($H$3,0,0,'Données projet'!$E$9+1,1))</f>
        <v>371.7282125501186</v>
      </c>
      <c r="T98" s="59">
        <f t="shared" si="88"/>
        <v>231.36959598460686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0.34400000000000003</v>
      </c>
      <c r="X98" s="16">
        <f>IF(ISNA(VLOOKUP(A98,'Données projet'!$A$35:$I$55,6,0)),0%,VLOOKUP(A98,'Données projet'!$A$35:$I$55,6,0)*VLOOKUP('Données projet'!$B$9,Paramètres!$A$1:$I$89,7,0))</f>
        <v>1.72E-2</v>
      </c>
      <c r="Y98" s="16">
        <f>IF(ISNA(VLOOKUP(A98,'Données projet'!$A$35:$I$55,7,0)),0%,VLOOKUP(A98,'Données projet'!$A$35:$I$55,7,0))</f>
        <v>0.06</v>
      </c>
      <c r="Z98" s="21">
        <f>EXP(-LN(2)/35)*Z97+(1-EXP(-LN(2)/35))/(LN(2)/35)*V98*W98*VLOOKUP('Données projet'!$B$9,Paramètres!$A$1:$I$89,3,0)*0.475*44/12</f>
        <v>51.759441905004692</v>
      </c>
      <c r="AA98" s="21">
        <f>EXP(-LN(2)/25)*AA97+(1-EXP(-LN(2)/25))/(LN(2)/25)*Calculateur!V98*Calculateur!X98*VLOOKUP('Données projet'!$B$9,Paramètres!$A$1:$I$89,3,0)*0.475*44/12</f>
        <v>2.4679128443042306</v>
      </c>
      <c r="AB98" s="21">
        <f>EXP(-LN(2)/2)*AB97+(1-EXP(-LN(2)/2))/(LN(2)/2)*V98*Y98*VLOOKUP('Données projet'!$B$9,Paramètres!$A$1:$I$89,3,0)*0.475*44/12</f>
        <v>1.3066515137620514</v>
      </c>
      <c r="AC98" s="22">
        <f t="shared" si="57"/>
        <v>55.534006263070971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305.00000000000017</v>
      </c>
      <c r="AJ98" s="13">
        <f>AI98*VLOOKUP('Données projet'!$B$10,Paramètres!$A$1:$I$89,3,0)*VLOOKUP('Données projet'!$B$10,Paramètres!$A$1:$I$89,5,0)</f>
        <v>204.59400000000011</v>
      </c>
      <c r="AK98" s="13">
        <f t="shared" si="89"/>
        <v>50.75245156043249</v>
      </c>
      <c r="AL98" s="20">
        <f t="shared" si="58"/>
        <v>444.72840313442015</v>
      </c>
      <c r="AM98" s="59">
        <f t="shared" si="59"/>
        <v>738.06173646775346</v>
      </c>
      <c r="AN98" s="59">
        <f ca="1">AVERAGE(OFFSET($AM$3,0,0,'Données projet'!$E$10+1,1))-AVERAGE(OFFSET($H$3,0,0,'Données projet'!$E$10+1,1))</f>
        <v>269.67260882504996</v>
      </c>
      <c r="AO98" s="59">
        <f t="shared" si="90"/>
        <v>272.13858200810074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21.798995157112721</v>
      </c>
      <c r="AV98" s="21">
        <f>EXP(-LN(2)/25)*AV97+(1-EXP(-LN(2)/25))/(LN(2)/25)*Calculateur!AQ98*Calculateur!AS98*VLOOKUP('Données projet'!$B$10,Paramètres!$A$1:$I$89,3,0)*0.475*44/12</f>
        <v>1.1012114039528949</v>
      </c>
      <c r="AW98" s="21">
        <f>EXP(-LN(2)/2)*AW97+(1-EXP(-LN(2)/2))/(LN(2)/2)*AQ98*AT98*VLOOKUP('Données projet'!$B$10,Paramètres!$A$1:$I$89,3,0)*0.475*44/12</f>
        <v>1.5276765573364492E-4</v>
      </c>
      <c r="AX98" s="21">
        <f t="shared" si="60"/>
        <v>22.90035932872135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453.99999999999977</v>
      </c>
      <c r="BE98" s="13">
        <f>BD98*VLOOKUP('Données projet'!$B$11,Paramètres!$A$1:$I$89,3,0)*VLOOKUP('Données projet'!$B$11,Paramètres!$A$1:$I$89,5,0)</f>
        <v>253.78599999999986</v>
      </c>
      <c r="BF98" s="13">
        <f t="shared" si="91"/>
        <v>61.395945216950906</v>
      </c>
      <c r="BG98" s="20">
        <f t="shared" si="61"/>
        <v>548.94188791952263</v>
      </c>
      <c r="BH98" s="59">
        <f t="shared" si="62"/>
        <v>842.275221252856</v>
      </c>
      <c r="BI98" s="59">
        <f ca="1">AVERAGE(OFFSET($BH$3,0,0,'Données projet'!$E$11+1,1))-AVERAGE(OFFSET($H$3,0,0,'Données projet'!$E$11+1,1))</f>
        <v>330.33728077846268</v>
      </c>
      <c r="BJ98" s="59">
        <f t="shared" si="92"/>
        <v>358.38872754175208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29.936380093257057</v>
      </c>
      <c r="BQ98" s="21">
        <f>EXP(-LN(2)/25)*BQ97+(1-EXP(-LN(2)/25))/(LN(2)/25)*Calculateur!BL98*Calculateur!BN98*VLOOKUP('Données projet'!$B$11,Paramètres!$A$1:$I$89,3,0)*0.475*44/12</f>
        <v>12.445362668736486</v>
      </c>
      <c r="BR98" s="21">
        <f>EXP(-LN(2)/2)*BR97+(1-EXP(-LN(2)/2))/(LN(2)/2)*BL98*BO98*VLOOKUP('Données projet'!$B$11,Paramètres!$A$1:$I$89,3,0)*0.475*44/12</f>
        <v>2.7568288735911497E-4</v>
      </c>
      <c r="BS98" s="22">
        <f t="shared" si="63"/>
        <v>42.382018444880899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290.99999999999994</v>
      </c>
      <c r="BZ98" s="13">
        <f>BY98*VLOOKUP('Données projet'!$B$12,Paramètres!$A$1:$I$89,3,0)*VLOOKUP('Données projet'!$B$12,Paramètres!$A$1:$I$89,5,0)</f>
        <v>276.91559999999993</v>
      </c>
      <c r="CA98" s="13">
        <f t="shared" si="93"/>
        <v>66.314766879144742</v>
      </c>
      <c r="CB98" s="20">
        <f t="shared" si="64"/>
        <v>597.79288898117682</v>
      </c>
      <c r="CC98" s="59">
        <f t="shared" si="65"/>
        <v>891.12622231451019</v>
      </c>
      <c r="CD98" s="59">
        <f ca="1">AVERAGE(OFFSET($CC$3,0,0,'Données projet'!$E$12+1,1))-AVERAGE(OFFSET($H$3,0,0,'Données projet'!$E$12+1,1))</f>
        <v>367.39143258674738</v>
      </c>
      <c r="CE98" s="59">
        <f t="shared" si="94"/>
        <v>376.02790658970292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27.691383896541847</v>
      </c>
      <c r="CL98" s="21">
        <f>EXP(-LN(2)/25)*CL97+(1-EXP(-LN(2)/25))/(LN(2)/25)*Calculateur!CG98*Calculateur!CI98*VLOOKUP('Données projet'!$B$12,Paramètres!$A$1:$I$89,3,0)*0.475*44/12</f>
        <v>1.368487756865048</v>
      </c>
      <c r="CM98" s="21">
        <f>EXP(-LN(2)/2)*CM97+(1-EXP(-LN(2)/2))/(LN(2)/2)*CG98*CJ98*VLOOKUP('Données projet'!$B$12,Paramètres!$A$1:$I$89,3,0)*0.475*44/12</f>
        <v>2.5054542116308446E-4</v>
      </c>
      <c r="CN98" s="22">
        <f t="shared" si="66"/>
        <v>29.060122198828058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925.00000000000034</v>
      </c>
      <c r="CU98" s="17">
        <f>CT98*VLOOKUP('Données projet'!$B$13,Paramètres!$A$1:$I$89,3,0)*VLOOKUP('Données projet'!$B$13,Paramètres!$A$1:$I$89,5,0)</f>
        <v>408.85000000000014</v>
      </c>
      <c r="CV98" s="13">
        <f t="shared" si="95"/>
        <v>93.568575358321141</v>
      </c>
      <c r="CW98" s="20">
        <f t="shared" si="67"/>
        <v>875.04568541574281</v>
      </c>
      <c r="CX98" s="59">
        <f t="shared" si="68"/>
        <v>1168.3790187490761</v>
      </c>
      <c r="CY98" s="59">
        <f ca="1">AVERAGE(OFFSET($CX$3,0,0,'Données projet'!$E$13+1,1))-AVERAGE(OFFSET($H$3,0,0,'Données projet'!$E$13+1,1))</f>
        <v>500.13646131618248</v>
      </c>
      <c r="CZ98" s="59">
        <f t="shared" si="96"/>
        <v>417.58036817539306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50.812281883495722</v>
      </c>
      <c r="DG98" s="21">
        <f>EXP(-LN(2)/25)*DG97+(1-EXP(-LN(2)/25))/(LN(2)/25)*Calculateur!DB98*Calculateur!DD98*VLOOKUP('Données projet'!$B$13,Paramètres!$A$1:$I$89,3,0)*0.475*44/12</f>
        <v>19.348463060442928</v>
      </c>
      <c r="DH98" s="21">
        <f>EXP(-LN(2)/2)*DH97+(1-EXP(-LN(2)/2))/(LN(2)/2)*DB98*DE98*VLOOKUP('Données projet'!$B$13,Paramètres!$A$1:$I$89,3,0)*0.475*44/12</f>
        <v>1.3549265347148509E-2</v>
      </c>
      <c r="DI98" s="22">
        <f t="shared" si="69"/>
        <v>70.174294209285804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808.41971807128607</v>
      </c>
      <c r="S99" s="59">
        <f ca="1">AVERAGE(OFFSET($R$3,0,0,'Données projet'!$E$9+1,1))-AVERAGE(OFFSET($H$3,0,0,'Données projet'!$E$9+1,1))</f>
        <v>371.7282125501186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50.744470819389818</v>
      </c>
      <c r="AA99" s="21">
        <f>EXP(-LN(2)/25)*AA98+(1-EXP(-LN(2)/25))/(LN(2)/25)*Calculateur!V99*Calculateur!X99*VLOOKUP('Données projet'!$B$9,Paramètres!$A$1:$I$89,3,0)*0.475*44/12</f>
        <v>2.4004276377948353</v>
      </c>
      <c r="AB99" s="21">
        <f>EXP(-LN(2)/2)*AB98+(1-EXP(-LN(2)/2))/(LN(2)/2)*V99*Y99*VLOOKUP('Données projet'!$B$9,Paramètres!$A$1:$I$89,3,0)*0.475*44/12</f>
        <v>0.92394214602881397</v>
      </c>
      <c r="AC99" s="22">
        <f t="shared" si="57"/>
        <v>54.068840603213467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305.00000000000017</v>
      </c>
      <c r="AJ99" s="13">
        <f>AI99*VLOOKUP('Données projet'!$B$10,Paramètres!$A$1:$I$89,3,0)*VLOOKUP('Données projet'!$B$10,Paramètres!$A$1:$I$89,5,0)</f>
        <v>204.59400000000011</v>
      </c>
      <c r="AK99" s="13">
        <f t="shared" si="89"/>
        <v>50.75245156043249</v>
      </c>
      <c r="AL99" s="20">
        <f t="shared" si="58"/>
        <v>444.72840313442015</v>
      </c>
      <c r="AM99" s="59">
        <f t="shared" si="59"/>
        <v>738.06173646775346</v>
      </c>
      <c r="AN99" s="59">
        <f ca="1">AVERAGE(OFFSET($AM$3,0,0,'Données projet'!$E$10+1,1))-AVERAGE(OFFSET($H$3,0,0,'Données projet'!$E$10+1,1))</f>
        <v>269.67260882504996</v>
      </c>
      <c r="AO99" s="59">
        <f t="shared" si="90"/>
        <v>272.13858200810074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21.371530158155906</v>
      </c>
      <c r="AV99" s="21">
        <f>EXP(-LN(2)/25)*AV98+(1-EXP(-LN(2)/25))/(LN(2)/25)*Calculateur!AQ99*Calculateur!AS99*VLOOKUP('Données projet'!$B$10,Paramètres!$A$1:$I$89,3,0)*0.475*44/12</f>
        <v>1.071098720201612</v>
      </c>
      <c r="AW99" s="21">
        <f>EXP(-LN(2)/2)*AW98+(1-EXP(-LN(2)/2))/(LN(2)/2)*AQ99*AT99*VLOOKUP('Données projet'!$B$10,Paramètres!$A$1:$I$89,3,0)*0.475*44/12</f>
        <v>1.0802304531523229E-4</v>
      </c>
      <c r="AX99" s="21">
        <f t="shared" si="60"/>
        <v>22.442736901402832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453.99999999999977</v>
      </c>
      <c r="BE99" s="13">
        <f>BD99*VLOOKUP('Données projet'!$B$11,Paramètres!$A$1:$I$89,3,0)*VLOOKUP('Données projet'!$B$11,Paramètres!$A$1:$I$89,5,0)</f>
        <v>253.78599999999986</v>
      </c>
      <c r="BF99" s="13">
        <f t="shared" si="91"/>
        <v>61.395945216950906</v>
      </c>
      <c r="BG99" s="20">
        <f t="shared" si="61"/>
        <v>548.94188791952263</v>
      </c>
      <c r="BH99" s="59">
        <f t="shared" si="62"/>
        <v>842.275221252856</v>
      </c>
      <c r="BI99" s="59">
        <f ca="1">AVERAGE(OFFSET($BH$3,0,0,'Données projet'!$E$11+1,1))-AVERAGE(OFFSET($H$3,0,0,'Données projet'!$E$11+1,1))</f>
        <v>330.33728077846268</v>
      </c>
      <c r="BJ99" s="59">
        <f t="shared" si="92"/>
        <v>358.38872754175208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29.349345939017176</v>
      </c>
      <c r="BQ99" s="21">
        <f>EXP(-LN(2)/25)*BQ98+(1-EXP(-LN(2)/25))/(LN(2)/25)*Calculateur!BL99*Calculateur!BN99*VLOOKUP('Données projet'!$B$11,Paramètres!$A$1:$I$89,3,0)*0.475*44/12</f>
        <v>12.105043572086709</v>
      </c>
      <c r="BR99" s="21">
        <f>EXP(-LN(2)/2)*BR98+(1-EXP(-LN(2)/2))/(LN(2)/2)*BL99*BO99*VLOOKUP('Données projet'!$B$11,Paramètres!$A$1:$I$89,3,0)*0.475*44/12</f>
        <v>1.9493723910871734E-4</v>
      </c>
      <c r="BS99" s="22">
        <f t="shared" si="63"/>
        <v>41.454584448342992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290.99999999999994</v>
      </c>
      <c r="BZ99" s="13">
        <f>BY99*VLOOKUP('Données projet'!$B$12,Paramètres!$A$1:$I$89,3,0)*VLOOKUP('Données projet'!$B$12,Paramètres!$A$1:$I$89,5,0)</f>
        <v>276.91559999999993</v>
      </c>
      <c r="CA99" s="13">
        <f t="shared" si="93"/>
        <v>66.314766879144742</v>
      </c>
      <c r="CB99" s="20">
        <f t="shared" si="64"/>
        <v>597.79288898117682</v>
      </c>
      <c r="CC99" s="59">
        <f t="shared" si="65"/>
        <v>891.12622231451019</v>
      </c>
      <c r="CD99" s="59">
        <f ca="1">AVERAGE(OFFSET($CC$3,0,0,'Données projet'!$E$12+1,1))-AVERAGE(OFFSET($H$3,0,0,'Données projet'!$E$12+1,1))</f>
        <v>367.39143258674738</v>
      </c>
      <c r="CE99" s="59">
        <f t="shared" si="94"/>
        <v>376.02790658970292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27.14837274840708</v>
      </c>
      <c r="CL99" s="21">
        <f>EXP(-LN(2)/25)*CL98+(1-EXP(-LN(2)/25))/(LN(2)/25)*Calculateur!CG99*Calculateur!CI99*VLOOKUP('Données projet'!$B$12,Paramètres!$A$1:$I$89,3,0)*0.475*44/12</f>
        <v>1.3310663871879298</v>
      </c>
      <c r="CM99" s="21">
        <f>EXP(-LN(2)/2)*CM98+(1-EXP(-LN(2)/2))/(LN(2)/2)*CG99*CJ99*VLOOKUP('Données projet'!$B$12,Paramètres!$A$1:$I$89,3,0)*0.475*44/12</f>
        <v>1.7716236629965656E-4</v>
      </c>
      <c r="CN99" s="22">
        <f t="shared" si="66"/>
        <v>28.479616297961311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925.00000000000034</v>
      </c>
      <c r="CU99" s="17">
        <f>CT99*VLOOKUP('Données projet'!$B$13,Paramètres!$A$1:$I$89,3,0)*VLOOKUP('Données projet'!$B$13,Paramètres!$A$1:$I$89,5,0)</f>
        <v>408.85000000000014</v>
      </c>
      <c r="CV99" s="13">
        <f t="shared" si="95"/>
        <v>93.568575358321141</v>
      </c>
      <c r="CW99" s="20">
        <f t="shared" si="67"/>
        <v>875.04568541574281</v>
      </c>
      <c r="CX99" s="59">
        <f t="shared" si="68"/>
        <v>1168.3790187490761</v>
      </c>
      <c r="CY99" s="59">
        <f ca="1">AVERAGE(OFFSET($CX$3,0,0,'Données projet'!$E$13+1,1))-AVERAGE(OFFSET($H$3,0,0,'Données projet'!$E$13+1,1))</f>
        <v>500.13646131618248</v>
      </c>
      <c r="CZ99" s="59">
        <f t="shared" si="96"/>
        <v>417.58036817539306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49.815884028192073</v>
      </c>
      <c r="DG99" s="21">
        <f>EXP(-LN(2)/25)*DG98+(1-EXP(-LN(2)/25))/(LN(2)/25)*Calculateur!DB99*Calculateur!DD99*VLOOKUP('Données projet'!$B$13,Paramètres!$A$1:$I$89,3,0)*0.475*44/12</f>
        <v>18.819378320563665</v>
      </c>
      <c r="DH99" s="21">
        <f>EXP(-LN(2)/2)*DH98+(1-EXP(-LN(2)/2))/(LN(2)/2)*DB99*DE99*VLOOKUP('Données projet'!$B$13,Paramètres!$A$1:$I$89,3,0)*0.475*44/12</f>
        <v>9.5807774070646116E-3</v>
      </c>
      <c r="DI99" s="22">
        <f t="shared" si="69"/>
        <v>68.644843126162797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817.61134507876181</v>
      </c>
      <c r="S100" s="59">
        <f ca="1">AVERAGE(OFFSET($R$3,0,0,'Données projet'!$E$9+1,1))-AVERAGE(OFFSET($H$3,0,0,'Données projet'!$E$9+1,1))</f>
        <v>371.7282125501186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49.749402697692616</v>
      </c>
      <c r="AA100" s="21">
        <f>EXP(-LN(2)/25)*AA99+(1-EXP(-LN(2)/25))/(LN(2)/25)*Calculateur!V100*Calculateur!X100*VLOOKUP('Données projet'!$B$9,Paramètres!$A$1:$I$89,3,0)*0.475*44/12</f>
        <v>2.3347878178063324</v>
      </c>
      <c r="AB100" s="21">
        <f>EXP(-LN(2)/2)*AB99+(1-EXP(-LN(2)/2))/(LN(2)/2)*V100*Y100*VLOOKUP('Données projet'!$B$9,Paramètres!$A$1:$I$89,3,0)*0.475*44/12</f>
        <v>0.65332575688102579</v>
      </c>
      <c r="AC100" s="22">
        <f t="shared" si="57"/>
        <v>52.73751627237997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305.00000000000017</v>
      </c>
      <c r="AJ100" s="13">
        <f>AI100*VLOOKUP('Données projet'!$B$10,Paramètres!$A$1:$I$89,3,0)*VLOOKUP('Données projet'!$B$10,Paramètres!$A$1:$I$89,5,0)</f>
        <v>204.59400000000011</v>
      </c>
      <c r="AK100" s="13">
        <f t="shared" si="89"/>
        <v>50.75245156043249</v>
      </c>
      <c r="AL100" s="20">
        <f t="shared" si="58"/>
        <v>444.72840313442015</v>
      </c>
      <c r="AM100" s="59">
        <f t="shared" si="59"/>
        <v>738.06173646775346</v>
      </c>
      <c r="AN100" s="59">
        <f ca="1">AVERAGE(OFFSET($AM$3,0,0,'Données projet'!$E$10+1,1))-AVERAGE(OFFSET($H$3,0,0,'Données projet'!$E$10+1,1))</f>
        <v>269.67260882504996</v>
      </c>
      <c r="AO100" s="59">
        <f t="shared" si="90"/>
        <v>272.13858200810074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20.952447487100731</v>
      </c>
      <c r="AV100" s="21">
        <f>EXP(-LN(2)/25)*AV99+(1-EXP(-LN(2)/25))/(LN(2)/25)*Calculateur!AQ100*Calculateur!AS100*VLOOKUP('Données projet'!$B$10,Paramètres!$A$1:$I$89,3,0)*0.475*44/12</f>
        <v>1.0418094693710653</v>
      </c>
      <c r="AW100" s="21">
        <f>EXP(-LN(2)/2)*AW99+(1-EXP(-LN(2)/2))/(LN(2)/2)*AQ100*AT100*VLOOKUP('Données projet'!$B$10,Paramètres!$A$1:$I$89,3,0)*0.475*44/12</f>
        <v>7.6383827866822462E-5</v>
      </c>
      <c r="AX100" s="21">
        <f t="shared" si="60"/>
        <v>21.994333340299661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453.99999999999977</v>
      </c>
      <c r="BE100" s="13">
        <f>BD100*VLOOKUP('Données projet'!$B$11,Paramètres!$A$1:$I$89,3,0)*VLOOKUP('Données projet'!$B$11,Paramètres!$A$1:$I$89,5,0)</f>
        <v>253.78599999999986</v>
      </c>
      <c r="BF100" s="13">
        <f t="shared" si="91"/>
        <v>61.395945216950906</v>
      </c>
      <c r="BG100" s="20">
        <f t="shared" si="61"/>
        <v>548.94188791952263</v>
      </c>
      <c r="BH100" s="59">
        <f t="shared" si="62"/>
        <v>842.275221252856</v>
      </c>
      <c r="BI100" s="59">
        <f ca="1">AVERAGE(OFFSET($BH$3,0,0,'Données projet'!$E$11+1,1))-AVERAGE(OFFSET($H$3,0,0,'Données projet'!$E$11+1,1))</f>
        <v>330.33728077846268</v>
      </c>
      <c r="BJ100" s="59">
        <f t="shared" si="92"/>
        <v>358.38872754175208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28.773823166486462</v>
      </c>
      <c r="BQ100" s="21">
        <f>EXP(-LN(2)/25)*BQ99+(1-EXP(-LN(2)/25))/(LN(2)/25)*Calculateur!BL100*Calculateur!BN100*VLOOKUP('Données projet'!$B$11,Paramètres!$A$1:$I$89,3,0)*0.475*44/12</f>
        <v>11.774030519031422</v>
      </c>
      <c r="BR100" s="21">
        <f>EXP(-LN(2)/2)*BR99+(1-EXP(-LN(2)/2))/(LN(2)/2)*BL100*BO100*VLOOKUP('Données projet'!$B$11,Paramètres!$A$1:$I$89,3,0)*0.475*44/12</f>
        <v>1.3784144367955749E-4</v>
      </c>
      <c r="BS100" s="22">
        <f t="shared" si="63"/>
        <v>40.547991526961567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290.99999999999994</v>
      </c>
      <c r="BZ100" s="13">
        <f>BY100*VLOOKUP('Données projet'!$B$12,Paramètres!$A$1:$I$89,3,0)*VLOOKUP('Données projet'!$B$12,Paramètres!$A$1:$I$89,5,0)</f>
        <v>276.91559999999993</v>
      </c>
      <c r="CA100" s="13">
        <f t="shared" si="93"/>
        <v>66.314766879144742</v>
      </c>
      <c r="CB100" s="20">
        <f t="shared" si="64"/>
        <v>597.79288898117682</v>
      </c>
      <c r="CC100" s="59">
        <f t="shared" si="65"/>
        <v>891.12622231451019</v>
      </c>
      <c r="CD100" s="59">
        <f ca="1">AVERAGE(OFFSET($CC$3,0,0,'Données projet'!$E$12+1,1))-AVERAGE(OFFSET($H$3,0,0,'Données projet'!$E$12+1,1))</f>
        <v>367.39143258674738</v>
      </c>
      <c r="CE100" s="59">
        <f t="shared" si="94"/>
        <v>376.02790658970292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26.616009717683141</v>
      </c>
      <c r="CL100" s="21">
        <f>EXP(-LN(2)/25)*CL99+(1-EXP(-LN(2)/25))/(LN(2)/25)*Calculateur!CG100*Calculateur!CI100*VLOOKUP('Données projet'!$B$12,Paramètres!$A$1:$I$89,3,0)*0.475*44/12</f>
        <v>1.2946683068325366</v>
      </c>
      <c r="CM100" s="21">
        <f>EXP(-LN(2)/2)*CM99+(1-EXP(-LN(2)/2))/(LN(2)/2)*CG100*CJ100*VLOOKUP('Données projet'!$B$12,Paramètres!$A$1:$I$89,3,0)*0.475*44/12</f>
        <v>1.2527271058154223E-4</v>
      </c>
      <c r="CN100" s="22">
        <f t="shared" si="66"/>
        <v>27.910803297226259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925.00000000000034</v>
      </c>
      <c r="CU100" s="17">
        <f>CT100*VLOOKUP('Données projet'!$B$13,Paramètres!$A$1:$I$89,3,0)*VLOOKUP('Données projet'!$B$13,Paramètres!$A$1:$I$89,5,0)</f>
        <v>408.85000000000014</v>
      </c>
      <c r="CV100" s="13">
        <f t="shared" si="95"/>
        <v>93.568575358321141</v>
      </c>
      <c r="CW100" s="20">
        <f t="shared" si="67"/>
        <v>875.04568541574281</v>
      </c>
      <c r="CX100" s="59">
        <f t="shared" si="68"/>
        <v>1168.3790187490761</v>
      </c>
      <c r="CY100" s="59">
        <f ca="1">AVERAGE(OFFSET($CX$3,0,0,'Données projet'!$E$13+1,1))-AVERAGE(OFFSET($H$3,0,0,'Données projet'!$E$13+1,1))</f>
        <v>500.13646131618248</v>
      </c>
      <c r="CZ100" s="59">
        <f t="shared" si="96"/>
        <v>417.58036817539306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48.839024927088246</v>
      </c>
      <c r="DG100" s="21">
        <f>EXP(-LN(2)/25)*DG99+(1-EXP(-LN(2)/25))/(LN(2)/25)*Calculateur!DB100*Calculateur!DD100*VLOOKUP('Données projet'!$B$13,Paramètres!$A$1:$I$89,3,0)*0.475*44/12</f>
        <v>18.304761430719758</v>
      </c>
      <c r="DH100" s="21">
        <f>EXP(-LN(2)/2)*DH99+(1-EXP(-LN(2)/2))/(LN(2)/2)*DB100*DE100*VLOOKUP('Données projet'!$B$13,Paramètres!$A$1:$I$89,3,0)*0.475*44/12</f>
        <v>6.7746326735742546E-3</v>
      </c>
      <c r="DI100" s="22">
        <f t="shared" si="69"/>
        <v>67.15056099048158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826.7995773959276</v>
      </c>
      <c r="S101" s="59">
        <f ca="1">AVERAGE(OFFSET($R$3,0,0,'Données projet'!$E$9+1,1))-AVERAGE(OFFSET($H$3,0,0,'Données projet'!$E$9+1,1))</f>
        <v>371.7282125501186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48.773847254930274</v>
      </c>
      <c r="AA101" s="21">
        <f>EXP(-LN(2)/25)*AA100+(1-EXP(-LN(2)/25))/(LN(2)/25)*Calculateur!V101*Calculateur!X101*VLOOKUP('Données projet'!$B$9,Paramètres!$A$1:$I$89,3,0)*0.475*44/12</f>
        <v>2.2709429221472632</v>
      </c>
      <c r="AB101" s="21">
        <f>EXP(-LN(2)/2)*AB100+(1-EXP(-LN(2)/2))/(LN(2)/2)*V101*Y101*VLOOKUP('Données projet'!$B$9,Paramètres!$A$1:$I$89,3,0)*0.475*44/12</f>
        <v>0.4619710730144071</v>
      </c>
      <c r="AC101" s="22">
        <f t="shared" si="57"/>
        <v>51.506761250091941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305.00000000000017</v>
      </c>
      <c r="AJ101" s="13">
        <f>AI101*VLOOKUP('Données projet'!$B$10,Paramètres!$A$1:$I$89,3,0)*VLOOKUP('Données projet'!$B$10,Paramètres!$A$1:$I$89,5,0)</f>
        <v>204.59400000000011</v>
      </c>
      <c r="AK101" s="13">
        <f t="shared" si="89"/>
        <v>50.75245156043249</v>
      </c>
      <c r="AL101" s="20">
        <f t="shared" si="58"/>
        <v>444.72840313442015</v>
      </c>
      <c r="AM101" s="59">
        <f t="shared" si="59"/>
        <v>738.06173646775346</v>
      </c>
      <c r="AN101" s="59">
        <f ca="1">AVERAGE(OFFSET($AM$3,0,0,'Données projet'!$E$10+1,1))-AVERAGE(OFFSET($H$3,0,0,'Données projet'!$E$10+1,1))</f>
        <v>269.67260882504996</v>
      </c>
      <c r="AO101" s="59">
        <f t="shared" si="90"/>
        <v>272.13858200810074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20.541582771609757</v>
      </c>
      <c r="AV101" s="21">
        <f>EXP(-LN(2)/25)*AV100+(1-EXP(-LN(2)/25))/(LN(2)/25)*Calculateur!AQ101*Calculateur!AS101*VLOOKUP('Données projet'!$B$10,Paramètres!$A$1:$I$89,3,0)*0.475*44/12</f>
        <v>1.0133211346447346</v>
      </c>
      <c r="AW101" s="21">
        <f>EXP(-LN(2)/2)*AW100+(1-EXP(-LN(2)/2))/(LN(2)/2)*AQ101*AT101*VLOOKUP('Données projet'!$B$10,Paramètres!$A$1:$I$89,3,0)*0.475*44/12</f>
        <v>5.4011522657616143E-5</v>
      </c>
      <c r="AX101" s="21">
        <f t="shared" si="60"/>
        <v>21.554957917777148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453.99999999999977</v>
      </c>
      <c r="BE101" s="13">
        <f>BD101*VLOOKUP('Données projet'!$B$11,Paramètres!$A$1:$I$89,3,0)*VLOOKUP('Données projet'!$B$11,Paramètres!$A$1:$I$89,5,0)</f>
        <v>253.78599999999986</v>
      </c>
      <c r="BF101" s="13">
        <f t="shared" si="91"/>
        <v>61.395945216950906</v>
      </c>
      <c r="BG101" s="20">
        <f t="shared" si="61"/>
        <v>548.94188791952263</v>
      </c>
      <c r="BH101" s="59">
        <f t="shared" si="62"/>
        <v>842.275221252856</v>
      </c>
      <c r="BI101" s="59">
        <f ca="1">AVERAGE(OFFSET($BH$3,0,0,'Données projet'!$E$11+1,1))-AVERAGE(OFFSET($H$3,0,0,'Données projet'!$E$11+1,1))</f>
        <v>330.33728077846268</v>
      </c>
      <c r="BJ101" s="59">
        <f t="shared" si="92"/>
        <v>358.38872754175208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28.209586044490845</v>
      </c>
      <c r="BQ101" s="21">
        <f>EXP(-LN(2)/25)*BQ100+(1-EXP(-LN(2)/25))/(LN(2)/25)*Calculateur!BL101*Calculateur!BN101*VLOOKUP('Données projet'!$B$11,Paramètres!$A$1:$I$89,3,0)*0.475*44/12</f>
        <v>11.452069035319152</v>
      </c>
      <c r="BR101" s="21">
        <f>EXP(-LN(2)/2)*BR100+(1-EXP(-LN(2)/2))/(LN(2)/2)*BL101*BO101*VLOOKUP('Données projet'!$B$11,Paramètres!$A$1:$I$89,3,0)*0.475*44/12</f>
        <v>9.7468619554358672E-5</v>
      </c>
      <c r="BS101" s="22">
        <f t="shared" si="63"/>
        <v>39.661752548429554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290.99999999999994</v>
      </c>
      <c r="BZ101" s="13">
        <f>BY101*VLOOKUP('Données projet'!$B$12,Paramètres!$A$1:$I$89,3,0)*VLOOKUP('Données projet'!$B$12,Paramètres!$A$1:$I$89,5,0)</f>
        <v>276.91559999999993</v>
      </c>
      <c r="CA101" s="13">
        <f t="shared" si="93"/>
        <v>66.314766879144742</v>
      </c>
      <c r="CB101" s="20">
        <f t="shared" si="64"/>
        <v>597.79288898117682</v>
      </c>
      <c r="CC101" s="59">
        <f t="shared" si="65"/>
        <v>891.12622231451019</v>
      </c>
      <c r="CD101" s="59">
        <f ca="1">AVERAGE(OFFSET($CC$3,0,0,'Données projet'!$E$12+1,1))-AVERAGE(OFFSET($H$3,0,0,'Données projet'!$E$12+1,1))</f>
        <v>367.39143258674738</v>
      </c>
      <c r="CE101" s="59">
        <f t="shared" si="94"/>
        <v>376.02790658970292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26.094086001282314</v>
      </c>
      <c r="CL101" s="21">
        <f>EXP(-LN(2)/25)*CL100+(1-EXP(-LN(2)/25))/(LN(2)/25)*Calculateur!CG101*Calculateur!CI101*VLOOKUP('Données projet'!$B$12,Paramètres!$A$1:$I$89,3,0)*0.475*44/12</f>
        <v>1.2592655338985537</v>
      </c>
      <c r="CM101" s="21">
        <f>EXP(-LN(2)/2)*CM100+(1-EXP(-LN(2)/2))/(LN(2)/2)*CG101*CJ101*VLOOKUP('Données projet'!$B$12,Paramètres!$A$1:$I$89,3,0)*0.475*44/12</f>
        <v>8.8581183149828282E-5</v>
      </c>
      <c r="CN101" s="22">
        <f t="shared" si="66"/>
        <v>27.353440116364016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925.00000000000034</v>
      </c>
      <c r="CU101" s="17">
        <f>CT101*VLOOKUP('Données projet'!$B$13,Paramètres!$A$1:$I$89,3,0)*VLOOKUP('Données projet'!$B$13,Paramètres!$A$1:$I$89,5,0)</f>
        <v>408.85000000000014</v>
      </c>
      <c r="CV101" s="13">
        <f t="shared" si="95"/>
        <v>93.568575358321141</v>
      </c>
      <c r="CW101" s="20">
        <f t="shared" si="67"/>
        <v>875.04568541574281</v>
      </c>
      <c r="CX101" s="59">
        <f t="shared" si="68"/>
        <v>1168.3790187490761</v>
      </c>
      <c r="CY101" s="59">
        <f ca="1">AVERAGE(OFFSET($CX$3,0,0,'Données projet'!$E$13+1,1))-AVERAGE(OFFSET($H$3,0,0,'Données projet'!$E$13+1,1))</f>
        <v>500.13646131618248</v>
      </c>
      <c r="CZ101" s="59">
        <f t="shared" si="96"/>
        <v>417.58036817539306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47.881321437131845</v>
      </c>
      <c r="DG101" s="21">
        <f>EXP(-LN(2)/25)*DG100+(1-EXP(-LN(2)/25))/(LN(2)/25)*Calculateur!DB101*Calculateur!DD101*VLOOKUP('Données projet'!$B$13,Paramètres!$A$1:$I$89,3,0)*0.475*44/12</f>
        <v>17.804216766791157</v>
      </c>
      <c r="DH101" s="21">
        <f>EXP(-LN(2)/2)*DH100+(1-EXP(-LN(2)/2))/(LN(2)/2)*DB101*DE101*VLOOKUP('Données projet'!$B$13,Paramètres!$A$1:$I$89,3,0)*0.475*44/12</f>
        <v>4.7903887035323058E-3</v>
      </c>
      <c r="DI101" s="22">
        <f t="shared" si="69"/>
        <v>65.690328592626528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835.98448174248915</v>
      </c>
      <c r="S102" s="59">
        <f ca="1">AVERAGE(OFFSET($R$3,0,0,'Données projet'!$E$9+1,1))-AVERAGE(OFFSET($H$3,0,0,'Données projet'!$E$9+1,1))</f>
        <v>371.7282125501186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47.817421859370434</v>
      </c>
      <c r="AA102" s="21">
        <f>EXP(-LN(2)/25)*AA101+(1-EXP(-LN(2)/25))/(LN(2)/25)*Calculateur!V102*Calculateur!X102*VLOOKUP('Données projet'!$B$9,Paramètres!$A$1:$I$89,3,0)*0.475*44/12</f>
        <v>2.2088438685174485</v>
      </c>
      <c r="AB102" s="21">
        <f>EXP(-LN(2)/2)*AB101+(1-EXP(-LN(2)/2))/(LN(2)/2)*V102*Y102*VLOOKUP('Données projet'!$B$9,Paramètres!$A$1:$I$89,3,0)*0.475*44/12</f>
        <v>0.32666287844051295</v>
      </c>
      <c r="AC102" s="22">
        <f t="shared" si="57"/>
        <v>50.352928606328398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305.00000000000017</v>
      </c>
      <c r="AJ102" s="13">
        <f>AI102*VLOOKUP('Données projet'!$B$10,Paramètres!$A$1:$I$89,3,0)*VLOOKUP('Données projet'!$B$10,Paramètres!$A$1:$I$89,5,0)</f>
        <v>204.59400000000011</v>
      </c>
      <c r="AK102" s="13">
        <f t="shared" si="89"/>
        <v>50.75245156043249</v>
      </c>
      <c r="AL102" s="20">
        <f t="shared" si="58"/>
        <v>444.72840313442015</v>
      </c>
      <c r="AM102" s="59">
        <f t="shared" si="59"/>
        <v>738.06173646775346</v>
      </c>
      <c r="AN102" s="59">
        <f ca="1">AVERAGE(OFFSET($AM$3,0,0,'Données projet'!$E$10+1,1))-AVERAGE(OFFSET($H$3,0,0,'Données projet'!$E$10+1,1))</f>
        <v>269.67260882504996</v>
      </c>
      <c r="AO102" s="59">
        <f t="shared" si="90"/>
        <v>272.13858200810074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20.138774862586832</v>
      </c>
      <c r="AV102" s="21">
        <f>EXP(-LN(2)/25)*AV101+(1-EXP(-LN(2)/25))/(LN(2)/25)*Calculateur!AQ102*Calculateur!AS102*VLOOKUP('Données projet'!$B$10,Paramètres!$A$1:$I$89,3,0)*0.475*44/12</f>
        <v>0.9856118149296319</v>
      </c>
      <c r="AW102" s="21">
        <f>EXP(-LN(2)/2)*AW101+(1-EXP(-LN(2)/2))/(LN(2)/2)*AQ102*AT102*VLOOKUP('Données projet'!$B$10,Paramètres!$A$1:$I$89,3,0)*0.475*44/12</f>
        <v>3.8191913933411231E-5</v>
      </c>
      <c r="AX102" s="21">
        <f t="shared" si="60"/>
        <v>21.124424869430399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453.99999999999977</v>
      </c>
      <c r="BE102" s="13">
        <f>BD102*VLOOKUP('Données projet'!$B$11,Paramètres!$A$1:$I$89,3,0)*VLOOKUP('Données projet'!$B$11,Paramètres!$A$1:$I$89,5,0)</f>
        <v>253.78599999999986</v>
      </c>
      <c r="BF102" s="13">
        <f t="shared" si="91"/>
        <v>61.395945216950906</v>
      </c>
      <c r="BG102" s="20">
        <f t="shared" si="61"/>
        <v>548.94188791952263</v>
      </c>
      <c r="BH102" s="59">
        <f t="shared" si="62"/>
        <v>842.275221252856</v>
      </c>
      <c r="BI102" s="59">
        <f ca="1">AVERAGE(OFFSET($BH$3,0,0,'Données projet'!$E$11+1,1))-AVERAGE(OFFSET($H$3,0,0,'Données projet'!$E$11+1,1))</f>
        <v>330.33728077846268</v>
      </c>
      <c r="BJ102" s="59">
        <f t="shared" si="92"/>
        <v>358.38872754175208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27.656413268306899</v>
      </c>
      <c r="BQ102" s="21">
        <f>EXP(-LN(2)/25)*BQ101+(1-EXP(-LN(2)/25))/(LN(2)/25)*Calculateur!BL102*Calculateur!BN102*VLOOKUP('Données projet'!$B$11,Paramètres!$A$1:$I$89,3,0)*0.475*44/12</f>
        <v>11.138911605310213</v>
      </c>
      <c r="BR102" s="21">
        <f>EXP(-LN(2)/2)*BR101+(1-EXP(-LN(2)/2))/(LN(2)/2)*BL102*BO102*VLOOKUP('Données projet'!$B$11,Paramètres!$A$1:$I$89,3,0)*0.475*44/12</f>
        <v>6.8920721839778743E-5</v>
      </c>
      <c r="BS102" s="22">
        <f t="shared" si="63"/>
        <v>38.795393794338949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290.99999999999994</v>
      </c>
      <c r="BZ102" s="13">
        <f>BY102*VLOOKUP('Données projet'!$B$12,Paramètres!$A$1:$I$89,3,0)*VLOOKUP('Données projet'!$B$12,Paramètres!$A$1:$I$89,5,0)</f>
        <v>276.91559999999993</v>
      </c>
      <c r="CA102" s="13">
        <f t="shared" si="93"/>
        <v>66.314766879144742</v>
      </c>
      <c r="CB102" s="20">
        <f t="shared" si="64"/>
        <v>597.79288898117682</v>
      </c>
      <c r="CC102" s="59">
        <f t="shared" si="65"/>
        <v>891.12622231451019</v>
      </c>
      <c r="CD102" s="59">
        <f ca="1">AVERAGE(OFFSET($CC$3,0,0,'Données projet'!$E$12+1,1))-AVERAGE(OFFSET($H$3,0,0,'Données projet'!$E$12+1,1))</f>
        <v>367.39143258674738</v>
      </c>
      <c r="CE102" s="59">
        <f t="shared" si="94"/>
        <v>376.02790658970292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25.582396890618071</v>
      </c>
      <c r="CL102" s="21">
        <f>EXP(-LN(2)/25)*CL101+(1-EXP(-LN(2)/25))/(LN(2)/25)*Calculateur!CG102*Calculateur!CI102*VLOOKUP('Données projet'!$B$12,Paramètres!$A$1:$I$89,3,0)*0.475*44/12</f>
        <v>1.2248308516522013</v>
      </c>
      <c r="CM102" s="21">
        <f>EXP(-LN(2)/2)*CM101+(1-EXP(-LN(2)/2))/(LN(2)/2)*CG102*CJ102*VLOOKUP('Données projet'!$B$12,Paramètres!$A$1:$I$89,3,0)*0.475*44/12</f>
        <v>6.2636355290771116E-5</v>
      </c>
      <c r="CN102" s="22">
        <f t="shared" si="66"/>
        <v>26.807290378625563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925.00000000000034</v>
      </c>
      <c r="CU102" s="17">
        <f>CT102*VLOOKUP('Données projet'!$B$13,Paramètres!$A$1:$I$89,3,0)*VLOOKUP('Données projet'!$B$13,Paramètres!$A$1:$I$89,5,0)</f>
        <v>408.85000000000014</v>
      </c>
      <c r="CV102" s="13">
        <f t="shared" si="95"/>
        <v>93.568575358321141</v>
      </c>
      <c r="CW102" s="20">
        <f t="shared" si="67"/>
        <v>875.04568541574281</v>
      </c>
      <c r="CX102" s="59">
        <f t="shared" si="68"/>
        <v>1168.3790187490761</v>
      </c>
      <c r="CY102" s="59">
        <f ca="1">AVERAGE(OFFSET($CX$3,0,0,'Données projet'!$E$13+1,1))-AVERAGE(OFFSET($H$3,0,0,'Données projet'!$E$13+1,1))</f>
        <v>500.13646131618248</v>
      </c>
      <c r="CZ102" s="59">
        <f t="shared" si="96"/>
        <v>417.58036817539306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46.94239792847204</v>
      </c>
      <c r="DG102" s="21">
        <f>EXP(-LN(2)/25)*DG101+(1-EXP(-LN(2)/25))/(LN(2)/25)*Calculateur!DB102*Calculateur!DD102*VLOOKUP('Données projet'!$B$13,Paramètres!$A$1:$I$89,3,0)*0.475*44/12</f>
        <v>17.317359523020187</v>
      </c>
      <c r="DH102" s="21">
        <f>EXP(-LN(2)/2)*DH101+(1-EXP(-LN(2)/2))/(LN(2)/2)*DB102*DE102*VLOOKUP('Données projet'!$B$13,Paramètres!$A$1:$I$89,3,0)*0.475*44/12</f>
        <v>3.3873163367871273E-3</v>
      </c>
      <c r="DI102" s="22">
        <f t="shared" si="69"/>
        <v>64.263144767829004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845.16612239513029</v>
      </c>
      <c r="S103" s="59">
        <f ca="1">AVERAGE(OFFSET($R$3,0,0,'Données projet'!$E$9+1,1))-AVERAGE(OFFSET($H$3,0,0,'Données projet'!$E$9+1,1))</f>
        <v>371.7282125501186</v>
      </c>
      <c r="T103" s="59">
        <f t="shared" si="88"/>
        <v>231.36959598460686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1.72E-2</v>
      </c>
      <c r="Y103" s="16">
        <f>IF(ISNA(VLOOKUP(A103,'Données projet'!$A$35:$I$55,7,0)),0%,VLOOKUP(A103,'Données projet'!$A$35:$I$55,7,0))</f>
        <v>0.06</v>
      </c>
      <c r="Z103" s="21">
        <f>EXP(-LN(2)/35)*Z102+(1-EXP(-LN(2)/35))/(LN(2)/35)*V103*W103*VLOOKUP('Données projet'!$B$9,Paramètres!$A$1:$I$89,3,0)*0.475*44/12</f>
        <v>54.10541000853145</v>
      </c>
      <c r="AA103" s="21">
        <f>EXP(-LN(2)/25)*AA102+(1-EXP(-LN(2)/25))/(LN(2)/25)*Calculateur!V103*Calculateur!X103*VLOOKUP('Données projet'!$B$9,Paramètres!$A$1:$I$89,3,0)*0.475*44/12</f>
        <v>2.5083033395184464</v>
      </c>
      <c r="AB103" s="21">
        <f>EXP(-LN(2)/2)*AB102+(1-EXP(-LN(2)/2))/(LN(2)/2)*V103*Y103*VLOOKUP('Données projet'!$B$9,Paramètres!$A$1:$I$89,3,0)*0.475*44/12</f>
        <v>1.3066515084492469</v>
      </c>
      <c r="AC103" s="22">
        <f t="shared" si="57"/>
        <v>57.920364856499148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305.00000000000017</v>
      </c>
      <c r="AJ103" s="13">
        <f>AI103*VLOOKUP('Données projet'!$B$10,Paramètres!$A$1:$I$89,3,0)*VLOOKUP('Données projet'!$B$10,Paramètres!$A$1:$I$89,5,0)</f>
        <v>204.59400000000011</v>
      </c>
      <c r="AK103" s="13">
        <f t="shared" si="89"/>
        <v>50.75245156043249</v>
      </c>
      <c r="AL103" s="20">
        <f t="shared" si="58"/>
        <v>444.72840313442015</v>
      </c>
      <c r="AM103" s="59">
        <f t="shared" si="59"/>
        <v>738.06173646775346</v>
      </c>
      <c r="AN103" s="59">
        <f ca="1">AVERAGE(OFFSET($AM$3,0,0,'Données projet'!$E$10+1,1))-AVERAGE(OFFSET($H$3,0,0,'Données projet'!$E$10+1,1))</f>
        <v>269.67260882504996</v>
      </c>
      <c r="AO103" s="59">
        <f t="shared" si="90"/>
        <v>272.13858200810074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19.743865770971283</v>
      </c>
      <c r="AV103" s="21">
        <f>EXP(-LN(2)/25)*AV102+(1-EXP(-LN(2)/25))/(LN(2)/25)*Calculateur!AQ103*Calculateur!AS103*VLOOKUP('Données projet'!$B$10,Paramètres!$A$1:$I$89,3,0)*0.475*44/12</f>
        <v>0.9586602080193084</v>
      </c>
      <c r="AW103" s="21">
        <f>EXP(-LN(2)/2)*AW102+(1-EXP(-LN(2)/2))/(LN(2)/2)*AQ103*AT103*VLOOKUP('Données projet'!$B$10,Paramètres!$A$1:$I$89,3,0)*0.475*44/12</f>
        <v>2.7005761328808071E-5</v>
      </c>
      <c r="AX103" s="21">
        <f t="shared" si="60"/>
        <v>20.702552984751918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453.99999999999977</v>
      </c>
      <c r="BE103" s="13">
        <f>BD103*VLOOKUP('Données projet'!$B$11,Paramètres!$A$1:$I$89,3,0)*VLOOKUP('Données projet'!$B$11,Paramètres!$A$1:$I$89,5,0)</f>
        <v>253.78599999999986</v>
      </c>
      <c r="BF103" s="13">
        <f t="shared" si="91"/>
        <v>61.395945216950906</v>
      </c>
      <c r="BG103" s="20">
        <f t="shared" si="61"/>
        <v>548.94188791952263</v>
      </c>
      <c r="BH103" s="59">
        <f t="shared" si="62"/>
        <v>842.275221252856</v>
      </c>
      <c r="BI103" s="59">
        <f ca="1">AVERAGE(OFFSET($BH$3,0,0,'Données projet'!$E$11+1,1))-AVERAGE(OFFSET($H$3,0,0,'Données projet'!$E$11+1,1))</f>
        <v>330.33728077846268</v>
      </c>
      <c r="BJ103" s="59">
        <f t="shared" si="92"/>
        <v>358.38872754175208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27.114087872861845</v>
      </c>
      <c r="BQ103" s="21">
        <f>EXP(-LN(2)/25)*BQ102+(1-EXP(-LN(2)/25))/(LN(2)/25)*Calculateur!BL103*Calculateur!BN103*VLOOKUP('Données projet'!$B$11,Paramètres!$A$1:$I$89,3,0)*0.475*44/12</f>
        <v>10.834317481693102</v>
      </c>
      <c r="BR103" s="21">
        <f>EXP(-LN(2)/2)*BR102+(1-EXP(-LN(2)/2))/(LN(2)/2)*BL103*BO103*VLOOKUP('Données projet'!$B$11,Paramètres!$A$1:$I$89,3,0)*0.475*44/12</f>
        <v>4.8734309777179336E-5</v>
      </c>
      <c r="BS103" s="22">
        <f t="shared" si="63"/>
        <v>37.948454088864729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290.99999999999994</v>
      </c>
      <c r="BZ103" s="13">
        <f>BY103*VLOOKUP('Données projet'!$B$12,Paramètres!$A$1:$I$89,3,0)*VLOOKUP('Données projet'!$B$12,Paramètres!$A$1:$I$89,5,0)</f>
        <v>276.91559999999993</v>
      </c>
      <c r="CA103" s="13">
        <f t="shared" si="93"/>
        <v>66.314766879144742</v>
      </c>
      <c r="CB103" s="20">
        <f t="shared" si="64"/>
        <v>597.79288898117682</v>
      </c>
      <c r="CC103" s="59">
        <f t="shared" si="65"/>
        <v>891.12622231451019</v>
      </c>
      <c r="CD103" s="59">
        <f ca="1">AVERAGE(OFFSET($CC$3,0,0,'Données projet'!$E$12+1,1))-AVERAGE(OFFSET($H$3,0,0,'Données projet'!$E$12+1,1))</f>
        <v>367.39143258674738</v>
      </c>
      <c r="CE103" s="59">
        <f t="shared" si="94"/>
        <v>376.02790658970292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25.080741691314415</v>
      </c>
      <c r="CL103" s="21">
        <f>EXP(-LN(2)/25)*CL102+(1-EXP(-LN(2)/25))/(LN(2)/25)*Calculateur!CG103*Calculateur!CI103*VLOOKUP('Données projet'!$B$12,Paramètres!$A$1:$I$89,3,0)*0.475*44/12</f>
        <v>1.1913377876027167</v>
      </c>
      <c r="CM103" s="21">
        <f>EXP(-LN(2)/2)*CM102+(1-EXP(-LN(2)/2))/(LN(2)/2)*CG103*CJ103*VLOOKUP('Données projet'!$B$12,Paramètres!$A$1:$I$89,3,0)*0.475*44/12</f>
        <v>4.4290591574914141E-5</v>
      </c>
      <c r="CN103" s="22">
        <f t="shared" si="66"/>
        <v>26.272123769508706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925.00000000000034</v>
      </c>
      <c r="CU103" s="17">
        <f>CT103*VLOOKUP('Données projet'!$B$13,Paramètres!$A$1:$I$89,3,0)*VLOOKUP('Données projet'!$B$13,Paramètres!$A$1:$I$89,5,0)</f>
        <v>408.85000000000014</v>
      </c>
      <c r="CV103" s="13">
        <f t="shared" si="95"/>
        <v>93.568575358321141</v>
      </c>
      <c r="CW103" s="20">
        <f t="shared" si="67"/>
        <v>875.04568541574281</v>
      </c>
      <c r="CX103" s="59">
        <f t="shared" si="68"/>
        <v>1168.3790187490761</v>
      </c>
      <c r="CY103" s="59">
        <f ca="1">AVERAGE(OFFSET($CX$3,0,0,'Données projet'!$E$13+1,1))-AVERAGE(OFFSET($H$3,0,0,'Données projet'!$E$13+1,1))</f>
        <v>500.13646131618248</v>
      </c>
      <c r="CZ103" s="59">
        <f t="shared" si="96"/>
        <v>417.58036817539306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46.021886137130259</v>
      </c>
      <c r="DG103" s="21">
        <f>EXP(-LN(2)/25)*DG102+(1-EXP(-LN(2)/25))/(LN(2)/25)*Calculateur!DB103*Calculateur!DD103*VLOOKUP('Données projet'!$B$13,Paramètres!$A$1:$I$89,3,0)*0.475*44/12</f>
        <v>16.843815416182842</v>
      </c>
      <c r="DH103" s="21">
        <f>EXP(-LN(2)/2)*DH102+(1-EXP(-LN(2)/2))/(LN(2)/2)*DB103*DE103*VLOOKUP('Données projet'!$B$13,Paramètres!$A$1:$I$89,3,0)*0.475*44/12</f>
        <v>2.3951943517661529E-3</v>
      </c>
      <c r="DI103" s="22">
        <f t="shared" si="69"/>
        <v>62.868096747664865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265.59999999999991</v>
      </c>
      <c r="O104" s="13">
        <f>N104*VLOOKUP('Données projet'!$B$9,Paramètres!$A$1:$I$89,3,0)*VLOOKUP('Données projet'!$B$9,Paramètres!$A$1:$I$89,5,0)</f>
        <v>240.31487999999993</v>
      </c>
      <c r="P104" s="13">
        <f t="shared" si="87"/>
        <v>58.50727327751612</v>
      </c>
      <c r="Q104" s="20">
        <f t="shared" si="107"/>
        <v>520.44858362500713</v>
      </c>
      <c r="R104" s="59">
        <f t="shared" si="55"/>
        <v>813.78191695834039</v>
      </c>
      <c r="S104" s="59">
        <f ca="1">AVERAGE(OFFSET($R$3,0,0,'Données projet'!$E$9+1,1))-AVERAGE(OFFSET($H$3,0,0,'Données projet'!$E$9+1,1))</f>
        <v>371.7282125501186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53.04443591930567</v>
      </c>
      <c r="AA104" s="21">
        <f>EXP(-LN(2)/25)*AA103+(1-EXP(-LN(2)/25))/(LN(2)/25)*Calculateur!V104*Calculateur!X104*VLOOKUP('Données projet'!$B$9,Paramètres!$A$1:$I$89,3,0)*0.475*44/12</f>
        <v>2.4397136527933747</v>
      </c>
      <c r="AB104" s="21">
        <f>EXP(-LN(2)/2)*AB103+(1-EXP(-LN(2)/2))/(LN(2)/2)*V104*Y104*VLOOKUP('Données projet'!$B$9,Paramètres!$A$1:$I$89,3,0)*0.475*44/12</f>
        <v>0.92394214227209392</v>
      </c>
      <c r="AC104" s="22">
        <f t="shared" si="57"/>
        <v>56.408091714371139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305.00000000000017</v>
      </c>
      <c r="AJ104" s="13">
        <f>AI104*VLOOKUP('Données projet'!$B$10,Paramètres!$A$1:$I$89,3,0)*VLOOKUP('Données projet'!$B$10,Paramètres!$A$1:$I$89,5,0)</f>
        <v>204.59400000000011</v>
      </c>
      <c r="AK104" s="13">
        <f t="shared" si="89"/>
        <v>50.75245156043249</v>
      </c>
      <c r="AL104" s="20">
        <f t="shared" si="58"/>
        <v>444.72840313442015</v>
      </c>
      <c r="AM104" s="59">
        <f t="shared" si="59"/>
        <v>738.06173646775346</v>
      </c>
      <c r="AN104" s="59">
        <f ca="1">AVERAGE(OFFSET($AM$3,0,0,'Données projet'!$E$10+1,1))-AVERAGE(OFFSET($H$3,0,0,'Données projet'!$E$10+1,1))</f>
        <v>269.67260882504996</v>
      </c>
      <c r="AO104" s="59">
        <f t="shared" si="90"/>
        <v>272.13858200810074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19.35670060577155</v>
      </c>
      <c r="AV104" s="21">
        <f>EXP(-LN(2)/25)*AV103+(1-EXP(-LN(2)/25))/(LN(2)/25)*Calculateur!AQ104*Calculateur!AS104*VLOOKUP('Données projet'!$B$10,Paramètres!$A$1:$I$89,3,0)*0.475*44/12</f>
        <v>0.93244559421727113</v>
      </c>
      <c r="AW104" s="21">
        <f>EXP(-LN(2)/2)*AW103+(1-EXP(-LN(2)/2))/(LN(2)/2)*AQ104*AT104*VLOOKUP('Données projet'!$B$10,Paramètres!$A$1:$I$89,3,0)*0.475*44/12</f>
        <v>1.9095956966705615E-5</v>
      </c>
      <c r="AX104" s="21">
        <f t="shared" si="60"/>
        <v>20.289165295945786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453.99999999999977</v>
      </c>
      <c r="BE104" s="13">
        <f>BD104*VLOOKUP('Données projet'!$B$11,Paramètres!$A$1:$I$89,3,0)*VLOOKUP('Données projet'!$B$11,Paramètres!$A$1:$I$89,5,0)</f>
        <v>253.78599999999986</v>
      </c>
      <c r="BF104" s="13">
        <f t="shared" si="91"/>
        <v>61.395945216950906</v>
      </c>
      <c r="BG104" s="20">
        <f t="shared" si="61"/>
        <v>548.94188791952263</v>
      </c>
      <c r="BH104" s="59">
        <f t="shared" si="62"/>
        <v>842.275221252856</v>
      </c>
      <c r="BI104" s="59">
        <f ca="1">AVERAGE(OFFSET($BH$3,0,0,'Données projet'!$E$11+1,1))-AVERAGE(OFFSET($H$3,0,0,'Données projet'!$E$11+1,1))</f>
        <v>330.33728077846268</v>
      </c>
      <c r="BJ104" s="59">
        <f t="shared" si="92"/>
        <v>358.38872754175208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26.582397147635639</v>
      </c>
      <c r="BQ104" s="21">
        <f>EXP(-LN(2)/25)*BQ103+(1-EXP(-LN(2)/25))/(LN(2)/25)*Calculateur!BL104*Calculateur!BN104*VLOOKUP('Données projet'!$B$11,Paramètres!$A$1:$I$89,3,0)*0.475*44/12</f>
        <v>10.538052500404209</v>
      </c>
      <c r="BR104" s="21">
        <f>EXP(-LN(2)/2)*BR103+(1-EXP(-LN(2)/2))/(LN(2)/2)*BL104*BO104*VLOOKUP('Données projet'!$B$11,Paramètres!$A$1:$I$89,3,0)*0.475*44/12</f>
        <v>3.4460360919889372E-5</v>
      </c>
      <c r="BS104" s="22">
        <f t="shared" si="63"/>
        <v>37.120484108400774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290.99999999999994</v>
      </c>
      <c r="BZ104" s="13">
        <f>BY104*VLOOKUP('Données projet'!$B$12,Paramètres!$A$1:$I$89,3,0)*VLOOKUP('Données projet'!$B$12,Paramètres!$A$1:$I$89,5,0)</f>
        <v>276.91559999999993</v>
      </c>
      <c r="CA104" s="13">
        <f t="shared" si="93"/>
        <v>66.314766879144742</v>
      </c>
      <c r="CB104" s="20">
        <f t="shared" si="64"/>
        <v>597.79288898117682</v>
      </c>
      <c r="CC104" s="59">
        <f t="shared" si="65"/>
        <v>891.12622231451019</v>
      </c>
      <c r="CD104" s="59">
        <f ca="1">AVERAGE(OFFSET($CC$3,0,0,'Données projet'!$E$12+1,1))-AVERAGE(OFFSET($H$3,0,0,'Données projet'!$E$12+1,1))</f>
        <v>367.39143258674738</v>
      </c>
      <c r="CE104" s="59">
        <f t="shared" si="94"/>
        <v>376.02790658970292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24.588923644489643</v>
      </c>
      <c r="CL104" s="21">
        <f>EXP(-LN(2)/25)*CL103+(1-EXP(-LN(2)/25))/(LN(2)/25)*Calculateur!CG104*Calculateur!CI104*VLOOKUP('Données projet'!$B$12,Paramètres!$A$1:$I$89,3,0)*0.475*44/12</f>
        <v>1.158760593150989</v>
      </c>
      <c r="CM104" s="21">
        <f>EXP(-LN(2)/2)*CM103+(1-EXP(-LN(2)/2))/(LN(2)/2)*CG104*CJ104*VLOOKUP('Données projet'!$B$12,Paramètres!$A$1:$I$89,3,0)*0.475*44/12</f>
        <v>3.1318177645385558E-5</v>
      </c>
      <c r="CN104" s="22">
        <f t="shared" si="66"/>
        <v>25.747715555818278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925.00000000000034</v>
      </c>
      <c r="CU104" s="17">
        <f>CT104*VLOOKUP('Données projet'!$B$13,Paramètres!$A$1:$I$89,3,0)*VLOOKUP('Données projet'!$B$13,Paramètres!$A$1:$I$89,5,0)</f>
        <v>408.85000000000014</v>
      </c>
      <c r="CV104" s="13">
        <f t="shared" si="95"/>
        <v>93.568575358321141</v>
      </c>
      <c r="CW104" s="20">
        <f t="shared" si="67"/>
        <v>875.04568541574281</v>
      </c>
      <c r="CX104" s="59">
        <f t="shared" si="68"/>
        <v>1168.3790187490761</v>
      </c>
      <c r="CY104" s="59">
        <f ca="1">AVERAGE(OFFSET($CX$3,0,0,'Données projet'!$E$13+1,1))-AVERAGE(OFFSET($H$3,0,0,'Données projet'!$E$13+1,1))</f>
        <v>500.13646131618248</v>
      </c>
      <c r="CZ104" s="59">
        <f t="shared" si="96"/>
        <v>417.58036817539306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45.119425020559937</v>
      </c>
      <c r="DG104" s="21">
        <f>EXP(-LN(2)/25)*DG103+(1-EXP(-LN(2)/25))/(LN(2)/25)*Calculateur!DB104*Calculateur!DD104*VLOOKUP('Données projet'!$B$13,Paramètres!$A$1:$I$89,3,0)*0.475*44/12</f>
        <v>16.383220397849566</v>
      </c>
      <c r="DH104" s="21">
        <f>EXP(-LN(2)/2)*DH103+(1-EXP(-LN(2)/2))/(LN(2)/2)*DB104*DE104*VLOOKUP('Données projet'!$B$13,Paramètres!$A$1:$I$89,3,0)*0.475*44/12</f>
        <v>1.6936581683935636E-3</v>
      </c>
      <c r="DI104" s="22">
        <f t="shared" si="69"/>
        <v>61.504339076577892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270.19999999999993</v>
      </c>
      <c r="O105" s="13">
        <f>N105*VLOOKUP('Données projet'!$B$9,Paramètres!$A$1:$I$89,3,0)*VLOOKUP('Données projet'!$B$9,Paramètres!$A$1:$I$89,5,0)</f>
        <v>244.47695999999993</v>
      </c>
      <c r="P105" s="13">
        <f t="shared" si="87"/>
        <v>59.401731670234192</v>
      </c>
      <c r="Q105" s="20">
        <f t="shared" si="107"/>
        <v>529.25538799232447</v>
      </c>
      <c r="R105" s="59">
        <f t="shared" si="55"/>
        <v>822.58872132565784</v>
      </c>
      <c r="S105" s="59">
        <f ca="1">AVERAGE(OFFSET($R$3,0,0,'Données projet'!$E$9+1,1))-AVERAGE(OFFSET($H$3,0,0,'Données projet'!$E$9+1,1))</f>
        <v>371.7282125501186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52.004266884839311</v>
      </c>
      <c r="AA105" s="21">
        <f>EXP(-LN(2)/25)*AA104+(1-EXP(-LN(2)/25))/(LN(2)/25)*Calculateur!V105*Calculateur!X105*VLOOKUP('Données projet'!$B$9,Paramètres!$A$1:$I$89,3,0)*0.475*44/12</f>
        <v>2.372999554658775</v>
      </c>
      <c r="AB105" s="21">
        <f>EXP(-LN(2)/2)*AB104+(1-EXP(-LN(2)/2))/(LN(2)/2)*V105*Y105*VLOOKUP('Données projet'!$B$9,Paramètres!$A$1:$I$89,3,0)*0.475*44/12</f>
        <v>0.65332575422462358</v>
      </c>
      <c r="AC105" s="22">
        <f t="shared" si="57"/>
        <v>55.030592193722711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305.00000000000017</v>
      </c>
      <c r="AJ105" s="13">
        <f>AI105*VLOOKUP('Données projet'!$B$10,Paramètres!$A$1:$I$89,3,0)*VLOOKUP('Données projet'!$B$10,Paramètres!$A$1:$I$89,5,0)</f>
        <v>204.59400000000011</v>
      </c>
      <c r="AK105" s="13">
        <f t="shared" si="89"/>
        <v>50.75245156043249</v>
      </c>
      <c r="AL105" s="20">
        <f t="shared" si="58"/>
        <v>444.72840313442015</v>
      </c>
      <c r="AM105" s="59">
        <f t="shared" si="59"/>
        <v>738.06173646775346</v>
      </c>
      <c r="AN105" s="59">
        <f ca="1">AVERAGE(OFFSET($AM$3,0,0,'Données projet'!$E$10+1,1))-AVERAGE(OFFSET($H$3,0,0,'Données projet'!$E$10+1,1))</f>
        <v>269.67260882504996</v>
      </c>
      <c r="AO105" s="59">
        <f t="shared" si="90"/>
        <v>272.13858200810074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18.977127513313953</v>
      </c>
      <c r="AV105" s="21">
        <f>EXP(-LN(2)/25)*AV104+(1-EXP(-LN(2)/25))/(LN(2)/25)*Calculateur!AQ105*Calculateur!AS105*VLOOKUP('Données projet'!$B$10,Paramètres!$A$1:$I$89,3,0)*0.475*44/12</f>
        <v>0.9069478204082172</v>
      </c>
      <c r="AW105" s="21">
        <f>EXP(-LN(2)/2)*AW104+(1-EXP(-LN(2)/2))/(LN(2)/2)*AQ105*AT105*VLOOKUP('Données projet'!$B$10,Paramètres!$A$1:$I$89,3,0)*0.475*44/12</f>
        <v>1.3502880664404036E-5</v>
      </c>
      <c r="AX105" s="21">
        <f t="shared" si="60"/>
        <v>19.884088836602835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453.99999999999977</v>
      </c>
      <c r="BE105" s="13">
        <f>BD105*VLOOKUP('Données projet'!$B$11,Paramètres!$A$1:$I$89,3,0)*VLOOKUP('Données projet'!$B$11,Paramètres!$A$1:$I$89,5,0)</f>
        <v>253.78599999999986</v>
      </c>
      <c r="BF105" s="13">
        <f t="shared" si="91"/>
        <v>61.395945216950906</v>
      </c>
      <c r="BG105" s="20">
        <f t="shared" si="61"/>
        <v>548.94188791952263</v>
      </c>
      <c r="BH105" s="59">
        <f t="shared" si="62"/>
        <v>842.275221252856</v>
      </c>
      <c r="BI105" s="59">
        <f ca="1">AVERAGE(OFFSET($BH$3,0,0,'Données projet'!$E$11+1,1))-AVERAGE(OFFSET($H$3,0,0,'Données projet'!$E$11+1,1))</f>
        <v>330.33728077846268</v>
      </c>
      <c r="BJ105" s="59">
        <f t="shared" si="92"/>
        <v>358.38872754175208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26.061132553231797</v>
      </c>
      <c r="BQ105" s="21">
        <f>EXP(-LN(2)/25)*BQ104+(1-EXP(-LN(2)/25))/(LN(2)/25)*Calculateur!BL105*Calculateur!BN105*VLOOKUP('Données projet'!$B$11,Paramètres!$A$1:$I$89,3,0)*0.475*44/12</f>
        <v>10.249888900608561</v>
      </c>
      <c r="BR105" s="21">
        <f>EXP(-LN(2)/2)*BR104+(1-EXP(-LN(2)/2))/(LN(2)/2)*BL105*BO105*VLOOKUP('Données projet'!$B$11,Paramètres!$A$1:$I$89,3,0)*0.475*44/12</f>
        <v>2.4367154888589668E-5</v>
      </c>
      <c r="BS105" s="22">
        <f t="shared" si="63"/>
        <v>36.31104582099524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290.99999999999994</v>
      </c>
      <c r="BZ105" s="13">
        <f>BY105*VLOOKUP('Données projet'!$B$12,Paramètres!$A$1:$I$89,3,0)*VLOOKUP('Données projet'!$B$12,Paramètres!$A$1:$I$89,5,0)</f>
        <v>276.91559999999993</v>
      </c>
      <c r="CA105" s="13">
        <f t="shared" si="93"/>
        <v>66.314766879144742</v>
      </c>
      <c r="CB105" s="20">
        <f t="shared" si="64"/>
        <v>597.79288898117682</v>
      </c>
      <c r="CC105" s="59">
        <f t="shared" si="65"/>
        <v>891.12622231451019</v>
      </c>
      <c r="CD105" s="59">
        <f ca="1">AVERAGE(OFFSET($CC$3,0,0,'Données projet'!$E$12+1,1))-AVERAGE(OFFSET($H$3,0,0,'Données projet'!$E$12+1,1))</f>
        <v>367.39143258674738</v>
      </c>
      <c r="CE105" s="59">
        <f t="shared" si="94"/>
        <v>376.02790658970292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24.106749849583718</v>
      </c>
      <c r="CL105" s="21">
        <f>EXP(-LN(2)/25)*CL104+(1-EXP(-LN(2)/25))/(LN(2)/25)*Calculateur!CG105*Calculateur!CI105*VLOOKUP('Données projet'!$B$12,Paramètres!$A$1:$I$89,3,0)*0.475*44/12</f>
        <v>1.127074223794704</v>
      </c>
      <c r="CM105" s="21">
        <f>EXP(-LN(2)/2)*CM104+(1-EXP(-LN(2)/2))/(LN(2)/2)*CG105*CJ105*VLOOKUP('Données projet'!$B$12,Paramètres!$A$1:$I$89,3,0)*0.475*44/12</f>
        <v>2.214529578745707E-5</v>
      </c>
      <c r="CN105" s="22">
        <f t="shared" si="66"/>
        <v>25.233846218674209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925.00000000000034</v>
      </c>
      <c r="CU105" s="17">
        <f>CT105*VLOOKUP('Données projet'!$B$13,Paramètres!$A$1:$I$89,3,0)*VLOOKUP('Données projet'!$B$13,Paramètres!$A$1:$I$89,5,0)</f>
        <v>408.85000000000014</v>
      </c>
      <c r="CV105" s="13">
        <f t="shared" si="95"/>
        <v>93.568575358321141</v>
      </c>
      <c r="CW105" s="20">
        <f t="shared" si="67"/>
        <v>875.04568541574281</v>
      </c>
      <c r="CX105" s="59">
        <f t="shared" si="68"/>
        <v>1168.3790187490761</v>
      </c>
      <c r="CY105" s="59">
        <f ca="1">AVERAGE(OFFSET($CX$3,0,0,'Données projet'!$E$13+1,1))-AVERAGE(OFFSET($H$3,0,0,'Données projet'!$E$13+1,1))</f>
        <v>500.13646131618248</v>
      </c>
      <c r="CZ105" s="59">
        <f t="shared" si="96"/>
        <v>417.58036817539306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44.234660616038632</v>
      </c>
      <c r="DG105" s="21">
        <f>EXP(-LN(2)/25)*DG104+(1-EXP(-LN(2)/25))/(LN(2)/25)*Calculateur!DB105*Calculateur!DD105*VLOOKUP('Données projet'!$B$13,Paramètres!$A$1:$I$89,3,0)*0.475*44/12</f>
        <v>15.935220374514254</v>
      </c>
      <c r="DH105" s="21">
        <f>EXP(-LN(2)/2)*DH104+(1-EXP(-LN(2)/2))/(LN(2)/2)*DB105*DE105*VLOOKUP('Données projet'!$B$13,Paramètres!$A$1:$I$89,3,0)*0.475*44/12</f>
        <v>1.1975971758830764E-3</v>
      </c>
      <c r="DI105" s="22">
        <f t="shared" si="69"/>
        <v>60.171078587728765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274.79999999999995</v>
      </c>
      <c r="O106" s="13">
        <f>N106*VLOOKUP('Données projet'!$B$9,Paramètres!$A$1:$I$89,3,0)*VLOOKUP('Données projet'!$B$9,Paramètres!$A$1:$I$89,5,0)</f>
        <v>248.63903999999994</v>
      </c>
      <c r="P106" s="13">
        <f t="shared" si="87"/>
        <v>60.294419230169922</v>
      </c>
      <c r="Q106" s="20">
        <f t="shared" si="107"/>
        <v>538.05910815921254</v>
      </c>
      <c r="R106" s="59">
        <f t="shared" si="55"/>
        <v>831.39244149254591</v>
      </c>
      <c r="S106" s="59">
        <f ca="1">AVERAGE(OFFSET($R$3,0,0,'Données projet'!$E$9+1,1))-AVERAGE(OFFSET($H$3,0,0,'Données projet'!$E$9+1,1))</f>
        <v>371.7282125501186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50.984494930698375</v>
      </c>
      <c r="AA106" s="21">
        <f>EXP(-LN(2)/25)*AA105+(1-EXP(-LN(2)/25))/(LN(2)/25)*Calculateur!V106*Calculateur!X106*VLOOKUP('Données projet'!$B$9,Paramètres!$A$1:$I$89,3,0)*0.475*44/12</f>
        <v>2.3081097570460076</v>
      </c>
      <c r="AB106" s="21">
        <f>EXP(-LN(2)/2)*AB105+(1-EXP(-LN(2)/2))/(LN(2)/2)*V106*Y106*VLOOKUP('Données projet'!$B$9,Paramètres!$A$1:$I$89,3,0)*0.475*44/12</f>
        <v>0.46197107113604707</v>
      </c>
      <c r="AC106" s="22">
        <f t="shared" si="57"/>
        <v>53.754575758880428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305.00000000000017</v>
      </c>
      <c r="AJ106" s="13">
        <f>AI106*VLOOKUP('Données projet'!$B$10,Paramètres!$A$1:$I$89,3,0)*VLOOKUP('Données projet'!$B$10,Paramètres!$A$1:$I$89,5,0)</f>
        <v>204.59400000000011</v>
      </c>
      <c r="AK106" s="13">
        <f t="shared" si="89"/>
        <v>50.75245156043249</v>
      </c>
      <c r="AL106" s="20">
        <f t="shared" si="58"/>
        <v>444.72840313442015</v>
      </c>
      <c r="AM106" s="59">
        <f t="shared" si="59"/>
        <v>738.06173646775346</v>
      </c>
      <c r="AN106" s="59">
        <f ca="1">AVERAGE(OFFSET($AM$3,0,0,'Données projet'!$E$10+1,1))-AVERAGE(OFFSET($H$3,0,0,'Données projet'!$E$10+1,1))</f>
        <v>269.67260882504996</v>
      </c>
      <c r="AO106" s="59">
        <f t="shared" si="90"/>
        <v>272.13858200810074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18.604997617682724</v>
      </c>
      <c r="AV106" s="21">
        <f>EXP(-LN(2)/25)*AV105+(1-EXP(-LN(2)/25))/(LN(2)/25)*Calculateur!AQ106*Calculateur!AS106*VLOOKUP('Données projet'!$B$10,Paramètres!$A$1:$I$89,3,0)*0.475*44/12</f>
        <v>0.88214728456484148</v>
      </c>
      <c r="AW106" s="21">
        <f>EXP(-LN(2)/2)*AW105+(1-EXP(-LN(2)/2))/(LN(2)/2)*AQ106*AT106*VLOOKUP('Données projet'!$B$10,Paramètres!$A$1:$I$89,3,0)*0.475*44/12</f>
        <v>9.5479784833528077E-6</v>
      </c>
      <c r="AX106" s="21">
        <f t="shared" si="60"/>
        <v>19.487154450226047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453.99999999999977</v>
      </c>
      <c r="BE106" s="13">
        <f>BD106*VLOOKUP('Données projet'!$B$11,Paramètres!$A$1:$I$89,3,0)*VLOOKUP('Données projet'!$B$11,Paramètres!$A$1:$I$89,5,0)</f>
        <v>253.78599999999986</v>
      </c>
      <c r="BF106" s="13">
        <f t="shared" si="91"/>
        <v>61.395945216950906</v>
      </c>
      <c r="BG106" s="20">
        <f t="shared" si="61"/>
        <v>548.94188791952263</v>
      </c>
      <c r="BH106" s="59">
        <f t="shared" si="62"/>
        <v>842.275221252856</v>
      </c>
      <c r="BI106" s="59">
        <f ca="1">AVERAGE(OFFSET($BH$3,0,0,'Données projet'!$E$11+1,1))-AVERAGE(OFFSET($H$3,0,0,'Données projet'!$E$11+1,1))</f>
        <v>330.33728077846268</v>
      </c>
      <c r="BJ106" s="59">
        <f t="shared" si="92"/>
        <v>358.38872754175208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25.550089639584208</v>
      </c>
      <c r="BQ106" s="21">
        <f>EXP(-LN(2)/25)*BQ105+(1-EXP(-LN(2)/25))/(LN(2)/25)*Calculateur!BL106*Calculateur!BN106*VLOOKUP('Données projet'!$B$11,Paramètres!$A$1:$I$89,3,0)*0.475*44/12</f>
        <v>9.9696051496031881</v>
      </c>
      <c r="BR106" s="21">
        <f>EXP(-LN(2)/2)*BR105+(1-EXP(-LN(2)/2))/(LN(2)/2)*BL106*BO106*VLOOKUP('Données projet'!$B$11,Paramètres!$A$1:$I$89,3,0)*0.475*44/12</f>
        <v>1.7230180459944686E-5</v>
      </c>
      <c r="BS106" s="22">
        <f t="shared" si="63"/>
        <v>35.519712019367859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290.99999999999994</v>
      </c>
      <c r="BZ106" s="13">
        <f>BY106*VLOOKUP('Données projet'!$B$12,Paramètres!$A$1:$I$89,3,0)*VLOOKUP('Données projet'!$B$12,Paramètres!$A$1:$I$89,5,0)</f>
        <v>276.91559999999993</v>
      </c>
      <c r="CA106" s="13">
        <f t="shared" si="93"/>
        <v>66.314766879144742</v>
      </c>
      <c r="CB106" s="20">
        <f t="shared" si="64"/>
        <v>597.79288898117682</v>
      </c>
      <c r="CC106" s="59">
        <f t="shared" si="65"/>
        <v>891.12622231451019</v>
      </c>
      <c r="CD106" s="59">
        <f ca="1">AVERAGE(OFFSET($CC$3,0,0,'Données projet'!$E$12+1,1))-AVERAGE(OFFSET($H$3,0,0,'Données projet'!$E$12+1,1))</f>
        <v>367.39143258674738</v>
      </c>
      <c r="CE106" s="59">
        <f t="shared" si="94"/>
        <v>376.02790658970292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23.634031188698923</v>
      </c>
      <c r="CL106" s="21">
        <f>EXP(-LN(2)/25)*CL105+(1-EXP(-LN(2)/25))/(LN(2)/25)*Calculateur!CG106*Calculateur!CI106*VLOOKUP('Données projet'!$B$12,Paramètres!$A$1:$I$89,3,0)*0.475*44/12</f>
        <v>1.0962543198747803</v>
      </c>
      <c r="CM106" s="21">
        <f>EXP(-LN(2)/2)*CM105+(1-EXP(-LN(2)/2))/(LN(2)/2)*CG106*CJ106*VLOOKUP('Données projet'!$B$12,Paramètres!$A$1:$I$89,3,0)*0.475*44/12</f>
        <v>1.5659088822692779E-5</v>
      </c>
      <c r="CN106" s="22">
        <f t="shared" si="66"/>
        <v>24.730301167662528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925.00000000000034</v>
      </c>
      <c r="CU106" s="17">
        <f>CT106*VLOOKUP('Données projet'!$B$13,Paramètres!$A$1:$I$89,3,0)*VLOOKUP('Données projet'!$B$13,Paramètres!$A$1:$I$89,5,0)</f>
        <v>408.85000000000014</v>
      </c>
      <c r="CV106" s="13">
        <f t="shared" si="95"/>
        <v>93.568575358321141</v>
      </c>
      <c r="CW106" s="20">
        <f t="shared" si="67"/>
        <v>875.04568541574281</v>
      </c>
      <c r="CX106" s="59">
        <f t="shared" si="68"/>
        <v>1168.3790187490761</v>
      </c>
      <c r="CY106" s="59">
        <f ca="1">AVERAGE(OFFSET($CX$3,0,0,'Données projet'!$E$13+1,1))-AVERAGE(OFFSET($H$3,0,0,'Données projet'!$E$13+1,1))</f>
        <v>500.13646131618248</v>
      </c>
      <c r="CZ106" s="59">
        <f t="shared" si="96"/>
        <v>417.58036817539306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43.367245901836988</v>
      </c>
      <c r="DG106" s="21">
        <f>EXP(-LN(2)/25)*DG105+(1-EXP(-LN(2)/25))/(LN(2)/25)*Calculateur!DB106*Calculateur!DD106*VLOOKUP('Données projet'!$B$13,Paramètres!$A$1:$I$89,3,0)*0.475*44/12</f>
        <v>15.499470935376342</v>
      </c>
      <c r="DH106" s="21">
        <f>EXP(-LN(2)/2)*DH105+(1-EXP(-LN(2)/2))/(LN(2)/2)*DB106*DE106*VLOOKUP('Données projet'!$B$13,Paramètres!$A$1:$I$89,3,0)*0.475*44/12</f>
        <v>8.4682908419678182E-4</v>
      </c>
      <c r="DI106" s="22">
        <f t="shared" si="69"/>
        <v>58.867563666297528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279.39999999999998</v>
      </c>
      <c r="O107" s="13">
        <f>N107*VLOOKUP('Données projet'!$B$9,Paramètres!$A$1:$I$89,3,0)*VLOOKUP('Données projet'!$B$9,Paramètres!$A$1:$I$89,5,0)</f>
        <v>252.80111999999994</v>
      </c>
      <c r="P107" s="13">
        <f t="shared" si="87"/>
        <v>61.185369021394209</v>
      </c>
      <c r="Q107" s="20">
        <f t="shared" si="107"/>
        <v>546.8598017122614</v>
      </c>
      <c r="R107" s="59">
        <f t="shared" si="55"/>
        <v>840.19313504559477</v>
      </c>
      <c r="S107" s="59">
        <f ca="1">AVERAGE(OFFSET($R$3,0,0,'Données projet'!$E$9+1,1))-AVERAGE(OFFSET($H$3,0,0,'Données projet'!$E$9+1,1))</f>
        <v>371.7282125501186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49.984720082578669</v>
      </c>
      <c r="AA107" s="21">
        <f>EXP(-LN(2)/25)*AA106+(1-EXP(-LN(2)/25))/(LN(2)/25)*Calculateur!V107*Calculateur!X107*VLOOKUP('Données projet'!$B$9,Paramètres!$A$1:$I$89,3,0)*0.475*44/12</f>
        <v>2.2449943743613678</v>
      </c>
      <c r="AB107" s="21">
        <f>EXP(-LN(2)/2)*AB106+(1-EXP(-LN(2)/2))/(LN(2)/2)*V107*Y107*VLOOKUP('Données projet'!$B$9,Paramètres!$A$1:$I$89,3,0)*0.475*44/12</f>
        <v>0.32666287711231184</v>
      </c>
      <c r="AC107" s="22">
        <f t="shared" si="57"/>
        <v>52.55637733405235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305.00000000000017</v>
      </c>
      <c r="AJ107" s="13">
        <f>AI107*VLOOKUP('Données projet'!$B$10,Paramètres!$A$1:$I$89,3,0)*VLOOKUP('Données projet'!$B$10,Paramètres!$A$1:$I$89,5,0)</f>
        <v>204.59400000000011</v>
      </c>
      <c r="AK107" s="13">
        <f t="shared" si="89"/>
        <v>50.75245156043249</v>
      </c>
      <c r="AL107" s="20">
        <f t="shared" si="58"/>
        <v>444.72840313442015</v>
      </c>
      <c r="AM107" s="59">
        <f t="shared" si="59"/>
        <v>738.06173646775346</v>
      </c>
      <c r="AN107" s="59">
        <f ca="1">AVERAGE(OFFSET($AM$3,0,0,'Données projet'!$E$10+1,1))-AVERAGE(OFFSET($H$3,0,0,'Données projet'!$E$10+1,1))</f>
        <v>269.67260882504996</v>
      </c>
      <c r="AO107" s="59">
        <f t="shared" si="90"/>
        <v>272.13858200810074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18.240164962327999</v>
      </c>
      <c r="AV107" s="21">
        <f>EXP(-LN(2)/25)*AV106+(1-EXP(-LN(2)/25))/(LN(2)/25)*Calculateur!AQ107*Calculateur!AS107*VLOOKUP('Données projet'!$B$10,Paramètres!$A$1:$I$89,3,0)*0.475*44/12</f>
        <v>0.85802492067830638</v>
      </c>
      <c r="AW107" s="21">
        <f>EXP(-LN(2)/2)*AW106+(1-EXP(-LN(2)/2))/(LN(2)/2)*AQ107*AT107*VLOOKUP('Données projet'!$B$10,Paramètres!$A$1:$I$89,3,0)*0.475*44/12</f>
        <v>6.7514403322020178E-6</v>
      </c>
      <c r="AX107" s="21">
        <f t="shared" si="60"/>
        <v>19.098196634446637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453.99999999999977</v>
      </c>
      <c r="BE107" s="13">
        <f>BD107*VLOOKUP('Données projet'!$B$11,Paramètres!$A$1:$I$89,3,0)*VLOOKUP('Données projet'!$B$11,Paramètres!$A$1:$I$89,5,0)</f>
        <v>253.78599999999986</v>
      </c>
      <c r="BF107" s="13">
        <f t="shared" si="91"/>
        <v>61.395945216950906</v>
      </c>
      <c r="BG107" s="20">
        <f t="shared" si="61"/>
        <v>548.94188791952263</v>
      </c>
      <c r="BH107" s="59">
        <f t="shared" si="62"/>
        <v>842.275221252856</v>
      </c>
      <c r="BI107" s="59">
        <f ca="1">AVERAGE(OFFSET($BH$3,0,0,'Données projet'!$E$11+1,1))-AVERAGE(OFFSET($H$3,0,0,'Données projet'!$E$11+1,1))</f>
        <v>330.33728077846268</v>
      </c>
      <c r="BJ107" s="59">
        <f t="shared" si="92"/>
        <v>358.38872754175208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25.049067965767847</v>
      </c>
      <c r="BQ107" s="21">
        <f>EXP(-LN(2)/25)*BQ106+(1-EXP(-LN(2)/25))/(LN(2)/25)*Calculateur!BL107*Calculateur!BN107*VLOOKUP('Données projet'!$B$11,Paramètres!$A$1:$I$89,3,0)*0.475*44/12</f>
        <v>9.6969857725085404</v>
      </c>
      <c r="BR107" s="21">
        <f>EXP(-LN(2)/2)*BR106+(1-EXP(-LN(2)/2))/(LN(2)/2)*BL107*BO107*VLOOKUP('Données projet'!$B$11,Paramètres!$A$1:$I$89,3,0)*0.475*44/12</f>
        <v>1.2183577444294834E-5</v>
      </c>
      <c r="BS107" s="22">
        <f t="shared" si="63"/>
        <v>34.746065921853834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290.99999999999994</v>
      </c>
      <c r="BZ107" s="13">
        <f>BY107*VLOOKUP('Données projet'!$B$12,Paramètres!$A$1:$I$89,3,0)*VLOOKUP('Données projet'!$B$12,Paramètres!$A$1:$I$89,5,0)</f>
        <v>276.91559999999993</v>
      </c>
      <c r="CA107" s="13">
        <f t="shared" si="93"/>
        <v>66.314766879144742</v>
      </c>
      <c r="CB107" s="20">
        <f t="shared" si="64"/>
        <v>597.79288898117682</v>
      </c>
      <c r="CC107" s="59">
        <f t="shared" si="65"/>
        <v>891.12622231451019</v>
      </c>
      <c r="CD107" s="59">
        <f ca="1">AVERAGE(OFFSET($CC$3,0,0,'Données projet'!$E$12+1,1))-AVERAGE(OFFSET($H$3,0,0,'Données projet'!$E$12+1,1))</f>
        <v>367.39143258674738</v>
      </c>
      <c r="CE107" s="59">
        <f t="shared" si="94"/>
        <v>376.02790658970292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23.170582252424165</v>
      </c>
      <c r="CL107" s="21">
        <f>EXP(-LN(2)/25)*CL106+(1-EXP(-LN(2)/25))/(LN(2)/25)*Calculateur!CG107*Calculateur!CI107*VLOOKUP('Données projet'!$B$12,Paramètres!$A$1:$I$89,3,0)*0.475*44/12</f>
        <v>1.0662771878482953</v>
      </c>
      <c r="CM107" s="21">
        <f>EXP(-LN(2)/2)*CM106+(1-EXP(-LN(2)/2))/(LN(2)/2)*CG107*CJ107*VLOOKUP('Données projet'!$B$12,Paramètres!$A$1:$I$89,3,0)*0.475*44/12</f>
        <v>1.1072647893728535E-5</v>
      </c>
      <c r="CN107" s="22">
        <f t="shared" si="66"/>
        <v>24.236870512920355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925.00000000000034</v>
      </c>
      <c r="CU107" s="17">
        <f>CT107*VLOOKUP('Données projet'!$B$13,Paramètres!$A$1:$I$89,3,0)*VLOOKUP('Données projet'!$B$13,Paramètres!$A$1:$I$89,5,0)</f>
        <v>408.85000000000014</v>
      </c>
      <c r="CV107" s="13">
        <f t="shared" si="95"/>
        <v>93.568575358321141</v>
      </c>
      <c r="CW107" s="20">
        <f t="shared" si="67"/>
        <v>875.04568541574281</v>
      </c>
      <c r="CX107" s="59">
        <f t="shared" si="68"/>
        <v>1168.3790187490761</v>
      </c>
      <c r="CY107" s="59">
        <f ca="1">AVERAGE(OFFSET($CX$3,0,0,'Données projet'!$E$13+1,1))-AVERAGE(OFFSET($H$3,0,0,'Données projet'!$E$13+1,1))</f>
        <v>500.13646131618248</v>
      </c>
      <c r="CZ107" s="59">
        <f t="shared" si="96"/>
        <v>417.58036817539306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42.516840661110102</v>
      </c>
      <c r="DG107" s="21">
        <f>EXP(-LN(2)/25)*DG106+(1-EXP(-LN(2)/25))/(LN(2)/25)*Calculateur!DB107*Calculateur!DD107*VLOOKUP('Données projet'!$B$13,Paramètres!$A$1:$I$89,3,0)*0.475*44/12</f>
        <v>15.075637087566724</v>
      </c>
      <c r="DH107" s="21">
        <f>EXP(-LN(2)/2)*DH106+(1-EXP(-LN(2)/2))/(LN(2)/2)*DB107*DE107*VLOOKUP('Données projet'!$B$13,Paramètres!$A$1:$I$89,3,0)*0.475*44/12</f>
        <v>5.9879858794153822E-4</v>
      </c>
      <c r="DI107" s="22">
        <f t="shared" si="69"/>
        <v>57.593076547264772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284</v>
      </c>
      <c r="L108" s="12">
        <f>VLOOKUP(A108,'Données projet'!$A$35:$I$55,9,0)</f>
        <v>4.5999999999999996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284</v>
      </c>
      <c r="O108" s="13">
        <f>N108*VLOOKUP('Données projet'!$B$9,Paramètres!$A$1:$I$89,3,0)*VLOOKUP('Données projet'!$B$9,Paramètres!$A$1:$I$89,5,0)</f>
        <v>256.96320000000003</v>
      </c>
      <c r="P108" s="13">
        <f t="shared" si="87"/>
        <v>62.074612956838024</v>
      </c>
      <c r="Q108" s="20">
        <f t="shared" si="107"/>
        <v>555.65752423315951</v>
      </c>
      <c r="R108" s="59">
        <f t="shared" si="55"/>
        <v>848.99085756649288</v>
      </c>
      <c r="S108" s="59">
        <f ca="1">AVERAGE(OFFSET($R$3,0,0,'Données projet'!$E$9+1,1))-AVERAGE(OFFSET($H$3,0,0,'Données projet'!$E$9+1,1))</f>
        <v>371.7282125501186</v>
      </c>
      <c r="T108" s="59">
        <f t="shared" si="88"/>
        <v>231.36959598460686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20</v>
      </c>
      <c r="W108" s="16">
        <f>IF(ISNA(VLOOKUP(A108,'Données projet'!$A$35:$I$55,5,0)),0%,VLOOKUP(A108,'Données projet'!$A$35:$I$55,5,0)*VLOOKUP('Données projet'!$B$9,Paramètres!$A$1:$I$89,7,0))</f>
        <v>0.34400000000000003</v>
      </c>
      <c r="X108" s="16">
        <f>IF(ISNA(VLOOKUP(A108,'Données projet'!$A$35:$I$55,6,0)),0%,VLOOKUP(A108,'Données projet'!$A$35:$I$55,6,0)*VLOOKUP('Données projet'!$B$9,Paramètres!$A$1:$I$89,7,0))</f>
        <v>1.72E-2</v>
      </c>
      <c r="Y108" s="16">
        <f>IF(ISNA(VLOOKUP(A108,'Données projet'!$A$35:$I$55,7,0)),0%,VLOOKUP(A108,'Données projet'!$A$35:$I$55,7,0))</f>
        <v>0.06</v>
      </c>
      <c r="Z108" s="21">
        <f>EXP(-LN(2)/35)*Z107+(1-EXP(-LN(2)/35))/(LN(2)/35)*V108*W108*VLOOKUP('Données projet'!$B$9,Paramètres!$A$1:$I$89,3,0)*0.475*44/12</f>
        <v>55.886129853309868</v>
      </c>
      <c r="AA108" s="21">
        <f>EXP(-LN(2)/25)*AA107+(1-EXP(-LN(2)/25))/(LN(2)/25)*Calculateur!V108*Calculateur!X108*VLOOKUP('Données projet'!$B$9,Paramètres!$A$1:$I$89,3,0)*0.475*44/12</f>
        <v>2.5263290972721504</v>
      </c>
      <c r="AB108" s="21">
        <f>EXP(-LN(2)/2)*AB107+(1-EXP(-LN(2)/2))/(LN(2)/2)*V108*Y108*VLOOKUP('Données projet'!$B$9,Paramètres!$A$1:$I$89,3,0)*0.475*44/12</f>
        <v>1.2554293183699698</v>
      </c>
      <c r="AC108" s="22">
        <f t="shared" si="57"/>
        <v>59.667888268951991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305.00000000000017</v>
      </c>
      <c r="AJ108" s="13">
        <f>AI108*VLOOKUP('Données projet'!$B$10,Paramètres!$A$1:$I$89,3,0)*VLOOKUP('Données projet'!$B$10,Paramètres!$A$1:$I$89,5,0)</f>
        <v>204.59400000000011</v>
      </c>
      <c r="AK108" s="13">
        <f t="shared" si="89"/>
        <v>50.75245156043249</v>
      </c>
      <c r="AL108" s="20">
        <f t="shared" si="58"/>
        <v>444.72840313442015</v>
      </c>
      <c r="AM108" s="59">
        <f t="shared" si="59"/>
        <v>738.06173646775346</v>
      </c>
      <c r="AN108" s="59">
        <f ca="1">AVERAGE(OFFSET($AM$3,0,0,'Données projet'!$E$10+1,1))-AVERAGE(OFFSET($H$3,0,0,'Données projet'!$E$10+1,1))</f>
        <v>269.67260882504996</v>
      </c>
      <c r="AO108" s="59">
        <f t="shared" si="90"/>
        <v>272.13858200810074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17.882486452818831</v>
      </c>
      <c r="AV108" s="21">
        <f>EXP(-LN(2)/25)*AV107+(1-EXP(-LN(2)/25))/(LN(2)/25)*Calculateur!AQ108*Calculateur!AS108*VLOOKUP('Données projet'!$B$10,Paramètres!$A$1:$I$89,3,0)*0.475*44/12</f>
        <v>0.83456218410078853</v>
      </c>
      <c r="AW108" s="21">
        <f>EXP(-LN(2)/2)*AW107+(1-EXP(-LN(2)/2))/(LN(2)/2)*AQ108*AT108*VLOOKUP('Données projet'!$B$10,Paramètres!$A$1:$I$89,3,0)*0.475*44/12</f>
        <v>4.7739892416764039E-6</v>
      </c>
      <c r="AX108" s="21">
        <f t="shared" si="60"/>
        <v>18.717053410908864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453.99999999999977</v>
      </c>
      <c r="BE108" s="13">
        <f>BD108*VLOOKUP('Données projet'!$B$11,Paramètres!$A$1:$I$89,3,0)*VLOOKUP('Données projet'!$B$11,Paramètres!$A$1:$I$89,5,0)</f>
        <v>253.78599999999986</v>
      </c>
      <c r="BF108" s="13">
        <f t="shared" si="91"/>
        <v>61.395945216950906</v>
      </c>
      <c r="BG108" s="20">
        <f t="shared" si="61"/>
        <v>548.94188791952263</v>
      </c>
      <c r="BH108" s="59">
        <f t="shared" si="62"/>
        <v>842.275221252856</v>
      </c>
      <c r="BI108" s="59">
        <f ca="1">AVERAGE(OFFSET($BH$3,0,0,'Données projet'!$E$11+1,1))-AVERAGE(OFFSET($H$3,0,0,'Données projet'!$E$11+1,1))</f>
        <v>330.33728077846268</v>
      </c>
      <c r="BJ108" s="59">
        <f t="shared" si="92"/>
        <v>358.38872754175208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24.557871021381981</v>
      </c>
      <c r="BQ108" s="21">
        <f>EXP(-LN(2)/25)*BQ107+(1-EXP(-LN(2)/25))/(LN(2)/25)*Calculateur!BL108*Calculateur!BN108*VLOOKUP('Données projet'!$B$11,Paramètres!$A$1:$I$89,3,0)*0.475*44/12</f>
        <v>9.4318211866169754</v>
      </c>
      <c r="BR108" s="21">
        <f>EXP(-LN(2)/2)*BR107+(1-EXP(-LN(2)/2))/(LN(2)/2)*BL108*BO108*VLOOKUP('Données projet'!$B$11,Paramètres!$A$1:$I$89,3,0)*0.475*44/12</f>
        <v>8.6150902299723429E-6</v>
      </c>
      <c r="BS108" s="22">
        <f t="shared" si="63"/>
        <v>33.989700823089187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290.99999999999994</v>
      </c>
      <c r="BZ108" s="13">
        <f>BY108*VLOOKUP('Données projet'!$B$12,Paramètres!$A$1:$I$89,3,0)*VLOOKUP('Données projet'!$B$12,Paramètres!$A$1:$I$89,5,0)</f>
        <v>276.91559999999993</v>
      </c>
      <c r="CA108" s="13">
        <f t="shared" si="93"/>
        <v>66.314766879144742</v>
      </c>
      <c r="CB108" s="20">
        <f t="shared" si="64"/>
        <v>597.79288898117682</v>
      </c>
      <c r="CC108" s="59">
        <f t="shared" si="65"/>
        <v>891.12622231451019</v>
      </c>
      <c r="CD108" s="59">
        <f ca="1">AVERAGE(OFFSET($CC$3,0,0,'Données projet'!$E$12+1,1))-AVERAGE(OFFSET($H$3,0,0,'Données projet'!$E$12+1,1))</f>
        <v>367.39143258674738</v>
      </c>
      <c r="CE108" s="59">
        <f t="shared" si="94"/>
        <v>376.02790658970292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22.716221267113816</v>
      </c>
      <c r="CL108" s="21">
        <f>EXP(-LN(2)/25)*CL107+(1-EXP(-LN(2)/25))/(LN(2)/25)*Calculateur!CG108*Calculateur!CI108*VLOOKUP('Données projet'!$B$12,Paramètres!$A$1:$I$89,3,0)*0.475*44/12</f>
        <v>1.0371197820735034</v>
      </c>
      <c r="CM108" s="21">
        <f>EXP(-LN(2)/2)*CM107+(1-EXP(-LN(2)/2))/(LN(2)/2)*CG108*CJ108*VLOOKUP('Données projet'!$B$12,Paramètres!$A$1:$I$89,3,0)*0.475*44/12</f>
        <v>7.8295444113463895E-6</v>
      </c>
      <c r="CN108" s="22">
        <f t="shared" si="66"/>
        <v>23.753348878731732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925.00000000000034</v>
      </c>
      <c r="CU108" s="17">
        <f>CT108*VLOOKUP('Données projet'!$B$13,Paramètres!$A$1:$I$89,3,0)*VLOOKUP('Données projet'!$B$13,Paramètres!$A$1:$I$89,5,0)</f>
        <v>408.85000000000014</v>
      </c>
      <c r="CV108" s="13">
        <f t="shared" si="95"/>
        <v>93.568575358321141</v>
      </c>
      <c r="CW108" s="20">
        <f t="shared" si="67"/>
        <v>875.04568541574281</v>
      </c>
      <c r="CX108" s="59">
        <f t="shared" si="68"/>
        <v>1168.3790187490761</v>
      </c>
      <c r="CY108" s="59">
        <f ca="1">AVERAGE(OFFSET($CX$3,0,0,'Données projet'!$E$13+1,1))-AVERAGE(OFFSET($H$3,0,0,'Données projet'!$E$13+1,1))</f>
        <v>500.13646131618248</v>
      </c>
      <c r="CZ108" s="59">
        <f t="shared" si="96"/>
        <v>417.58036817539306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41.683111348457892</v>
      </c>
      <c r="DG108" s="21">
        <f>EXP(-LN(2)/25)*DG107+(1-EXP(-LN(2)/25))/(LN(2)/25)*Calculateur!DB108*Calculateur!DD108*VLOOKUP('Données projet'!$B$13,Paramètres!$A$1:$I$89,3,0)*0.475*44/12</f>
        <v>14.663392998613913</v>
      </c>
      <c r="DH108" s="21">
        <f>EXP(-LN(2)/2)*DH107+(1-EXP(-LN(2)/2))/(LN(2)/2)*DB108*DE108*VLOOKUP('Données projet'!$B$13,Paramètres!$A$1:$I$89,3,0)*0.475*44/12</f>
        <v>4.2341454209839091E-4</v>
      </c>
      <c r="DI108" s="22">
        <f t="shared" si="69"/>
        <v>56.346927761613905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4.2</v>
      </c>
      <c r="N109" s="13">
        <f>IF('Données projet'!$A$36&gt;35,N108+M109-V108,IF(A109&lt;'Données projet'!$A$36,$K$205^A109,IF(A109='Données projet'!$A$36,'Données projet'!$B$36,N108+M109-V108)))</f>
        <v>268.2</v>
      </c>
      <c r="O109" s="13">
        <f>N109*VLOOKUP('Données projet'!$B$9,Paramètres!$A$1:$I$89,3,0)*VLOOKUP('Données projet'!$B$9,Paramètres!$A$1:$I$89,5,0)</f>
        <v>242.66735999999997</v>
      </c>
      <c r="P109" s="13">
        <f t="shared" si="87"/>
        <v>59.013056290731797</v>
      </c>
      <c r="Q109" s="20">
        <f t="shared" si="107"/>
        <v>525.42672503969118</v>
      </c>
      <c r="R109" s="59">
        <f t="shared" si="55"/>
        <v>818.76005837302455</v>
      </c>
      <c r="S109" s="59">
        <f ca="1">AVERAGE(OFFSET($R$3,0,0,'Données projet'!$E$9+1,1))-AVERAGE(OFFSET($H$3,0,0,'Données projet'!$E$9+1,1))</f>
        <v>371.7282125501186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54.790236934059841</v>
      </c>
      <c r="AA109" s="21">
        <f>EXP(-LN(2)/25)*AA108+(1-EXP(-LN(2)/25))/(LN(2)/25)*Calculateur!V109*Calculateur!X109*VLOOKUP('Données projet'!$B$9,Paramètres!$A$1:$I$89,3,0)*0.475*44/12</f>
        <v>2.4572464952533704</v>
      </c>
      <c r="AB109" s="21">
        <f>EXP(-LN(2)/2)*AB108+(1-EXP(-LN(2)/2))/(LN(2)/2)*V109*Y109*VLOOKUP('Données projet'!$B$9,Paramètres!$A$1:$I$89,3,0)*0.475*44/12</f>
        <v>0.88772258431981088</v>
      </c>
      <c r="AC109" s="22">
        <f t="shared" si="57"/>
        <v>58.135206013633024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305.00000000000017</v>
      </c>
      <c r="AJ109" s="13">
        <f>AI109*VLOOKUP('Données projet'!$B$10,Paramètres!$A$1:$I$89,3,0)*VLOOKUP('Données projet'!$B$10,Paramètres!$A$1:$I$89,5,0)</f>
        <v>204.59400000000011</v>
      </c>
      <c r="AK109" s="13">
        <f t="shared" si="89"/>
        <v>50.75245156043249</v>
      </c>
      <c r="AL109" s="20">
        <f t="shared" si="58"/>
        <v>444.72840313442015</v>
      </c>
      <c r="AM109" s="59">
        <f t="shared" si="59"/>
        <v>738.06173646775346</v>
      </c>
      <c r="AN109" s="59">
        <f ca="1">AVERAGE(OFFSET($AM$3,0,0,'Données projet'!$E$10+1,1))-AVERAGE(OFFSET($H$3,0,0,'Données projet'!$E$10+1,1))</f>
        <v>269.67260882504996</v>
      </c>
      <c r="AO109" s="59">
        <f t="shared" si="90"/>
        <v>272.13858200810074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17.531821800718792</v>
      </c>
      <c r="AV109" s="21">
        <f>EXP(-LN(2)/25)*AV108+(1-EXP(-LN(2)/25))/(LN(2)/25)*Calculateur!AQ109*Calculateur!AS109*VLOOKUP('Données projet'!$B$10,Paramètres!$A$1:$I$89,3,0)*0.475*44/12</f>
        <v>0.81174103728883462</v>
      </c>
      <c r="AW109" s="21">
        <f>EXP(-LN(2)/2)*AW108+(1-EXP(-LN(2)/2))/(LN(2)/2)*AQ109*AT109*VLOOKUP('Données projet'!$B$10,Paramètres!$A$1:$I$89,3,0)*0.475*44/12</f>
        <v>3.3757201661010089E-6</v>
      </c>
      <c r="AX109" s="21">
        <f t="shared" si="60"/>
        <v>18.34356621372779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453.99999999999977</v>
      </c>
      <c r="BE109" s="13">
        <f>BD109*VLOOKUP('Données projet'!$B$11,Paramètres!$A$1:$I$89,3,0)*VLOOKUP('Données projet'!$B$11,Paramètres!$A$1:$I$89,5,0)</f>
        <v>253.78599999999986</v>
      </c>
      <c r="BF109" s="13">
        <f t="shared" si="91"/>
        <v>61.395945216950906</v>
      </c>
      <c r="BG109" s="20">
        <f t="shared" si="61"/>
        <v>548.94188791952263</v>
      </c>
      <c r="BH109" s="59">
        <f t="shared" si="62"/>
        <v>842.275221252856</v>
      </c>
      <c r="BI109" s="59">
        <f ca="1">AVERAGE(OFFSET($BH$3,0,0,'Données projet'!$E$11+1,1))-AVERAGE(OFFSET($H$3,0,0,'Données projet'!$E$11+1,1))</f>
        <v>330.33728077846268</v>
      </c>
      <c r="BJ109" s="59">
        <f t="shared" si="92"/>
        <v>358.38872754175208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24.076306149474966</v>
      </c>
      <c r="BQ109" s="21">
        <f>EXP(-LN(2)/25)*BQ108+(1-EXP(-LN(2)/25))/(LN(2)/25)*Calculateur!BL109*Calculateur!BN109*VLOOKUP('Données projet'!$B$11,Paramètres!$A$1:$I$89,3,0)*0.475*44/12</f>
        <v>9.1739075402710153</v>
      </c>
      <c r="BR109" s="21">
        <f>EXP(-LN(2)/2)*BR108+(1-EXP(-LN(2)/2))/(LN(2)/2)*BL109*BO109*VLOOKUP('Données projet'!$B$11,Paramètres!$A$1:$I$89,3,0)*0.475*44/12</f>
        <v>6.091788722147417E-6</v>
      </c>
      <c r="BS109" s="22">
        <f t="shared" si="63"/>
        <v>33.250219781534703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290.99999999999994</v>
      </c>
      <c r="BZ109" s="13">
        <f>BY109*VLOOKUP('Données projet'!$B$12,Paramètres!$A$1:$I$89,3,0)*VLOOKUP('Données projet'!$B$12,Paramètres!$A$1:$I$89,5,0)</f>
        <v>276.91559999999993</v>
      </c>
      <c r="CA109" s="13">
        <f t="shared" si="93"/>
        <v>66.314766879144742</v>
      </c>
      <c r="CB109" s="20">
        <f t="shared" si="64"/>
        <v>597.79288898117682</v>
      </c>
      <c r="CC109" s="59">
        <f t="shared" si="65"/>
        <v>891.12622231451019</v>
      </c>
      <c r="CD109" s="59">
        <f ca="1">AVERAGE(OFFSET($CC$3,0,0,'Données projet'!$E$12+1,1))-AVERAGE(OFFSET($H$3,0,0,'Données projet'!$E$12+1,1))</f>
        <v>367.39143258674738</v>
      </c>
      <c r="CE109" s="59">
        <f t="shared" si="94"/>
        <v>376.02790658970292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22.270770023592569</v>
      </c>
      <c r="CL109" s="21">
        <f>EXP(-LN(2)/25)*CL108+(1-EXP(-LN(2)/25))/(LN(2)/25)*Calculateur!CG109*Calculateur!CI109*VLOOKUP('Données projet'!$B$12,Paramètres!$A$1:$I$89,3,0)*0.475*44/12</f>
        <v>1.0087596870929445</v>
      </c>
      <c r="CM109" s="21">
        <f>EXP(-LN(2)/2)*CM108+(1-EXP(-LN(2)/2))/(LN(2)/2)*CG109*CJ109*VLOOKUP('Données projet'!$B$12,Paramètres!$A$1:$I$89,3,0)*0.475*44/12</f>
        <v>5.5363239468642676E-6</v>
      </c>
      <c r="CN109" s="22">
        <f t="shared" si="66"/>
        <v>23.279535247009459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925.00000000000034</v>
      </c>
      <c r="CU109" s="17">
        <f>CT109*VLOOKUP('Données projet'!$B$13,Paramètres!$A$1:$I$89,3,0)*VLOOKUP('Données projet'!$B$13,Paramètres!$A$1:$I$89,5,0)</f>
        <v>408.85000000000014</v>
      </c>
      <c r="CV109" s="13">
        <f t="shared" si="95"/>
        <v>93.568575358321141</v>
      </c>
      <c r="CW109" s="20">
        <f t="shared" si="67"/>
        <v>875.04568541574281</v>
      </c>
      <c r="CX109" s="59">
        <f t="shared" si="68"/>
        <v>1168.3790187490761</v>
      </c>
      <c r="CY109" s="59">
        <f ca="1">AVERAGE(OFFSET($CX$3,0,0,'Données projet'!$E$13+1,1))-AVERAGE(OFFSET($H$3,0,0,'Données projet'!$E$13+1,1))</f>
        <v>500.13646131618248</v>
      </c>
      <c r="CZ109" s="59">
        <f t="shared" si="96"/>
        <v>417.58036817539306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40.865730959102123</v>
      </c>
      <c r="DG109" s="21">
        <f>EXP(-LN(2)/25)*DG108+(1-EXP(-LN(2)/25))/(LN(2)/25)*Calculateur!DB109*Calculateur!DD109*VLOOKUP('Données projet'!$B$13,Paramètres!$A$1:$I$89,3,0)*0.475*44/12</f>
        <v>14.262421745952492</v>
      </c>
      <c r="DH109" s="21">
        <f>EXP(-LN(2)/2)*DH108+(1-EXP(-LN(2)/2))/(LN(2)/2)*DB109*DE109*VLOOKUP('Données projet'!$B$13,Paramètres!$A$1:$I$89,3,0)*0.475*44/12</f>
        <v>2.9939929397076911E-4</v>
      </c>
      <c r="DI109" s="22">
        <f t="shared" si="69"/>
        <v>55.12845210434859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4.2</v>
      </c>
      <c r="N110" s="13">
        <f>IF('Données projet'!$A$36&gt;35,N109+M110-V109,IF(A110&lt;'Données projet'!$A$36,$K$205^A110,IF(A110='Données projet'!$A$36,'Données projet'!$B$36,N109+M110-V109)))</f>
        <v>272.39999999999998</v>
      </c>
      <c r="O110" s="13">
        <f>N110*VLOOKUP('Données projet'!$B$9,Paramètres!$A$1:$I$89,3,0)*VLOOKUP('Données projet'!$B$9,Paramètres!$A$1:$I$89,5,0)</f>
        <v>246.46751999999995</v>
      </c>
      <c r="P110" s="13">
        <f t="shared" si="87"/>
        <v>59.828888074216977</v>
      </c>
      <c r="Q110" s="20">
        <f t="shared" si="107"/>
        <v>533.46624406259446</v>
      </c>
      <c r="R110" s="59">
        <f t="shared" si="55"/>
        <v>826.79957739592783</v>
      </c>
      <c r="S110" s="59">
        <f ca="1">AVERAGE(OFFSET($R$3,0,0,'Données projet'!$E$9+1,1))-AVERAGE(OFFSET($H$3,0,0,'Données projet'!$E$9+1,1))</f>
        <v>371.7282125501186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53.715833806527634</v>
      </c>
      <c r="AA110" s="21">
        <f>EXP(-LN(2)/25)*AA109+(1-EXP(-LN(2)/25))/(LN(2)/25)*Calculateur!V110*Calculateur!X110*VLOOKUP('Données projet'!$B$9,Paramètres!$A$1:$I$89,3,0)*0.475*44/12</f>
        <v>2.3900529606196899</v>
      </c>
      <c r="AB110" s="21">
        <f>EXP(-LN(2)/2)*AB109+(1-EXP(-LN(2)/2))/(LN(2)/2)*V110*Y110*VLOOKUP('Données projet'!$B$9,Paramètres!$A$1:$I$89,3,0)*0.475*44/12</f>
        <v>0.62771465918498504</v>
      </c>
      <c r="AC110" s="22">
        <f t="shared" si="57"/>
        <v>56.733601426332314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305.00000000000017</v>
      </c>
      <c r="AJ110" s="13">
        <f>AI110*VLOOKUP('Données projet'!$B$10,Paramètres!$A$1:$I$89,3,0)*VLOOKUP('Données projet'!$B$10,Paramètres!$A$1:$I$89,5,0)</f>
        <v>204.59400000000011</v>
      </c>
      <c r="AK110" s="13">
        <f t="shared" si="89"/>
        <v>50.75245156043249</v>
      </c>
      <c r="AL110" s="20">
        <f t="shared" si="58"/>
        <v>444.72840313442015</v>
      </c>
      <c r="AM110" s="59">
        <f t="shared" si="59"/>
        <v>738.06173646775346</v>
      </c>
      <c r="AN110" s="59">
        <f ca="1">AVERAGE(OFFSET($AM$3,0,0,'Données projet'!$E$10+1,1))-AVERAGE(OFFSET($H$3,0,0,'Données projet'!$E$10+1,1))</f>
        <v>269.67260882504996</v>
      </c>
      <c r="AO110" s="59">
        <f t="shared" si="90"/>
        <v>272.13858200810074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17.188033468562114</v>
      </c>
      <c r="AV110" s="21">
        <f>EXP(-LN(2)/25)*AV109+(1-EXP(-LN(2)/25))/(LN(2)/25)*Calculateur!AQ110*Calculateur!AS110*VLOOKUP('Données projet'!$B$10,Paramètres!$A$1:$I$89,3,0)*0.475*44/12</f>
        <v>0.78954393593656558</v>
      </c>
      <c r="AW110" s="21">
        <f>EXP(-LN(2)/2)*AW109+(1-EXP(-LN(2)/2))/(LN(2)/2)*AQ110*AT110*VLOOKUP('Données projet'!$B$10,Paramètres!$A$1:$I$89,3,0)*0.475*44/12</f>
        <v>2.3869946208382019E-6</v>
      </c>
      <c r="AX110" s="21">
        <f t="shared" si="60"/>
        <v>17.977579791493298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453.99999999999977</v>
      </c>
      <c r="BE110" s="13">
        <f>BD110*VLOOKUP('Données projet'!$B$11,Paramètres!$A$1:$I$89,3,0)*VLOOKUP('Données projet'!$B$11,Paramètres!$A$1:$I$89,5,0)</f>
        <v>253.78599999999986</v>
      </c>
      <c r="BF110" s="13">
        <f t="shared" si="91"/>
        <v>61.395945216950906</v>
      </c>
      <c r="BG110" s="20">
        <f t="shared" si="61"/>
        <v>548.94188791952263</v>
      </c>
      <c r="BH110" s="59">
        <f t="shared" si="62"/>
        <v>842.275221252856</v>
      </c>
      <c r="BI110" s="59">
        <f ca="1">AVERAGE(OFFSET($BH$3,0,0,'Données projet'!$E$11+1,1))-AVERAGE(OFFSET($H$3,0,0,'Données projet'!$E$11+1,1))</f>
        <v>330.33728077846268</v>
      </c>
      <c r="BJ110" s="59">
        <f t="shared" si="92"/>
        <v>358.38872754175208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23.604184470980481</v>
      </c>
      <c r="BQ110" s="21">
        <f>EXP(-LN(2)/25)*BQ109+(1-EXP(-LN(2)/25))/(LN(2)/25)*Calculateur!BL110*Calculateur!BN110*VLOOKUP('Données projet'!$B$11,Paramètres!$A$1:$I$89,3,0)*0.475*44/12</f>
        <v>8.9230465561474741</v>
      </c>
      <c r="BR110" s="21">
        <f>EXP(-LN(2)/2)*BR109+(1-EXP(-LN(2)/2))/(LN(2)/2)*BL110*BO110*VLOOKUP('Données projet'!$B$11,Paramètres!$A$1:$I$89,3,0)*0.475*44/12</f>
        <v>4.3075451149861715E-6</v>
      </c>
      <c r="BS110" s="22">
        <f t="shared" si="63"/>
        <v>32.527235334673065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290.99999999999994</v>
      </c>
      <c r="BZ110" s="13">
        <f>BY110*VLOOKUP('Données projet'!$B$12,Paramètres!$A$1:$I$89,3,0)*VLOOKUP('Données projet'!$B$12,Paramètres!$A$1:$I$89,5,0)</f>
        <v>276.91559999999993</v>
      </c>
      <c r="CA110" s="13">
        <f t="shared" si="93"/>
        <v>66.314766879144742</v>
      </c>
      <c r="CB110" s="20">
        <f t="shared" si="64"/>
        <v>597.79288898117682</v>
      </c>
      <c r="CC110" s="59">
        <f t="shared" si="65"/>
        <v>891.12622231451019</v>
      </c>
      <c r="CD110" s="59">
        <f ca="1">AVERAGE(OFFSET($CC$3,0,0,'Données projet'!$E$12+1,1))-AVERAGE(OFFSET($H$3,0,0,'Données projet'!$E$12+1,1))</f>
        <v>367.39143258674738</v>
      </c>
      <c r="CE110" s="59">
        <f t="shared" si="94"/>
        <v>376.02790658970292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21.834053807258339</v>
      </c>
      <c r="CL110" s="21">
        <f>EXP(-LN(2)/25)*CL109+(1-EXP(-LN(2)/25))/(LN(2)/25)*Calculateur!CG110*Calculateur!CI110*VLOOKUP('Données projet'!$B$12,Paramètres!$A$1:$I$89,3,0)*0.475*44/12</f>
        <v>0.98117510040102152</v>
      </c>
      <c r="CM110" s="21">
        <f>EXP(-LN(2)/2)*CM109+(1-EXP(-LN(2)/2))/(LN(2)/2)*CG110*CJ110*VLOOKUP('Données projet'!$B$12,Paramètres!$A$1:$I$89,3,0)*0.475*44/12</f>
        <v>3.9147722056731947E-6</v>
      </c>
      <c r="CN110" s="22">
        <f t="shared" si="66"/>
        <v>22.815232822431565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925.00000000000034</v>
      </c>
      <c r="CU110" s="17">
        <f>CT110*VLOOKUP('Données projet'!$B$13,Paramètres!$A$1:$I$89,3,0)*VLOOKUP('Données projet'!$B$13,Paramètres!$A$1:$I$89,5,0)</f>
        <v>408.85000000000014</v>
      </c>
      <c r="CV110" s="13">
        <f t="shared" si="95"/>
        <v>93.568575358321141</v>
      </c>
      <c r="CW110" s="20">
        <f t="shared" si="67"/>
        <v>875.04568541574281</v>
      </c>
      <c r="CX110" s="59">
        <f t="shared" si="68"/>
        <v>1168.3790187490761</v>
      </c>
      <c r="CY110" s="59">
        <f ca="1">AVERAGE(OFFSET($CX$3,0,0,'Données projet'!$E$13+1,1))-AVERAGE(OFFSET($H$3,0,0,'Données projet'!$E$13+1,1))</f>
        <v>500.13646131618248</v>
      </c>
      <c r="CZ110" s="59">
        <f t="shared" si="96"/>
        <v>417.58036817539306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40.06437890062881</v>
      </c>
      <c r="DG110" s="21">
        <f>EXP(-LN(2)/25)*DG109+(1-EXP(-LN(2)/25))/(LN(2)/25)*Calculateur!DB110*Calculateur!DD110*VLOOKUP('Données projet'!$B$13,Paramètres!$A$1:$I$89,3,0)*0.475*44/12</f>
        <v>13.872415073281259</v>
      </c>
      <c r="DH110" s="21">
        <f>EXP(-LN(2)/2)*DH109+(1-EXP(-LN(2)/2))/(LN(2)/2)*DB110*DE110*VLOOKUP('Données projet'!$B$13,Paramètres!$A$1:$I$89,3,0)*0.475*44/12</f>
        <v>2.1170727104919546E-4</v>
      </c>
      <c r="DI110" s="22">
        <f t="shared" si="69"/>
        <v>53.93700568118112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4.2</v>
      </c>
      <c r="N111" s="13">
        <f>IF('Données projet'!$A$36&gt;35,N110+M111-V110,IF(A111&lt;'Données projet'!$A$36,$K$205^A111,IF(A111='Données projet'!$A$36,'Données projet'!$B$36,N110+M111-V110)))</f>
        <v>276.59999999999997</v>
      </c>
      <c r="O111" s="13">
        <f>N111*VLOOKUP('Données projet'!$B$9,Paramètres!$A$1:$I$89,3,0)*VLOOKUP('Données projet'!$B$9,Paramètres!$A$1:$I$89,5,0)</f>
        <v>250.26767999999996</v>
      </c>
      <c r="P111" s="13">
        <f t="shared" si="87"/>
        <v>60.643256925083442</v>
      </c>
      <c r="Q111" s="20">
        <f t="shared" si="107"/>
        <v>541.50321514452014</v>
      </c>
      <c r="R111" s="59">
        <f t="shared" si="55"/>
        <v>834.83654847785351</v>
      </c>
      <c r="S111" s="59">
        <f ca="1">AVERAGE(OFFSET($R$3,0,0,'Données projet'!$E$9+1,1))-AVERAGE(OFFSET($H$3,0,0,'Données projet'!$E$9+1,1))</f>
        <v>371.7282125501186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52.662499069005129</v>
      </c>
      <c r="AA111" s="21">
        <f>EXP(-LN(2)/25)*AA110+(1-EXP(-LN(2)/25))/(LN(2)/25)*Calculateur!V111*Calculateur!X111*VLOOKUP('Données projet'!$B$9,Paramètres!$A$1:$I$89,3,0)*0.475*44/12</f>
        <v>2.3246968367241219</v>
      </c>
      <c r="AB111" s="21">
        <f>EXP(-LN(2)/2)*AB110+(1-EXP(-LN(2)/2))/(LN(2)/2)*V111*Y111*VLOOKUP('Données projet'!$B$9,Paramètres!$A$1:$I$89,3,0)*0.475*44/12</f>
        <v>0.4438612921599055</v>
      </c>
      <c r="AC111" s="22">
        <f t="shared" si="57"/>
        <v>55.43105719788916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305.00000000000017</v>
      </c>
      <c r="AJ111" s="13">
        <f>AI111*VLOOKUP('Données projet'!$B$10,Paramètres!$A$1:$I$89,3,0)*VLOOKUP('Données projet'!$B$10,Paramètres!$A$1:$I$89,5,0)</f>
        <v>204.59400000000011</v>
      </c>
      <c r="AK111" s="13">
        <f t="shared" si="89"/>
        <v>50.75245156043249</v>
      </c>
      <c r="AL111" s="20">
        <f t="shared" si="58"/>
        <v>444.72840313442015</v>
      </c>
      <c r="AM111" s="59">
        <f t="shared" si="59"/>
        <v>738.06173646775346</v>
      </c>
      <c r="AN111" s="59">
        <f ca="1">AVERAGE(OFFSET($AM$3,0,0,'Données projet'!$E$10+1,1))-AVERAGE(OFFSET($H$3,0,0,'Données projet'!$E$10+1,1))</f>
        <v>269.67260882504996</v>
      </c>
      <c r="AO111" s="59">
        <f t="shared" si="90"/>
        <v>272.13858200810074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16.850986615908852</v>
      </c>
      <c r="AV111" s="21">
        <f>EXP(-LN(2)/25)*AV110+(1-EXP(-LN(2)/25))/(LN(2)/25)*Calculateur!AQ111*Calculateur!AS111*VLOOKUP('Données projet'!$B$10,Paramètres!$A$1:$I$89,3,0)*0.475*44/12</f>
        <v>0.76795381548806918</v>
      </c>
      <c r="AW111" s="21">
        <f>EXP(-LN(2)/2)*AW110+(1-EXP(-LN(2)/2))/(LN(2)/2)*AQ111*AT111*VLOOKUP('Données projet'!$B$10,Paramètres!$A$1:$I$89,3,0)*0.475*44/12</f>
        <v>1.6878600830505045E-6</v>
      </c>
      <c r="AX111" s="21">
        <f t="shared" si="60"/>
        <v>17.618942119257007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453.99999999999977</v>
      </c>
      <c r="BE111" s="13">
        <f>BD111*VLOOKUP('Données projet'!$B$11,Paramètres!$A$1:$I$89,3,0)*VLOOKUP('Données projet'!$B$11,Paramètres!$A$1:$I$89,5,0)</f>
        <v>253.78599999999986</v>
      </c>
      <c r="BF111" s="13">
        <f t="shared" si="91"/>
        <v>61.395945216950906</v>
      </c>
      <c r="BG111" s="20">
        <f t="shared" si="61"/>
        <v>548.94188791952263</v>
      </c>
      <c r="BH111" s="59">
        <f t="shared" si="62"/>
        <v>842.275221252856</v>
      </c>
      <c r="BI111" s="59">
        <f ca="1">AVERAGE(OFFSET($BH$3,0,0,'Données projet'!$E$11+1,1))-AVERAGE(OFFSET($H$3,0,0,'Données projet'!$E$11+1,1))</f>
        <v>330.33728077846268</v>
      </c>
      <c r="BJ111" s="59">
        <f t="shared" si="92"/>
        <v>358.38872754175208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23.141320810635484</v>
      </c>
      <c r="BQ111" s="21">
        <f>EXP(-LN(2)/25)*BQ110+(1-EXP(-LN(2)/25))/(LN(2)/25)*Calculateur!BL111*Calculateur!BN111*VLOOKUP('Données projet'!$B$11,Paramètres!$A$1:$I$89,3,0)*0.475*44/12</f>
        <v>8.6790453788269968</v>
      </c>
      <c r="BR111" s="21">
        <f>EXP(-LN(2)/2)*BR110+(1-EXP(-LN(2)/2))/(LN(2)/2)*BL111*BO111*VLOOKUP('Données projet'!$B$11,Paramètres!$A$1:$I$89,3,0)*0.475*44/12</f>
        <v>3.0458943610737085E-6</v>
      </c>
      <c r="BS111" s="22">
        <f t="shared" si="63"/>
        <v>31.820369235356843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290.99999999999994</v>
      </c>
      <c r="BZ111" s="13">
        <f>BY111*VLOOKUP('Données projet'!$B$12,Paramètres!$A$1:$I$89,3,0)*VLOOKUP('Données projet'!$B$12,Paramètres!$A$1:$I$89,5,0)</f>
        <v>276.91559999999993</v>
      </c>
      <c r="CA111" s="13">
        <f t="shared" si="93"/>
        <v>66.314766879144742</v>
      </c>
      <c r="CB111" s="20">
        <f t="shared" si="64"/>
        <v>597.79288898117682</v>
      </c>
      <c r="CC111" s="59">
        <f t="shared" si="65"/>
        <v>891.12622231451019</v>
      </c>
      <c r="CD111" s="59">
        <f ca="1">AVERAGE(OFFSET($CC$3,0,0,'Données projet'!$E$12+1,1))-AVERAGE(OFFSET($H$3,0,0,'Données projet'!$E$12+1,1))</f>
        <v>367.39143258674738</v>
      </c>
      <c r="CE111" s="59">
        <f t="shared" si="94"/>
        <v>376.02790658970292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21.405901329555835</v>
      </c>
      <c r="CL111" s="21">
        <f>EXP(-LN(2)/25)*CL110+(1-EXP(-LN(2)/25))/(LN(2)/25)*Calculateur!CG111*Calculateur!CI111*VLOOKUP('Données projet'!$B$12,Paramètres!$A$1:$I$89,3,0)*0.475*44/12</f>
        <v>0.95434481568279961</v>
      </c>
      <c r="CM111" s="21">
        <f>EXP(-LN(2)/2)*CM110+(1-EXP(-LN(2)/2))/(LN(2)/2)*CG111*CJ111*VLOOKUP('Données projet'!$B$12,Paramètres!$A$1:$I$89,3,0)*0.475*44/12</f>
        <v>2.7681619734321338E-6</v>
      </c>
      <c r="CN111" s="22">
        <f t="shared" si="66"/>
        <v>22.360248913400607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925.00000000000034</v>
      </c>
      <c r="CU111" s="17">
        <f>CT111*VLOOKUP('Données projet'!$B$13,Paramètres!$A$1:$I$89,3,0)*VLOOKUP('Données projet'!$B$13,Paramètres!$A$1:$I$89,5,0)</f>
        <v>408.85000000000014</v>
      </c>
      <c r="CV111" s="13">
        <f t="shared" si="95"/>
        <v>93.568575358321141</v>
      </c>
      <c r="CW111" s="20">
        <f t="shared" si="67"/>
        <v>875.04568541574281</v>
      </c>
      <c r="CX111" s="59">
        <f t="shared" si="68"/>
        <v>1168.3790187490761</v>
      </c>
      <c r="CY111" s="59">
        <f ca="1">AVERAGE(OFFSET($CX$3,0,0,'Données projet'!$E$13+1,1))-AVERAGE(OFFSET($H$3,0,0,'Données projet'!$E$13+1,1))</f>
        <v>500.13646131618248</v>
      </c>
      <c r="CZ111" s="59">
        <f t="shared" si="96"/>
        <v>417.58036817539306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39.278740867245666</v>
      </c>
      <c r="DG111" s="21">
        <f>EXP(-LN(2)/25)*DG110+(1-EXP(-LN(2)/25))/(LN(2)/25)*Calculateur!DB111*Calculateur!DD111*VLOOKUP('Données projet'!$B$13,Paramètres!$A$1:$I$89,3,0)*0.475*44/12</f>
        <v>13.493073153583779</v>
      </c>
      <c r="DH111" s="21">
        <f>EXP(-LN(2)/2)*DH110+(1-EXP(-LN(2)/2))/(LN(2)/2)*DB111*DE111*VLOOKUP('Données projet'!$B$13,Paramètres!$A$1:$I$89,3,0)*0.475*44/12</f>
        <v>1.4969964698538456E-4</v>
      </c>
      <c r="DI111" s="22">
        <f t="shared" si="69"/>
        <v>52.771963720476428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4.2</v>
      </c>
      <c r="N112" s="13">
        <f>IF('Données projet'!$A$36&gt;35,N111+M112-V111,IF(A112&lt;'Données projet'!$A$36,$K$205^A112,IF(A112='Données projet'!$A$36,'Données projet'!$B$36,N111+M112-V111)))</f>
        <v>280.79999999999995</v>
      </c>
      <c r="O112" s="13">
        <f>N112*VLOOKUP('Données projet'!$B$9,Paramètres!$A$1:$I$89,3,0)*VLOOKUP('Données projet'!$B$9,Paramètres!$A$1:$I$89,5,0)</f>
        <v>254.06783999999996</v>
      </c>
      <c r="P112" s="13">
        <f t="shared" si="87"/>
        <v>61.456187622750718</v>
      </c>
      <c r="Q112" s="20">
        <f t="shared" si="107"/>
        <v>549.53768144295748</v>
      </c>
      <c r="R112" s="59">
        <f t="shared" si="55"/>
        <v>842.87101477629085</v>
      </c>
      <c r="S112" s="59">
        <f ca="1">AVERAGE(OFFSET($R$3,0,0,'Données projet'!$E$9+1,1))-AVERAGE(OFFSET($H$3,0,0,'Données projet'!$E$9+1,1))</f>
        <v>371.7282125501186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51.62981958321469</v>
      </c>
      <c r="AA112" s="21">
        <f>EXP(-LN(2)/25)*AA111+(1-EXP(-LN(2)/25))/(LN(2)/25)*Calculateur!V112*Calculateur!X112*VLOOKUP('Données projet'!$B$9,Paramètres!$A$1:$I$89,3,0)*0.475*44/12</f>
        <v>2.2611278794734071</v>
      </c>
      <c r="AB112" s="21">
        <f>EXP(-LN(2)/2)*AB111+(1-EXP(-LN(2)/2))/(LN(2)/2)*V112*Y112*VLOOKUP('Données projet'!$B$9,Paramètres!$A$1:$I$89,3,0)*0.475*44/12</f>
        <v>0.31385732959249257</v>
      </c>
      <c r="AC112" s="22">
        <f t="shared" si="57"/>
        <v>54.204804792280591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305.00000000000017</v>
      </c>
      <c r="AJ112" s="13">
        <f>AI112*VLOOKUP('Données projet'!$B$10,Paramètres!$A$1:$I$89,3,0)*VLOOKUP('Données projet'!$B$10,Paramètres!$A$1:$I$89,5,0)</f>
        <v>204.59400000000011</v>
      </c>
      <c r="AK112" s="13">
        <f t="shared" si="89"/>
        <v>50.75245156043249</v>
      </c>
      <c r="AL112" s="20">
        <f t="shared" si="58"/>
        <v>444.72840313442015</v>
      </c>
      <c r="AM112" s="59">
        <f t="shared" si="59"/>
        <v>738.06173646775346</v>
      </c>
      <c r="AN112" s="59">
        <f ca="1">AVERAGE(OFFSET($AM$3,0,0,'Données projet'!$E$10+1,1))-AVERAGE(OFFSET($H$3,0,0,'Données projet'!$E$10+1,1))</f>
        <v>269.67260882504996</v>
      </c>
      <c r="AO112" s="59">
        <f t="shared" si="90"/>
        <v>272.13858200810074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16.520549046457838</v>
      </c>
      <c r="AV112" s="21">
        <f>EXP(-LN(2)/25)*AV111+(1-EXP(-LN(2)/25))/(LN(2)/25)*Calculateur!AQ112*Calculateur!AS112*VLOOKUP('Données projet'!$B$10,Paramètres!$A$1:$I$89,3,0)*0.475*44/12</f>
        <v>0.74695407801861191</v>
      </c>
      <c r="AW112" s="21">
        <f>EXP(-LN(2)/2)*AW111+(1-EXP(-LN(2)/2))/(LN(2)/2)*AQ112*AT112*VLOOKUP('Données projet'!$B$10,Paramètres!$A$1:$I$89,3,0)*0.475*44/12</f>
        <v>1.193497310419101E-6</v>
      </c>
      <c r="AX112" s="21">
        <f t="shared" si="60"/>
        <v>17.26750431797376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453.99999999999977</v>
      </c>
      <c r="BE112" s="13">
        <f>BD112*VLOOKUP('Données projet'!$B$11,Paramètres!$A$1:$I$89,3,0)*VLOOKUP('Données projet'!$B$11,Paramètres!$A$1:$I$89,5,0)</f>
        <v>253.78599999999986</v>
      </c>
      <c r="BF112" s="13">
        <f t="shared" si="91"/>
        <v>61.395945216950906</v>
      </c>
      <c r="BG112" s="20">
        <f t="shared" si="61"/>
        <v>548.94188791952263</v>
      </c>
      <c r="BH112" s="59">
        <f t="shared" si="62"/>
        <v>842.275221252856</v>
      </c>
      <c r="BI112" s="59">
        <f ca="1">AVERAGE(OFFSET($BH$3,0,0,'Données projet'!$E$11+1,1))-AVERAGE(OFFSET($H$3,0,0,'Données projet'!$E$11+1,1))</f>
        <v>330.33728077846268</v>
      </c>
      <c r="BJ112" s="59">
        <f t="shared" si="92"/>
        <v>358.38872754175208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22.687533624350895</v>
      </c>
      <c r="BQ112" s="21">
        <f>EXP(-LN(2)/25)*BQ111+(1-EXP(-LN(2)/25))/(LN(2)/25)*Calculateur!BL112*Calculateur!BN112*VLOOKUP('Données projet'!$B$11,Paramètres!$A$1:$I$89,3,0)*0.475*44/12</f>
        <v>8.4417164265318121</v>
      </c>
      <c r="BR112" s="21">
        <f>EXP(-LN(2)/2)*BR111+(1-EXP(-LN(2)/2))/(LN(2)/2)*BL112*BO112*VLOOKUP('Données projet'!$B$11,Paramètres!$A$1:$I$89,3,0)*0.475*44/12</f>
        <v>2.1537725574930857E-6</v>
      </c>
      <c r="BS112" s="22">
        <f t="shared" si="63"/>
        <v>31.129252204655263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290.99999999999994</v>
      </c>
      <c r="BZ112" s="13">
        <f>BY112*VLOOKUP('Données projet'!$B$12,Paramètres!$A$1:$I$89,3,0)*VLOOKUP('Données projet'!$B$12,Paramètres!$A$1:$I$89,5,0)</f>
        <v>276.91559999999993</v>
      </c>
      <c r="CA112" s="13">
        <f t="shared" si="93"/>
        <v>66.314766879144742</v>
      </c>
      <c r="CB112" s="20">
        <f t="shared" si="64"/>
        <v>597.79288898117682</v>
      </c>
      <c r="CC112" s="59">
        <f t="shared" si="65"/>
        <v>891.12622231451019</v>
      </c>
      <c r="CD112" s="59">
        <f ca="1">AVERAGE(OFFSET($CC$3,0,0,'Données projet'!$E$12+1,1))-AVERAGE(OFFSET($H$3,0,0,'Données projet'!$E$12+1,1))</f>
        <v>367.39143258674738</v>
      </c>
      <c r="CE112" s="59">
        <f t="shared" si="94"/>
        <v>376.02790658970292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20.986144660793851</v>
      </c>
      <c r="CL112" s="21">
        <f>EXP(-LN(2)/25)*CL111+(1-EXP(-LN(2)/25))/(LN(2)/25)*Calculateur!CG112*Calculateur!CI112*VLOOKUP('Données projet'!$B$12,Paramètres!$A$1:$I$89,3,0)*0.475*44/12</f>
        <v>0.92824820651114082</v>
      </c>
      <c r="CM112" s="21">
        <f>EXP(-LN(2)/2)*CM111+(1-EXP(-LN(2)/2))/(LN(2)/2)*CG112*CJ112*VLOOKUP('Données projet'!$B$12,Paramètres!$A$1:$I$89,3,0)*0.475*44/12</f>
        <v>1.9573861028365974E-6</v>
      </c>
      <c r="CN112" s="22">
        <f t="shared" si="66"/>
        <v>21.914394824691097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925.00000000000034</v>
      </c>
      <c r="CU112" s="17">
        <f>CT112*VLOOKUP('Données projet'!$B$13,Paramètres!$A$1:$I$89,3,0)*VLOOKUP('Données projet'!$B$13,Paramètres!$A$1:$I$89,5,0)</f>
        <v>408.85000000000014</v>
      </c>
      <c r="CV112" s="13">
        <f t="shared" si="95"/>
        <v>93.568575358321141</v>
      </c>
      <c r="CW112" s="20">
        <f t="shared" si="67"/>
        <v>875.04568541574281</v>
      </c>
      <c r="CX112" s="59">
        <f t="shared" si="68"/>
        <v>1168.3790187490761</v>
      </c>
      <c r="CY112" s="59">
        <f ca="1">AVERAGE(OFFSET($CX$3,0,0,'Données projet'!$E$13+1,1))-AVERAGE(OFFSET($H$3,0,0,'Données projet'!$E$13+1,1))</f>
        <v>500.13646131618248</v>
      </c>
      <c r="CZ112" s="59">
        <f t="shared" si="96"/>
        <v>417.58036817539306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38.508508716505283</v>
      </c>
      <c r="DG112" s="21">
        <f>EXP(-LN(2)/25)*DG111+(1-EXP(-LN(2)/25))/(LN(2)/25)*Calculateur!DB112*Calculateur!DD112*VLOOKUP('Données projet'!$B$13,Paramètres!$A$1:$I$89,3,0)*0.475*44/12</f>
        <v>13.124104358629152</v>
      </c>
      <c r="DH112" s="21">
        <f>EXP(-LN(2)/2)*DH111+(1-EXP(-LN(2)/2))/(LN(2)/2)*DB112*DE112*VLOOKUP('Données projet'!$B$13,Paramètres!$A$1:$I$89,3,0)*0.475*44/12</f>
        <v>1.0585363552459773E-4</v>
      </c>
      <c r="DI112" s="22">
        <f t="shared" si="69"/>
        <v>51.632718928769961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4.2</v>
      </c>
      <c r="M113" s="12">
        <f t="array" ref="M113">INDEX(L:L,MIN(IF(ISNUMBER(L113:L309),ROW(L113:L309),"")))</f>
        <v>4.2</v>
      </c>
      <c r="N113" s="13">
        <f>IF('Données projet'!$A$36&gt;35,N112+M113-V112,IF(A113&lt;'Données projet'!$A$36,$K$205^A113,IF(A113='Données projet'!$A$36,'Données projet'!$B$36,N112+M113-V112)))</f>
        <v>284.99999999999994</v>
      </c>
      <c r="O113" s="13">
        <f>N113*VLOOKUP('Données projet'!$B$9,Paramètres!$A$1:$I$89,3,0)*VLOOKUP('Données projet'!$B$9,Paramètres!$A$1:$I$89,5,0)</f>
        <v>257.86799999999994</v>
      </c>
      <c r="P113" s="13">
        <f t="shared" si="87"/>
        <v>62.267704162827528</v>
      </c>
      <c r="Q113" s="20">
        <f t="shared" si="107"/>
        <v>557.56968475025781</v>
      </c>
      <c r="R113" s="59">
        <f t="shared" si="55"/>
        <v>850.90301808359118</v>
      </c>
      <c r="S113" s="59">
        <f ca="1">AVERAGE(OFFSET($R$3,0,0,'Données projet'!$E$9+1,1))-AVERAGE(OFFSET($H$3,0,0,'Données projet'!$E$9+1,1))</f>
        <v>371.7282125501186</v>
      </c>
      <c r="T113" s="59">
        <f t="shared" si="88"/>
        <v>231.36959598460686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1.72E-2</v>
      </c>
      <c r="Y113" s="16">
        <f>IF(ISNA(VLOOKUP(A113,'Données projet'!$A$35:$I$55,7,0)),0%,VLOOKUP(A113,'Données projet'!$A$35:$I$55,7,0))</f>
        <v>0.06</v>
      </c>
      <c r="Z113" s="21">
        <f>EXP(-LN(2)/35)*Z112+(1-EXP(-LN(2)/35))/(LN(2)/35)*V113*W113*VLOOKUP('Données projet'!$B$9,Paramètres!$A$1:$I$89,3,0)*0.475*44/12</f>
        <v>57.154890973955951</v>
      </c>
      <c r="AA113" s="21">
        <f>EXP(-LN(2)/25)*AA112+(1-EXP(-LN(2)/25))/(LN(2)/25)*Calculateur!V113*Calculateur!X113*VLOOKUP('Données projet'!$B$9,Paramètres!$A$1:$I$89,3,0)*0.475*44/12</f>
        <v>2.5248852202316359</v>
      </c>
      <c r="AB113" s="21">
        <f>EXP(-LN(2)/2)*AB112+(1-EXP(-LN(2)/2))/(LN(2)/2)*V113*Y113*VLOOKUP('Données projet'!$B$9,Paramètres!$A$1:$I$89,3,0)*0.475*44/12</f>
        <v>1.1951522397418015</v>
      </c>
      <c r="AC113" s="22">
        <f t="shared" si="57"/>
        <v>60.874928433929391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305.00000000000017</v>
      </c>
      <c r="AJ113" s="13">
        <f>AI113*VLOOKUP('Données projet'!$B$10,Paramètres!$A$1:$I$89,3,0)*VLOOKUP('Données projet'!$B$10,Paramètres!$A$1:$I$89,5,0)</f>
        <v>204.59400000000011</v>
      </c>
      <c r="AK113" s="13">
        <f t="shared" si="89"/>
        <v>50.75245156043249</v>
      </c>
      <c r="AL113" s="20">
        <f t="shared" si="58"/>
        <v>444.72840313442015</v>
      </c>
      <c r="AM113" s="59">
        <f t="shared" si="59"/>
        <v>738.06173646775346</v>
      </c>
      <c r="AN113" s="59">
        <f ca="1">AVERAGE(OFFSET($AM$3,0,0,'Données projet'!$E$10+1,1))-AVERAGE(OFFSET($H$3,0,0,'Données projet'!$E$10+1,1))</f>
        <v>269.67260882504996</v>
      </c>
      <c r="AO113" s="59">
        <f t="shared" si="90"/>
        <v>272.13858200810074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16.196591156196742</v>
      </c>
      <c r="AV113" s="21">
        <f>EXP(-LN(2)/25)*AV112+(1-EXP(-LN(2)/25))/(LN(2)/25)*Calculateur!AQ113*Calculateur!AS113*VLOOKUP('Données projet'!$B$10,Paramètres!$A$1:$I$89,3,0)*0.475*44/12</f>
        <v>0.72652857947458516</v>
      </c>
      <c r="AW113" s="21">
        <f>EXP(-LN(2)/2)*AW112+(1-EXP(-LN(2)/2))/(LN(2)/2)*AQ113*AT113*VLOOKUP('Données projet'!$B$10,Paramètres!$A$1:$I$89,3,0)*0.475*44/12</f>
        <v>8.4393004152525223E-7</v>
      </c>
      <c r="AX113" s="21">
        <f t="shared" si="60"/>
        <v>16.92312057960137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453.99999999999977</v>
      </c>
      <c r="BE113" s="13">
        <f>BD113*VLOOKUP('Données projet'!$B$11,Paramètres!$A$1:$I$89,3,0)*VLOOKUP('Données projet'!$B$11,Paramètres!$A$1:$I$89,5,0)</f>
        <v>253.78599999999986</v>
      </c>
      <c r="BF113" s="13">
        <f t="shared" si="91"/>
        <v>61.395945216950906</v>
      </c>
      <c r="BG113" s="20">
        <f t="shared" si="61"/>
        <v>548.94188791952263</v>
      </c>
      <c r="BH113" s="59">
        <f t="shared" si="62"/>
        <v>842.275221252856</v>
      </c>
      <c r="BI113" s="59">
        <f ca="1">AVERAGE(OFFSET($BH$3,0,0,'Données projet'!$E$11+1,1))-AVERAGE(OFFSET($H$3,0,0,'Données projet'!$E$11+1,1))</f>
        <v>330.33728077846268</v>
      </c>
      <c r="BJ113" s="59">
        <f t="shared" si="92"/>
        <v>358.38872754175208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22.242644928006492</v>
      </c>
      <c r="BQ113" s="21">
        <f>EXP(-LN(2)/25)*BQ112+(1-EXP(-LN(2)/25))/(LN(2)/25)*Calculateur!BL113*Calculateur!BN113*VLOOKUP('Données projet'!$B$11,Paramètres!$A$1:$I$89,3,0)*0.475*44/12</f>
        <v>8.2108772469177271</v>
      </c>
      <c r="BR113" s="21">
        <f>EXP(-LN(2)/2)*BR112+(1-EXP(-LN(2)/2))/(LN(2)/2)*BL113*BO113*VLOOKUP('Données projet'!$B$11,Paramètres!$A$1:$I$89,3,0)*0.475*44/12</f>
        <v>1.5229471805368542E-6</v>
      </c>
      <c r="BS113" s="22">
        <f t="shared" si="63"/>
        <v>30.453523697871397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290.99999999999994</v>
      </c>
      <c r="BZ113" s="13">
        <f>BY113*VLOOKUP('Données projet'!$B$12,Paramètres!$A$1:$I$89,3,0)*VLOOKUP('Données projet'!$B$12,Paramètres!$A$1:$I$89,5,0)</f>
        <v>276.91559999999993</v>
      </c>
      <c r="CA113" s="13">
        <f t="shared" si="93"/>
        <v>66.314766879144742</v>
      </c>
      <c r="CB113" s="20">
        <f t="shared" si="64"/>
        <v>597.79288898117682</v>
      </c>
      <c r="CC113" s="59">
        <f t="shared" si="65"/>
        <v>891.12622231451019</v>
      </c>
      <c r="CD113" s="59">
        <f ca="1">AVERAGE(OFFSET($CC$3,0,0,'Données projet'!$E$12+1,1))-AVERAGE(OFFSET($H$3,0,0,'Données projet'!$E$12+1,1))</f>
        <v>367.39143258674738</v>
      </c>
      <c r="CE113" s="59">
        <f t="shared" si="94"/>
        <v>376.02790658970292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20.574619164280005</v>
      </c>
      <c r="CL113" s="21">
        <f>EXP(-LN(2)/25)*CL112+(1-EXP(-LN(2)/25))/(LN(2)/25)*Calculateur!CG113*Calculateur!CI113*VLOOKUP('Données projet'!$B$12,Paramètres!$A$1:$I$89,3,0)*0.475*44/12</f>
        <v>0.90286521048964208</v>
      </c>
      <c r="CM113" s="21">
        <f>EXP(-LN(2)/2)*CM112+(1-EXP(-LN(2)/2))/(LN(2)/2)*CG113*CJ113*VLOOKUP('Données projet'!$B$12,Paramètres!$A$1:$I$89,3,0)*0.475*44/12</f>
        <v>1.3840809867160669E-6</v>
      </c>
      <c r="CN113" s="22">
        <f t="shared" si="66"/>
        <v>21.477485758850637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925.00000000000034</v>
      </c>
      <c r="CU113" s="17">
        <f>CT113*VLOOKUP('Données projet'!$B$13,Paramètres!$A$1:$I$89,3,0)*VLOOKUP('Données projet'!$B$13,Paramètres!$A$1:$I$89,5,0)</f>
        <v>408.85000000000014</v>
      </c>
      <c r="CV113" s="13">
        <f t="shared" si="95"/>
        <v>93.568575358321141</v>
      </c>
      <c r="CW113" s="20">
        <f t="shared" si="67"/>
        <v>875.04568541574281</v>
      </c>
      <c r="CX113" s="59">
        <f t="shared" si="68"/>
        <v>1168.3790187490761</v>
      </c>
      <c r="CY113" s="59">
        <f ca="1">AVERAGE(OFFSET($CX$3,0,0,'Données projet'!$E$13+1,1))-AVERAGE(OFFSET($H$3,0,0,'Données projet'!$E$13+1,1))</f>
        <v>500.13646131618248</v>
      </c>
      <c r="CZ113" s="59">
        <f t="shared" si="96"/>
        <v>417.58036817539306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37.753380348445695</v>
      </c>
      <c r="DG113" s="21">
        <f>EXP(-LN(2)/25)*DG112+(1-EXP(-LN(2)/25))/(LN(2)/25)*Calculateur!DB113*Calculateur!DD113*VLOOKUP('Données projet'!$B$13,Paramètres!$A$1:$I$89,3,0)*0.475*44/12</f>
        <v>12.765225034775785</v>
      </c>
      <c r="DH113" s="21">
        <f>EXP(-LN(2)/2)*DH112+(1-EXP(-LN(2)/2))/(LN(2)/2)*DB113*DE113*VLOOKUP('Données projet'!$B$13,Paramètres!$A$1:$I$89,3,0)*0.475*44/12</f>
        <v>7.4849823492692278E-5</v>
      </c>
      <c r="DI113" s="22">
        <f t="shared" si="69"/>
        <v>50.518680233044975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3.8</v>
      </c>
      <c r="N114" s="13">
        <f>IF('Données projet'!$A$36&gt;35,N113+M114-V113,IF(A114&lt;'Données projet'!$A$36,$K$205^A114,IF(A114='Données projet'!$A$36,'Données projet'!$B$36,N113+M114-V113)))</f>
        <v>269.79999999999995</v>
      </c>
      <c r="O114" s="13">
        <f>N114*VLOOKUP('Données projet'!$B$9,Paramètres!$A$1:$I$89,3,0)*VLOOKUP('Données projet'!$B$9,Paramètres!$A$1:$I$89,5,0)</f>
        <v>244.11503999999994</v>
      </c>
      <c r="P114" s="13">
        <f t="shared" si="87"/>
        <v>59.324023461759012</v>
      </c>
      <c r="Q114" s="20">
        <f t="shared" si="107"/>
        <v>528.48970219589683</v>
      </c>
      <c r="R114" s="59">
        <f t="shared" si="55"/>
        <v>821.82303552923008</v>
      </c>
      <c r="S114" s="59">
        <f ca="1">AVERAGE(OFFSET($R$3,0,0,'Données projet'!$E$9+1,1))-AVERAGE(OFFSET($H$3,0,0,'Données projet'!$E$9+1,1))</f>
        <v>371.7282125501186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56.034118422997928</v>
      </c>
      <c r="AA114" s="21">
        <f>EXP(-LN(2)/25)*AA113+(1-EXP(-LN(2)/25))/(LN(2)/25)*Calculateur!V114*Calculateur!X114*VLOOKUP('Données projet'!$B$9,Paramètres!$A$1:$I$89,3,0)*0.475*44/12</f>
        <v>2.4558421011064588</v>
      </c>
      <c r="AB114" s="21">
        <f>EXP(-LN(2)/2)*AB113+(1-EXP(-LN(2)/2))/(LN(2)/2)*V114*Y114*VLOOKUP('Données projet'!$B$9,Paramètres!$A$1:$I$89,3,0)*0.475*44/12</f>
        <v>0.84510025327171834</v>
      </c>
      <c r="AC114" s="22">
        <f t="shared" si="57"/>
        <v>59.335060777376107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305.00000000000017</v>
      </c>
      <c r="AJ114" s="13">
        <f>AI114*VLOOKUP('Données projet'!$B$10,Paramètres!$A$1:$I$89,3,0)*VLOOKUP('Données projet'!$B$10,Paramètres!$A$1:$I$89,5,0)</f>
        <v>204.59400000000011</v>
      </c>
      <c r="AK114" s="13">
        <f t="shared" si="89"/>
        <v>50.75245156043249</v>
      </c>
      <c r="AL114" s="20">
        <f t="shared" si="58"/>
        <v>444.72840313442015</v>
      </c>
      <c r="AM114" s="59">
        <f t="shared" si="59"/>
        <v>738.06173646775346</v>
      </c>
      <c r="AN114" s="59">
        <f ca="1">AVERAGE(OFFSET($AM$3,0,0,'Données projet'!$E$10+1,1))-AVERAGE(OFFSET($H$3,0,0,'Données projet'!$E$10+1,1))</f>
        <v>269.67260882504996</v>
      </c>
      <c r="AO114" s="59">
        <f t="shared" si="90"/>
        <v>272.13858200810074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15.878985882568864</v>
      </c>
      <c r="AV114" s="21">
        <f>EXP(-LN(2)/25)*AV113+(1-EXP(-LN(2)/25))/(LN(2)/25)*Calculateur!AQ114*Calculateur!AS114*VLOOKUP('Données projet'!$B$10,Paramètres!$A$1:$I$89,3,0)*0.475*44/12</f>
        <v>0.70666161726237509</v>
      </c>
      <c r="AW114" s="21">
        <f>EXP(-LN(2)/2)*AW113+(1-EXP(-LN(2)/2))/(LN(2)/2)*AQ114*AT114*VLOOKUP('Données projet'!$B$10,Paramètres!$A$1:$I$89,3,0)*0.475*44/12</f>
        <v>5.9674865520955048E-7</v>
      </c>
      <c r="AX114" s="21">
        <f t="shared" si="60"/>
        <v>16.585648096579895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453.99999999999977</v>
      </c>
      <c r="BE114" s="13">
        <f>BD114*VLOOKUP('Données projet'!$B$11,Paramètres!$A$1:$I$89,3,0)*VLOOKUP('Données projet'!$B$11,Paramètres!$A$1:$I$89,5,0)</f>
        <v>253.78599999999986</v>
      </c>
      <c r="BF114" s="13">
        <f t="shared" si="91"/>
        <v>61.395945216950906</v>
      </c>
      <c r="BG114" s="20">
        <f t="shared" si="61"/>
        <v>548.94188791952263</v>
      </c>
      <c r="BH114" s="59">
        <f t="shared" si="62"/>
        <v>842.275221252856</v>
      </c>
      <c r="BI114" s="59">
        <f ca="1">AVERAGE(OFFSET($BH$3,0,0,'Données projet'!$E$11+1,1))-AVERAGE(OFFSET($H$3,0,0,'Données projet'!$E$11+1,1))</f>
        <v>330.33728077846268</v>
      </c>
      <c r="BJ114" s="59">
        <f t="shared" si="92"/>
        <v>358.38872754175208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21.806480227642094</v>
      </c>
      <c r="BQ114" s="21">
        <f>EXP(-LN(2)/25)*BQ113+(1-EXP(-LN(2)/25))/(LN(2)/25)*Calculateur!BL114*Calculateur!BN114*VLOOKUP('Données projet'!$B$11,Paramètres!$A$1:$I$89,3,0)*0.475*44/12</f>
        <v>7.9863503768094937</v>
      </c>
      <c r="BR114" s="21">
        <f>EXP(-LN(2)/2)*BR113+(1-EXP(-LN(2)/2))/(LN(2)/2)*BL114*BO114*VLOOKUP('Données projet'!$B$11,Paramètres!$A$1:$I$89,3,0)*0.475*44/12</f>
        <v>1.0768862787465429E-6</v>
      </c>
      <c r="BS114" s="22">
        <f t="shared" si="63"/>
        <v>29.792831681337866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290.99999999999994</v>
      </c>
      <c r="BZ114" s="13">
        <f>BY114*VLOOKUP('Données projet'!$B$12,Paramètres!$A$1:$I$89,3,0)*VLOOKUP('Données projet'!$B$12,Paramètres!$A$1:$I$89,5,0)</f>
        <v>276.91559999999993</v>
      </c>
      <c r="CA114" s="13">
        <f t="shared" si="93"/>
        <v>66.314766879144742</v>
      </c>
      <c r="CB114" s="20">
        <f t="shared" si="64"/>
        <v>597.79288898117682</v>
      </c>
      <c r="CC114" s="59">
        <f t="shared" si="65"/>
        <v>891.12622231451019</v>
      </c>
      <c r="CD114" s="59">
        <f ca="1">AVERAGE(OFFSET($CC$3,0,0,'Données projet'!$E$12+1,1))-AVERAGE(OFFSET($H$3,0,0,'Données projet'!$E$12+1,1))</f>
        <v>367.39143258674738</v>
      </c>
      <c r="CE114" s="59">
        <f t="shared" si="94"/>
        <v>376.02790658970292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20.171163431747026</v>
      </c>
      <c r="CL114" s="21">
        <f>EXP(-LN(2)/25)*CL113+(1-EXP(-LN(2)/25))/(LN(2)/25)*Calculateur!CG114*Calculateur!CI114*VLOOKUP('Données projet'!$B$12,Paramètres!$A$1:$I$89,3,0)*0.475*44/12</f>
        <v>0.87817631382918493</v>
      </c>
      <c r="CM114" s="21">
        <f>EXP(-LN(2)/2)*CM113+(1-EXP(-LN(2)/2))/(LN(2)/2)*CG114*CJ114*VLOOKUP('Données projet'!$B$12,Paramètres!$A$1:$I$89,3,0)*0.475*44/12</f>
        <v>9.7869305141829869E-7</v>
      </c>
      <c r="CN114" s="22">
        <f t="shared" si="66"/>
        <v>21.049340724269264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925.00000000000034</v>
      </c>
      <c r="CU114" s="17">
        <f>CT114*VLOOKUP('Données projet'!$B$13,Paramètres!$A$1:$I$89,3,0)*VLOOKUP('Données projet'!$B$13,Paramètres!$A$1:$I$89,5,0)</f>
        <v>408.85000000000014</v>
      </c>
      <c r="CV114" s="13">
        <f t="shared" si="95"/>
        <v>93.568575358321141</v>
      </c>
      <c r="CW114" s="20">
        <f t="shared" si="67"/>
        <v>875.04568541574281</v>
      </c>
      <c r="CX114" s="59">
        <f t="shared" si="68"/>
        <v>1168.3790187490761</v>
      </c>
      <c r="CY114" s="59">
        <f ca="1">AVERAGE(OFFSET($CX$3,0,0,'Données projet'!$E$13+1,1))-AVERAGE(OFFSET($H$3,0,0,'Données projet'!$E$13+1,1))</f>
        <v>500.13646131618248</v>
      </c>
      <c r="CZ114" s="59">
        <f t="shared" si="96"/>
        <v>417.58036817539306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37.013059587100933</v>
      </c>
      <c r="DG114" s="21">
        <f>EXP(-LN(2)/25)*DG113+(1-EXP(-LN(2)/25))/(LN(2)/25)*Calculateur!DB114*Calculateur!DD114*VLOOKUP('Données projet'!$B$13,Paramètres!$A$1:$I$89,3,0)*0.475*44/12</f>
        <v>12.416159284905833</v>
      </c>
      <c r="DH114" s="21">
        <f>EXP(-LN(2)/2)*DH113+(1-EXP(-LN(2)/2))/(LN(2)/2)*DB114*DE114*VLOOKUP('Données projet'!$B$13,Paramètres!$A$1:$I$89,3,0)*0.475*44/12</f>
        <v>5.2926817762298864E-5</v>
      </c>
      <c r="DI114" s="22">
        <f t="shared" si="69"/>
        <v>49.42927179882453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3.8</v>
      </c>
      <c r="N115" s="13">
        <f>IF('Données projet'!$A$36&gt;35,N114+M115-V114,IF(A115&lt;'Données projet'!$A$36,$K$205^A115,IF(A115='Données projet'!$A$36,'Données projet'!$B$36,N114+M115-V114)))</f>
        <v>273.59999999999997</v>
      </c>
      <c r="O115" s="13">
        <f>N115*VLOOKUP('Données projet'!$B$9,Paramètres!$A$1:$I$89,3,0)*VLOOKUP('Données projet'!$B$9,Paramètres!$A$1:$I$89,5,0)</f>
        <v>247.55327999999994</v>
      </c>
      <c r="P115" s="13">
        <f t="shared" si="87"/>
        <v>60.061713068870255</v>
      </c>
      <c r="Q115" s="20">
        <f t="shared" si="107"/>
        <v>535.76277959494894</v>
      </c>
      <c r="R115" s="59">
        <f t="shared" si="55"/>
        <v>829.09611292828231</v>
      </c>
      <c r="S115" s="59">
        <f ca="1">AVERAGE(OFFSET($R$3,0,0,'Données projet'!$E$9+1,1))-AVERAGE(OFFSET($H$3,0,0,'Données projet'!$E$9+1,1))</f>
        <v>371.7282125501186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54.935323538160432</v>
      </c>
      <c r="AA115" s="21">
        <f>EXP(-LN(2)/25)*AA114+(1-EXP(-LN(2)/25))/(LN(2)/25)*Calculateur!V115*Calculateur!X115*VLOOKUP('Données projet'!$B$9,Paramètres!$A$1:$I$89,3,0)*0.475*44/12</f>
        <v>2.3886869697045796</v>
      </c>
      <c r="AB115" s="21">
        <f>EXP(-LN(2)/2)*AB114+(1-EXP(-LN(2)/2))/(LN(2)/2)*V115*Y115*VLOOKUP('Données projet'!$B$9,Paramètres!$A$1:$I$89,3,0)*0.475*44/12</f>
        <v>0.59757611987090087</v>
      </c>
      <c r="AC115" s="22">
        <f t="shared" si="57"/>
        <v>57.921586627735913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305.00000000000017</v>
      </c>
      <c r="AJ115" s="13">
        <f>AI115*VLOOKUP('Données projet'!$B$10,Paramètres!$A$1:$I$89,3,0)*VLOOKUP('Données projet'!$B$10,Paramètres!$A$1:$I$89,5,0)</f>
        <v>204.59400000000011</v>
      </c>
      <c r="AK115" s="13">
        <f t="shared" si="89"/>
        <v>50.75245156043249</v>
      </c>
      <c r="AL115" s="20">
        <f t="shared" si="58"/>
        <v>444.72840313442015</v>
      </c>
      <c r="AM115" s="59">
        <f t="shared" si="59"/>
        <v>738.06173646775346</v>
      </c>
      <c r="AN115" s="59">
        <f ca="1">AVERAGE(OFFSET($AM$3,0,0,'Données projet'!$E$10+1,1))-AVERAGE(OFFSET($H$3,0,0,'Données projet'!$E$10+1,1))</f>
        <v>269.67260882504996</v>
      </c>
      <c r="AO115" s="59">
        <f t="shared" si="90"/>
        <v>272.13858200810074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15.567608654636741</v>
      </c>
      <c r="AV115" s="21">
        <f>EXP(-LN(2)/25)*AV114+(1-EXP(-LN(2)/25))/(LN(2)/25)*Calculateur!AQ115*Calculateur!AS115*VLOOKUP('Données projet'!$B$10,Paramètres!$A$1:$I$89,3,0)*0.475*44/12</f>
        <v>0.68733791817661605</v>
      </c>
      <c r="AW115" s="21">
        <f>EXP(-LN(2)/2)*AW114+(1-EXP(-LN(2)/2))/(LN(2)/2)*AQ115*AT115*VLOOKUP('Données projet'!$B$10,Paramètres!$A$1:$I$89,3,0)*0.475*44/12</f>
        <v>4.2196502076262611E-7</v>
      </c>
      <c r="AX115" s="21">
        <f t="shared" si="60"/>
        <v>16.254946994778376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453.99999999999977</v>
      </c>
      <c r="BE115" s="13">
        <f>BD115*VLOOKUP('Données projet'!$B$11,Paramètres!$A$1:$I$89,3,0)*VLOOKUP('Données projet'!$B$11,Paramètres!$A$1:$I$89,5,0)</f>
        <v>253.78599999999986</v>
      </c>
      <c r="BF115" s="13">
        <f t="shared" si="91"/>
        <v>61.395945216950906</v>
      </c>
      <c r="BG115" s="20">
        <f t="shared" si="61"/>
        <v>548.94188791952263</v>
      </c>
      <c r="BH115" s="59">
        <f t="shared" si="62"/>
        <v>842.275221252856</v>
      </c>
      <c r="BI115" s="59">
        <f ca="1">AVERAGE(OFFSET($BH$3,0,0,'Données projet'!$E$11+1,1))-AVERAGE(OFFSET($H$3,0,0,'Données projet'!$E$11+1,1))</f>
        <v>330.33728077846268</v>
      </c>
      <c r="BJ115" s="59">
        <f t="shared" si="92"/>
        <v>358.38872754175208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21.378868451017642</v>
      </c>
      <c r="BQ115" s="21">
        <f>EXP(-LN(2)/25)*BQ114+(1-EXP(-LN(2)/25))/(LN(2)/25)*Calculateur!BL115*Calculateur!BN115*VLOOKUP('Données projet'!$B$11,Paramètres!$A$1:$I$89,3,0)*0.475*44/12</f>
        <v>7.7679632057717249</v>
      </c>
      <c r="BR115" s="21">
        <f>EXP(-LN(2)/2)*BR114+(1-EXP(-LN(2)/2))/(LN(2)/2)*BL115*BO115*VLOOKUP('Données projet'!$B$11,Paramètres!$A$1:$I$89,3,0)*0.475*44/12</f>
        <v>7.6147359026842712E-7</v>
      </c>
      <c r="BS115" s="22">
        <f t="shared" si="63"/>
        <v>29.146832418262957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290.99999999999994</v>
      </c>
      <c r="BZ115" s="13">
        <f>BY115*VLOOKUP('Données projet'!$B$12,Paramètres!$A$1:$I$89,3,0)*VLOOKUP('Données projet'!$B$12,Paramètres!$A$1:$I$89,5,0)</f>
        <v>276.91559999999993</v>
      </c>
      <c r="CA115" s="13">
        <f t="shared" si="93"/>
        <v>66.314766879144742</v>
      </c>
      <c r="CB115" s="20">
        <f t="shared" si="64"/>
        <v>597.79288898117682</v>
      </c>
      <c r="CC115" s="59">
        <f t="shared" si="65"/>
        <v>891.12622231451019</v>
      </c>
      <c r="CD115" s="59">
        <f ca="1">AVERAGE(OFFSET($CC$3,0,0,'Données projet'!$E$12+1,1))-AVERAGE(OFFSET($H$3,0,0,'Données projet'!$E$12+1,1))</f>
        <v>367.39143258674738</v>
      </c>
      <c r="CE115" s="59">
        <f t="shared" si="94"/>
        <v>376.02790658970292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19.775619220045321</v>
      </c>
      <c r="CL115" s="21">
        <f>EXP(-LN(2)/25)*CL114+(1-EXP(-LN(2)/25))/(LN(2)/25)*Calculateur!CG115*Calculateur!CI115*VLOOKUP('Données projet'!$B$12,Paramètres!$A$1:$I$89,3,0)*0.475*44/12</f>
        <v>0.85416253634624062</v>
      </c>
      <c r="CM115" s="21">
        <f>EXP(-LN(2)/2)*CM114+(1-EXP(-LN(2)/2))/(LN(2)/2)*CG115*CJ115*VLOOKUP('Données projet'!$B$12,Paramètres!$A$1:$I$89,3,0)*0.475*44/12</f>
        <v>6.9204049335803345E-7</v>
      </c>
      <c r="CN115" s="22">
        <f t="shared" si="66"/>
        <v>20.629782448432056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925.00000000000034</v>
      </c>
      <c r="CU115" s="17">
        <f>CT115*VLOOKUP('Données projet'!$B$13,Paramètres!$A$1:$I$89,3,0)*VLOOKUP('Données projet'!$B$13,Paramètres!$A$1:$I$89,5,0)</f>
        <v>408.85000000000014</v>
      </c>
      <c r="CV115" s="13">
        <f t="shared" si="95"/>
        <v>93.568575358321141</v>
      </c>
      <c r="CW115" s="20">
        <f t="shared" si="67"/>
        <v>875.04568541574281</v>
      </c>
      <c r="CX115" s="59">
        <f t="shared" si="68"/>
        <v>1168.3790187490761</v>
      </c>
      <c r="CY115" s="59">
        <f ca="1">AVERAGE(OFFSET($CX$3,0,0,'Données projet'!$E$13+1,1))-AVERAGE(OFFSET($H$3,0,0,'Données projet'!$E$13+1,1))</f>
        <v>500.13646131618248</v>
      </c>
      <c r="CZ115" s="59">
        <f t="shared" si="96"/>
        <v>417.58036817539306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36.287256064335061</v>
      </c>
      <c r="DG115" s="21">
        <f>EXP(-LN(2)/25)*DG114+(1-EXP(-LN(2)/25))/(LN(2)/25)*Calculateur!DB115*Calculateur!DD115*VLOOKUP('Données projet'!$B$13,Paramètres!$A$1:$I$89,3,0)*0.475*44/12</f>
        <v>12.076638756322643</v>
      </c>
      <c r="DH115" s="21">
        <f>EXP(-LN(2)/2)*DH114+(1-EXP(-LN(2)/2))/(LN(2)/2)*DB115*DE115*VLOOKUP('Données projet'!$B$13,Paramètres!$A$1:$I$89,3,0)*0.475*44/12</f>
        <v>3.7424911746346139E-5</v>
      </c>
      <c r="DI115" s="22">
        <f t="shared" si="69"/>
        <v>48.363932245569451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3.8</v>
      </c>
      <c r="N116" s="13">
        <f>IF('Données projet'!$A$36&gt;35,N115+M116-V115,IF(A116&lt;'Données projet'!$A$36,$K$205^A116,IF(A116='Données projet'!$A$36,'Données projet'!$B$36,N115+M116-V115)))</f>
        <v>277.39999999999998</v>
      </c>
      <c r="O116" s="13">
        <f>N116*VLOOKUP('Données projet'!$B$9,Paramètres!$A$1:$I$89,3,0)*VLOOKUP('Données projet'!$B$9,Paramètres!$A$1:$I$89,5,0)</f>
        <v>250.99151999999995</v>
      </c>
      <c r="P116" s="13">
        <f t="shared" si="87"/>
        <v>60.798211000769406</v>
      </c>
      <c r="Q116" s="20">
        <f t="shared" si="107"/>
        <v>543.03378149300659</v>
      </c>
      <c r="R116" s="59">
        <f t="shared" si="55"/>
        <v>836.36711482633996</v>
      </c>
      <c r="S116" s="59">
        <f ca="1">AVERAGE(OFFSET($R$3,0,0,'Données projet'!$E$9+1,1))-AVERAGE(OFFSET($H$3,0,0,'Données projet'!$E$9+1,1))</f>
        <v>371.7282125501186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53.858075350815902</v>
      </c>
      <c r="AA116" s="21">
        <f>EXP(-LN(2)/25)*AA115+(1-EXP(-LN(2)/25))/(LN(2)/25)*Calculateur!V116*Calculateur!X116*VLOOKUP('Données projet'!$B$9,Paramètres!$A$1:$I$89,3,0)*0.475*44/12</f>
        <v>2.3233681989024197</v>
      </c>
      <c r="AB116" s="21">
        <f>EXP(-LN(2)/2)*AB115+(1-EXP(-LN(2)/2))/(LN(2)/2)*V116*Y116*VLOOKUP('Données projet'!$B$9,Paramètres!$A$1:$I$89,3,0)*0.475*44/12</f>
        <v>0.42255012663585922</v>
      </c>
      <c r="AC116" s="22">
        <f t="shared" si="57"/>
        <v>56.603993676354186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305.00000000000017</v>
      </c>
      <c r="AJ116" s="13">
        <f>AI116*VLOOKUP('Données projet'!$B$10,Paramètres!$A$1:$I$89,3,0)*VLOOKUP('Données projet'!$B$10,Paramètres!$A$1:$I$89,5,0)</f>
        <v>204.59400000000011</v>
      </c>
      <c r="AK116" s="13">
        <f t="shared" si="89"/>
        <v>50.75245156043249</v>
      </c>
      <c r="AL116" s="20">
        <f t="shared" si="58"/>
        <v>444.72840313442015</v>
      </c>
      <c r="AM116" s="59">
        <f t="shared" si="59"/>
        <v>738.06173646775346</v>
      </c>
      <c r="AN116" s="59">
        <f ca="1">AVERAGE(OFFSET($AM$3,0,0,'Données projet'!$E$10+1,1))-AVERAGE(OFFSET($H$3,0,0,'Données projet'!$E$10+1,1))</f>
        <v>269.67260882504996</v>
      </c>
      <c r="AO116" s="59">
        <f t="shared" si="90"/>
        <v>272.13858200810074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15.262337344223011</v>
      </c>
      <c r="AV116" s="21">
        <f>EXP(-LN(2)/25)*AV115+(1-EXP(-LN(2)/25))/(LN(2)/25)*Calculateur!AQ116*Calculateur!AS116*VLOOKUP('Données projet'!$B$10,Paramètres!$A$1:$I$89,3,0)*0.475*44/12</f>
        <v>0.66854262665854625</v>
      </c>
      <c r="AW116" s="21">
        <f>EXP(-LN(2)/2)*AW115+(1-EXP(-LN(2)/2))/(LN(2)/2)*AQ116*AT116*VLOOKUP('Données projet'!$B$10,Paramètres!$A$1:$I$89,3,0)*0.475*44/12</f>
        <v>2.9837432760477524E-7</v>
      </c>
      <c r="AX116" s="21">
        <f t="shared" si="60"/>
        <v>15.930880269255885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453.99999999999977</v>
      </c>
      <c r="BE116" s="13">
        <f>BD116*VLOOKUP('Données projet'!$B$11,Paramètres!$A$1:$I$89,3,0)*VLOOKUP('Données projet'!$B$11,Paramètres!$A$1:$I$89,5,0)</f>
        <v>253.78599999999986</v>
      </c>
      <c r="BF116" s="13">
        <f t="shared" si="91"/>
        <v>61.395945216950906</v>
      </c>
      <c r="BG116" s="20">
        <f t="shared" si="61"/>
        <v>548.94188791952263</v>
      </c>
      <c r="BH116" s="59">
        <f t="shared" si="62"/>
        <v>842.275221252856</v>
      </c>
      <c r="BI116" s="59">
        <f ca="1">AVERAGE(OFFSET($BH$3,0,0,'Données projet'!$E$11+1,1))-AVERAGE(OFFSET($H$3,0,0,'Données projet'!$E$11+1,1))</f>
        <v>330.33728077846268</v>
      </c>
      <c r="BJ116" s="59">
        <f t="shared" si="92"/>
        <v>358.38872754175208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20.959641880515367</v>
      </c>
      <c r="BQ116" s="21">
        <f>EXP(-LN(2)/25)*BQ115+(1-EXP(-LN(2)/25))/(LN(2)/25)*Calculateur!BL116*Calculateur!BN116*VLOOKUP('Données projet'!$B$11,Paramètres!$A$1:$I$89,3,0)*0.475*44/12</f>
        <v>7.5555478434104657</v>
      </c>
      <c r="BR116" s="21">
        <f>EXP(-LN(2)/2)*BR115+(1-EXP(-LN(2)/2))/(LN(2)/2)*BL116*BO116*VLOOKUP('Données projet'!$B$11,Paramètres!$A$1:$I$89,3,0)*0.475*44/12</f>
        <v>5.3844313937327143E-7</v>
      </c>
      <c r="BS116" s="22">
        <f t="shared" si="63"/>
        <v>28.515190262368971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290.99999999999994</v>
      </c>
      <c r="BZ116" s="13">
        <f>BY116*VLOOKUP('Données projet'!$B$12,Paramètres!$A$1:$I$89,3,0)*VLOOKUP('Données projet'!$B$12,Paramètres!$A$1:$I$89,5,0)</f>
        <v>276.91559999999993</v>
      </c>
      <c r="CA116" s="13">
        <f t="shared" si="93"/>
        <v>66.314766879144742</v>
      </c>
      <c r="CB116" s="20">
        <f t="shared" si="64"/>
        <v>597.79288898117682</v>
      </c>
      <c r="CC116" s="59">
        <f t="shared" si="65"/>
        <v>891.12622231451019</v>
      </c>
      <c r="CD116" s="59">
        <f ca="1">AVERAGE(OFFSET($CC$3,0,0,'Données projet'!$E$12+1,1))-AVERAGE(OFFSET($H$3,0,0,'Données projet'!$E$12+1,1))</f>
        <v>367.39143258674738</v>
      </c>
      <c r="CE116" s="59">
        <f t="shared" si="94"/>
        <v>376.02790658970292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19.38783138907694</v>
      </c>
      <c r="CL116" s="21">
        <f>EXP(-LN(2)/25)*CL115+(1-EXP(-LN(2)/25))/(LN(2)/25)*Calculateur!CG116*Calculateur!CI116*VLOOKUP('Données projet'!$B$12,Paramètres!$A$1:$I$89,3,0)*0.475*44/12</f>
        <v>0.83080541687139708</v>
      </c>
      <c r="CM116" s="21">
        <f>EXP(-LN(2)/2)*CM115+(1-EXP(-LN(2)/2))/(LN(2)/2)*CG116*CJ116*VLOOKUP('Données projet'!$B$12,Paramètres!$A$1:$I$89,3,0)*0.475*44/12</f>
        <v>4.8934652570914934E-7</v>
      </c>
      <c r="CN116" s="22">
        <f t="shared" si="66"/>
        <v>20.218637295294862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925.00000000000034</v>
      </c>
      <c r="CU116" s="17">
        <f>CT116*VLOOKUP('Données projet'!$B$13,Paramètres!$A$1:$I$89,3,0)*VLOOKUP('Données projet'!$B$13,Paramètres!$A$1:$I$89,5,0)</f>
        <v>408.85000000000014</v>
      </c>
      <c r="CV116" s="13">
        <f t="shared" si="95"/>
        <v>93.568575358321141</v>
      </c>
      <c r="CW116" s="20">
        <f t="shared" si="67"/>
        <v>875.04568541574281</v>
      </c>
      <c r="CX116" s="59">
        <f t="shared" si="68"/>
        <v>1168.3790187490761</v>
      </c>
      <c r="CY116" s="59">
        <f ca="1">AVERAGE(OFFSET($CX$3,0,0,'Données projet'!$E$13+1,1))-AVERAGE(OFFSET($H$3,0,0,'Données projet'!$E$13+1,1))</f>
        <v>500.13646131618248</v>
      </c>
      <c r="CZ116" s="59">
        <f t="shared" si="96"/>
        <v>417.58036817539306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35.575685105954193</v>
      </c>
      <c r="DG116" s="21">
        <f>EXP(-LN(2)/25)*DG115+(1-EXP(-LN(2)/25))/(LN(2)/25)*Calculateur!DB116*Calculateur!DD116*VLOOKUP('Données projet'!$B$13,Paramètres!$A$1:$I$89,3,0)*0.475*44/12</f>
        <v>11.74640243444817</v>
      </c>
      <c r="DH116" s="21">
        <f>EXP(-LN(2)/2)*DH115+(1-EXP(-LN(2)/2))/(LN(2)/2)*DB116*DE116*VLOOKUP('Données projet'!$B$13,Paramètres!$A$1:$I$89,3,0)*0.475*44/12</f>
        <v>2.6463408881149432E-5</v>
      </c>
      <c r="DI116" s="22">
        <f t="shared" si="69"/>
        <v>47.322114003811244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3.8</v>
      </c>
      <c r="N117" s="13">
        <f>IF('Données projet'!$A$36&gt;35,N116+M117-V116,IF(A117&lt;'Données projet'!$A$36,$K$205^A117,IF(A117='Données projet'!$A$36,'Données projet'!$B$36,N116+M117-V116)))</f>
        <v>281.2</v>
      </c>
      <c r="O117" s="13">
        <f>N117*VLOOKUP('Données projet'!$B$9,Paramètres!$A$1:$I$89,3,0)*VLOOKUP('Données projet'!$B$9,Paramètres!$A$1:$I$89,5,0)</f>
        <v>254.42975999999996</v>
      </c>
      <c r="P117" s="13">
        <f t="shared" si="87"/>
        <v>61.533535468549189</v>
      </c>
      <c r="Q117" s="20">
        <f t="shared" si="107"/>
        <v>550.30273960772308</v>
      </c>
      <c r="R117" s="59">
        <f t="shared" si="55"/>
        <v>843.63607294105645</v>
      </c>
      <c r="S117" s="59">
        <f ca="1">AVERAGE(OFFSET($R$3,0,0,'Données projet'!$E$9+1,1))-AVERAGE(OFFSET($H$3,0,0,'Données projet'!$E$9+1,1))</f>
        <v>371.7282125501186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52.801951343368678</v>
      </c>
      <c r="AA117" s="21">
        <f>EXP(-LN(2)/25)*AA116+(1-EXP(-LN(2)/25))/(LN(2)/25)*Calculateur!V117*Calculateur!X117*VLOOKUP('Données projet'!$B$9,Paramètres!$A$1:$I$89,3,0)*0.475*44/12</f>
        <v>2.2598355733228095</v>
      </c>
      <c r="AB117" s="21">
        <f>EXP(-LN(2)/2)*AB116+(1-EXP(-LN(2)/2))/(LN(2)/2)*V117*Y117*VLOOKUP('Données projet'!$B$9,Paramètres!$A$1:$I$89,3,0)*0.475*44/12</f>
        <v>0.29878805993545049</v>
      </c>
      <c r="AC117" s="22">
        <f t="shared" si="57"/>
        <v>55.360574976626943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305.00000000000017</v>
      </c>
      <c r="AJ117" s="13">
        <f>AI117*VLOOKUP('Données projet'!$B$10,Paramètres!$A$1:$I$89,3,0)*VLOOKUP('Données projet'!$B$10,Paramètres!$A$1:$I$89,5,0)</f>
        <v>204.59400000000011</v>
      </c>
      <c r="AK117" s="13">
        <f t="shared" si="89"/>
        <v>50.75245156043249</v>
      </c>
      <c r="AL117" s="20">
        <f t="shared" si="58"/>
        <v>444.72840313442015</v>
      </c>
      <c r="AM117" s="59">
        <f t="shared" si="59"/>
        <v>738.06173646775346</v>
      </c>
      <c r="AN117" s="59">
        <f ca="1">AVERAGE(OFFSET($AM$3,0,0,'Données projet'!$E$10+1,1))-AVERAGE(OFFSET($H$3,0,0,'Données projet'!$E$10+1,1))</f>
        <v>269.67260882504996</v>
      </c>
      <c r="AO117" s="59">
        <f t="shared" si="90"/>
        <v>272.13858200810074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14.963052218009381</v>
      </c>
      <c r="AV117" s="21">
        <f>EXP(-LN(2)/25)*AV116+(1-EXP(-LN(2)/25))/(LN(2)/25)*Calculateur!AQ117*Calculateur!AS117*VLOOKUP('Données projet'!$B$10,Paramètres!$A$1:$I$89,3,0)*0.475*44/12</f>
        <v>0.65026129337543959</v>
      </c>
      <c r="AW117" s="21">
        <f>EXP(-LN(2)/2)*AW116+(1-EXP(-LN(2)/2))/(LN(2)/2)*AQ117*AT117*VLOOKUP('Données projet'!$B$10,Paramètres!$A$1:$I$89,3,0)*0.475*44/12</f>
        <v>2.1098251038131306E-7</v>
      </c>
      <c r="AX117" s="21">
        <f t="shared" si="60"/>
        <v>15.61331372236733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453.99999999999977</v>
      </c>
      <c r="BE117" s="13">
        <f>BD117*VLOOKUP('Données projet'!$B$11,Paramètres!$A$1:$I$89,3,0)*VLOOKUP('Données projet'!$B$11,Paramètres!$A$1:$I$89,5,0)</f>
        <v>253.78599999999986</v>
      </c>
      <c r="BF117" s="13">
        <f t="shared" si="91"/>
        <v>61.395945216950906</v>
      </c>
      <c r="BG117" s="20">
        <f t="shared" si="61"/>
        <v>548.94188791952263</v>
      </c>
      <c r="BH117" s="59">
        <f t="shared" si="62"/>
        <v>842.275221252856</v>
      </c>
      <c r="BI117" s="59">
        <f ca="1">AVERAGE(OFFSET($BH$3,0,0,'Données projet'!$E$11+1,1))-AVERAGE(OFFSET($H$3,0,0,'Données projet'!$E$11+1,1))</f>
        <v>330.33728077846268</v>
      </c>
      <c r="BJ117" s="59">
        <f t="shared" si="92"/>
        <v>358.38872754175208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20.548636087357682</v>
      </c>
      <c r="BQ117" s="21">
        <f>EXP(-LN(2)/25)*BQ116+(1-EXP(-LN(2)/25))/(LN(2)/25)*Calculateur!BL117*Calculateur!BN117*VLOOKUP('Données projet'!$B$11,Paramètres!$A$1:$I$89,3,0)*0.475*44/12</f>
        <v>7.3489409903034142</v>
      </c>
      <c r="BR117" s="21">
        <f>EXP(-LN(2)/2)*BR116+(1-EXP(-LN(2)/2))/(LN(2)/2)*BL117*BO117*VLOOKUP('Données projet'!$B$11,Paramètres!$A$1:$I$89,3,0)*0.475*44/12</f>
        <v>3.8073679513421356E-7</v>
      </c>
      <c r="BS117" s="22">
        <f t="shared" si="63"/>
        <v>27.897577458397894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290.99999999999994</v>
      </c>
      <c r="BZ117" s="13">
        <f>BY117*VLOOKUP('Données projet'!$B$12,Paramètres!$A$1:$I$89,3,0)*VLOOKUP('Données projet'!$B$12,Paramètres!$A$1:$I$89,5,0)</f>
        <v>276.91559999999993</v>
      </c>
      <c r="CA117" s="13">
        <f t="shared" si="93"/>
        <v>66.314766879144742</v>
      </c>
      <c r="CB117" s="20">
        <f t="shared" si="64"/>
        <v>597.79288898117682</v>
      </c>
      <c r="CC117" s="59">
        <f t="shared" si="65"/>
        <v>891.12622231451019</v>
      </c>
      <c r="CD117" s="59">
        <f ca="1">AVERAGE(OFFSET($CC$3,0,0,'Données projet'!$E$12+1,1))-AVERAGE(OFFSET($H$3,0,0,'Données projet'!$E$12+1,1))</f>
        <v>367.39143258674738</v>
      </c>
      <c r="CE117" s="59">
        <f t="shared" si="94"/>
        <v>376.02790658970292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19.007647840946625</v>
      </c>
      <c r="CL117" s="21">
        <f>EXP(-LN(2)/25)*CL116+(1-EXP(-LN(2)/25))/(LN(2)/25)*Calculateur!CG117*Calculateur!CI117*VLOOKUP('Données projet'!$B$12,Paramètres!$A$1:$I$89,3,0)*0.475*44/12</f>
        <v>0.80808699905689074</v>
      </c>
      <c r="CM117" s="21">
        <f>EXP(-LN(2)/2)*CM116+(1-EXP(-LN(2)/2))/(LN(2)/2)*CG117*CJ117*VLOOKUP('Données projet'!$B$12,Paramètres!$A$1:$I$89,3,0)*0.475*44/12</f>
        <v>3.4602024667901673E-7</v>
      </c>
      <c r="CN117" s="22">
        <f t="shared" si="66"/>
        <v>19.815735186023762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925.00000000000034</v>
      </c>
      <c r="CU117" s="17">
        <f>CT117*VLOOKUP('Données projet'!$B$13,Paramètres!$A$1:$I$89,3,0)*VLOOKUP('Données projet'!$B$13,Paramètres!$A$1:$I$89,5,0)</f>
        <v>408.85000000000014</v>
      </c>
      <c r="CV117" s="13">
        <f t="shared" si="95"/>
        <v>93.568575358321141</v>
      </c>
      <c r="CW117" s="20">
        <f t="shared" si="67"/>
        <v>875.04568541574281</v>
      </c>
      <c r="CX117" s="59">
        <f t="shared" si="68"/>
        <v>1168.3790187490761</v>
      </c>
      <c r="CY117" s="59">
        <f ca="1">AVERAGE(OFFSET($CX$3,0,0,'Données projet'!$E$13+1,1))-AVERAGE(OFFSET($H$3,0,0,'Données projet'!$E$13+1,1))</f>
        <v>500.13646131618248</v>
      </c>
      <c r="CZ117" s="59">
        <f t="shared" si="96"/>
        <v>417.58036817539306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34.878067620051745</v>
      </c>
      <c r="DG117" s="21">
        <f>EXP(-LN(2)/25)*DG116+(1-EXP(-LN(2)/25))/(LN(2)/25)*Calculateur!DB117*Calculateur!DD117*VLOOKUP('Données projet'!$B$13,Paramètres!$A$1:$I$89,3,0)*0.475*44/12</f>
        <v>11.425196442161727</v>
      </c>
      <c r="DH117" s="21">
        <f>EXP(-LN(2)/2)*DH116+(1-EXP(-LN(2)/2))/(LN(2)/2)*DB117*DE117*VLOOKUP('Données projet'!$B$13,Paramètres!$A$1:$I$89,3,0)*0.475*44/12</f>
        <v>1.8712455873173069E-5</v>
      </c>
      <c r="DI117" s="22">
        <f t="shared" si="69"/>
        <v>46.303282774669348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285</v>
      </c>
      <c r="L118" s="12">
        <f>VLOOKUP(A118,'Données projet'!$A$35:$I$55,9,0)</f>
        <v>3.8</v>
      </c>
      <c r="M118" s="12">
        <f t="array" ref="M118">INDEX(L:L,MIN(IF(ISNUMBER(L118:L314),ROW(L118:L314),"")))</f>
        <v>3.8</v>
      </c>
      <c r="N118" s="13">
        <f>IF('Données projet'!$A$36&gt;35,N117+M118-V117,IF(A118&lt;'Données projet'!$A$36,$K$205^A118,IF(A118='Données projet'!$A$36,'Données projet'!$B$36,N117+M118-V117)))</f>
        <v>285</v>
      </c>
      <c r="O118" s="13">
        <f>N118*VLOOKUP('Données projet'!$B$9,Paramètres!$A$1:$I$89,3,0)*VLOOKUP('Données projet'!$B$9,Paramètres!$A$1:$I$89,5,0)</f>
        <v>257.86799999999999</v>
      </c>
      <c r="P118" s="13">
        <f t="shared" si="87"/>
        <v>62.267704162827528</v>
      </c>
      <c r="Q118" s="20">
        <f t="shared" si="107"/>
        <v>557.56968475025803</v>
      </c>
      <c r="R118" s="59">
        <f t="shared" si="55"/>
        <v>850.90301808359141</v>
      </c>
      <c r="S118" s="59">
        <f ca="1">AVERAGE(OFFSET($R$3,0,0,'Données projet'!$E$9+1,1))-AVERAGE(OFFSET($H$3,0,0,'Données projet'!$E$9+1,1))</f>
        <v>371.7282125501186</v>
      </c>
      <c r="T118" s="59">
        <f t="shared" si="88"/>
        <v>231.36959598460686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18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1.72E-2</v>
      </c>
      <c r="Y118" s="16">
        <f>IF(ISNA(VLOOKUP(A118,'Données projet'!$A$35:$I$55,7,0)),0%,VLOOKUP(A118,'Données projet'!$A$35:$I$55,7,0))</f>
        <v>0.06</v>
      </c>
      <c r="Z118" s="21">
        <f>EXP(-LN(2)/35)*Z117+(1-EXP(-LN(2)/35))/(LN(2)/35)*V118*W118*VLOOKUP('Données projet'!$B$9,Paramètres!$A$1:$I$89,3,0)*0.475*44/12</f>
        <v>57.95995896302901</v>
      </c>
      <c r="AA118" s="21">
        <f>EXP(-LN(2)/25)*AA117+(1-EXP(-LN(2)/25))/(LN(2)/25)*Calculateur!V118*Calculateur!X118*VLOOKUP('Données projet'!$B$9,Paramètres!$A$1:$I$89,3,0)*0.475*44/12</f>
        <v>2.506492041653845</v>
      </c>
      <c r="AB118" s="21">
        <f>EXP(-LN(2)/2)*AB117+(1-EXP(-LN(2)/2))/(LN(2)/2)*V118*Y118*VLOOKUP('Données projet'!$B$9,Paramètres!$A$1:$I$89,3,0)*0.475*44/12</f>
        <v>1.1332744678396809</v>
      </c>
      <c r="AC118" s="22">
        <f t="shared" si="57"/>
        <v>61.599725472522536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305.00000000000017</v>
      </c>
      <c r="AJ118" s="13">
        <f>AI118*VLOOKUP('Données projet'!$B$10,Paramètres!$A$1:$I$89,3,0)*VLOOKUP('Données projet'!$B$10,Paramètres!$A$1:$I$89,5,0)</f>
        <v>204.59400000000011</v>
      </c>
      <c r="AK118" s="13">
        <f t="shared" si="89"/>
        <v>50.75245156043249</v>
      </c>
      <c r="AL118" s="20">
        <f t="shared" si="58"/>
        <v>444.72840313442015</v>
      </c>
      <c r="AM118" s="59">
        <f t="shared" si="59"/>
        <v>738.06173646775346</v>
      </c>
      <c r="AN118" s="59">
        <f ca="1">AVERAGE(OFFSET($AM$3,0,0,'Données projet'!$E$10+1,1))-AVERAGE(OFFSET($H$3,0,0,'Données projet'!$E$10+1,1))</f>
        <v>269.67260882504996</v>
      </c>
      <c r="AO118" s="59">
        <f t="shared" si="90"/>
        <v>272.13858200810074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14.669635890574897</v>
      </c>
      <c r="AV118" s="21">
        <f>EXP(-LN(2)/25)*AV117+(1-EXP(-LN(2)/25))/(LN(2)/25)*Calculateur!AQ118*Calculateur!AS118*VLOOKUP('Données projet'!$B$10,Paramètres!$A$1:$I$89,3,0)*0.475*44/12</f>
        <v>0.63247986411233292</v>
      </c>
      <c r="AW118" s="21">
        <f>EXP(-LN(2)/2)*AW117+(1-EXP(-LN(2)/2))/(LN(2)/2)*AQ118*AT118*VLOOKUP('Données projet'!$B$10,Paramètres!$A$1:$I$89,3,0)*0.475*44/12</f>
        <v>1.4918716380238762E-7</v>
      </c>
      <c r="AX118" s="21">
        <f t="shared" si="60"/>
        <v>15.302115903874395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453.99999999999977</v>
      </c>
      <c r="BE118" s="13">
        <f>BD118*VLOOKUP('Données projet'!$B$11,Paramètres!$A$1:$I$89,3,0)*VLOOKUP('Données projet'!$B$11,Paramètres!$A$1:$I$89,5,0)</f>
        <v>253.78599999999986</v>
      </c>
      <c r="BF118" s="13">
        <f t="shared" si="91"/>
        <v>61.395945216950906</v>
      </c>
      <c r="BG118" s="20">
        <f t="shared" si="61"/>
        <v>548.94188791952263</v>
      </c>
      <c r="BH118" s="59">
        <f t="shared" si="62"/>
        <v>842.275221252856</v>
      </c>
      <c r="BI118" s="59">
        <f ca="1">AVERAGE(OFFSET($BH$3,0,0,'Données projet'!$E$11+1,1))-AVERAGE(OFFSET($H$3,0,0,'Données projet'!$E$11+1,1))</f>
        <v>330.33728077846268</v>
      </c>
      <c r="BJ118" s="59">
        <f t="shared" si="92"/>
        <v>358.38872754175208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20.145689867115038</v>
      </c>
      <c r="BQ118" s="21">
        <f>EXP(-LN(2)/25)*BQ117+(1-EXP(-LN(2)/25))/(LN(2)/25)*Calculateur!BL118*Calculateur!BN118*VLOOKUP('Données projet'!$B$11,Paramètres!$A$1:$I$89,3,0)*0.475*44/12</f>
        <v>7.1479838124595565</v>
      </c>
      <c r="BR118" s="21">
        <f>EXP(-LN(2)/2)*BR117+(1-EXP(-LN(2)/2))/(LN(2)/2)*BL118*BO118*VLOOKUP('Données projet'!$B$11,Paramètres!$A$1:$I$89,3,0)*0.475*44/12</f>
        <v>2.6922156968663572E-7</v>
      </c>
      <c r="BS118" s="22">
        <f t="shared" si="63"/>
        <v>27.293673948796165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290.99999999999994</v>
      </c>
      <c r="BZ118" s="13">
        <f>BY118*VLOOKUP('Données projet'!$B$12,Paramètres!$A$1:$I$89,3,0)*VLOOKUP('Données projet'!$B$12,Paramètres!$A$1:$I$89,5,0)</f>
        <v>276.91559999999993</v>
      </c>
      <c r="CA118" s="13">
        <f t="shared" si="93"/>
        <v>66.314766879144742</v>
      </c>
      <c r="CB118" s="20">
        <f t="shared" si="64"/>
        <v>597.79288898117682</v>
      </c>
      <c r="CC118" s="59">
        <f t="shared" si="65"/>
        <v>891.12622231451019</v>
      </c>
      <c r="CD118" s="59">
        <f ca="1">AVERAGE(OFFSET($CC$3,0,0,'Données projet'!$E$12+1,1))-AVERAGE(OFFSET($H$3,0,0,'Données projet'!$E$12+1,1))</f>
        <v>367.39143258674738</v>
      </c>
      <c r="CE118" s="59">
        <f t="shared" si="94"/>
        <v>376.02790658970292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18.634919460306079</v>
      </c>
      <c r="CL118" s="21">
        <f>EXP(-LN(2)/25)*CL117+(1-EXP(-LN(2)/25))/(LN(2)/25)*Calculateur!CG118*Calculateur!CI118*VLOOKUP('Données projet'!$B$12,Paramètres!$A$1:$I$89,3,0)*0.475*44/12</f>
        <v>0.78598981757223174</v>
      </c>
      <c r="CM118" s="21">
        <f>EXP(-LN(2)/2)*CM117+(1-EXP(-LN(2)/2))/(LN(2)/2)*CG118*CJ118*VLOOKUP('Données projet'!$B$12,Paramètres!$A$1:$I$89,3,0)*0.475*44/12</f>
        <v>2.4467326285457467E-7</v>
      </c>
      <c r="CN118" s="22">
        <f t="shared" si="66"/>
        <v>19.420909522551575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925.00000000000034</v>
      </c>
      <c r="CU118" s="17">
        <f>CT118*VLOOKUP('Données projet'!$B$13,Paramètres!$A$1:$I$89,3,0)*VLOOKUP('Données projet'!$B$13,Paramètres!$A$1:$I$89,5,0)</f>
        <v>408.85000000000014</v>
      </c>
      <c r="CV118" s="13">
        <f t="shared" si="95"/>
        <v>93.568575358321141</v>
      </c>
      <c r="CW118" s="20">
        <f t="shared" si="67"/>
        <v>875.04568541574281</v>
      </c>
      <c r="CX118" s="59">
        <f t="shared" si="68"/>
        <v>1168.3790187490761</v>
      </c>
      <c r="CY118" s="59">
        <f ca="1">AVERAGE(OFFSET($CX$3,0,0,'Données projet'!$E$13+1,1))-AVERAGE(OFFSET($H$3,0,0,'Données projet'!$E$13+1,1))</f>
        <v>500.13646131618248</v>
      </c>
      <c r="CZ118" s="59">
        <f t="shared" si="96"/>
        <v>417.58036817539306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34.194129987543192</v>
      </c>
      <c r="DG118" s="21">
        <f>EXP(-LN(2)/25)*DG117+(1-EXP(-LN(2)/25))/(LN(2)/25)*Calculateur!DB118*Calculateur!DD118*VLOOKUP('Données projet'!$B$13,Paramètres!$A$1:$I$89,3,0)*0.475*44/12</f>
        <v>11.112773844625847</v>
      </c>
      <c r="DH118" s="21">
        <f>EXP(-LN(2)/2)*DH117+(1-EXP(-LN(2)/2))/(LN(2)/2)*DB118*DE118*VLOOKUP('Données projet'!$B$13,Paramètres!$A$1:$I$89,3,0)*0.475*44/12</f>
        <v>1.3231704440574716E-5</v>
      </c>
      <c r="DI118" s="22">
        <f t="shared" si="69"/>
        <v>45.306917063873485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3.6</v>
      </c>
      <c r="N119" s="13">
        <f>IF('Données projet'!$A$36&gt;35,N118+M119-V118,IF(A119&lt;'Données projet'!$A$36,$K$205^A119,IF(A119='Données projet'!$A$36,'Données projet'!$B$36,N118+M119-V118)))</f>
        <v>270.60000000000002</v>
      </c>
      <c r="O119" s="13">
        <f>N119*VLOOKUP('Données projet'!$B$9,Paramètres!$A$1:$I$89,3,0)*VLOOKUP('Données projet'!$B$9,Paramètres!$A$1:$I$89,5,0)</f>
        <v>244.83888000000002</v>
      </c>
      <c r="P119" s="13">
        <f t="shared" si="87"/>
        <v>59.479426489427787</v>
      </c>
      <c r="Q119" s="20">
        <f t="shared" si="107"/>
        <v>530.02105046908684</v>
      </c>
      <c r="R119" s="59">
        <f t="shared" si="55"/>
        <v>823.35438380242022</v>
      </c>
      <c r="S119" s="59">
        <f ca="1">AVERAGE(OFFSET($R$3,0,0,'Données projet'!$E$9+1,1))-AVERAGE(OFFSET($H$3,0,0,'Données projet'!$E$9+1,1))</f>
        <v>371.7282125501186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56.823399519848252</v>
      </c>
      <c r="AA119" s="21">
        <f>EXP(-LN(2)/25)*AA118+(1-EXP(-LN(2)/25))/(LN(2)/25)*Calculateur!V119*Calculateur!X119*VLOOKUP('Données projet'!$B$9,Paramètres!$A$1:$I$89,3,0)*0.475*44/12</f>
        <v>2.4379518849641326</v>
      </c>
      <c r="AB119" s="21">
        <f>EXP(-LN(2)/2)*AB118+(1-EXP(-LN(2)/2))/(LN(2)/2)*V119*Y119*VLOOKUP('Données projet'!$B$9,Paramètres!$A$1:$I$89,3,0)*0.475*44/12</f>
        <v>0.80134606115501439</v>
      </c>
      <c r="AC119" s="22">
        <f t="shared" si="57"/>
        <v>60.062697465967403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305.00000000000017</v>
      </c>
      <c r="AJ119" s="13">
        <f>AI119*VLOOKUP('Données projet'!$B$10,Paramètres!$A$1:$I$89,3,0)*VLOOKUP('Données projet'!$B$10,Paramètres!$A$1:$I$89,5,0)</f>
        <v>204.59400000000011</v>
      </c>
      <c r="AK119" s="13">
        <f t="shared" si="89"/>
        <v>50.75245156043249</v>
      </c>
      <c r="AL119" s="20">
        <f t="shared" si="58"/>
        <v>444.72840313442015</v>
      </c>
      <c r="AM119" s="59">
        <f t="shared" si="59"/>
        <v>738.06173646775346</v>
      </c>
      <c r="AN119" s="59">
        <f ca="1">AVERAGE(OFFSET($AM$3,0,0,'Données projet'!$E$10+1,1))-AVERAGE(OFFSET($H$3,0,0,'Données projet'!$E$10+1,1))</f>
        <v>269.67260882504996</v>
      </c>
      <c r="AO119" s="59">
        <f t="shared" si="90"/>
        <v>272.13858200810074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14.381973278355115</v>
      </c>
      <c r="AV119" s="21">
        <f>EXP(-LN(2)/25)*AV118+(1-EXP(-LN(2)/25))/(LN(2)/25)*Calculateur!AQ119*Calculateur!AS119*VLOOKUP('Données projet'!$B$10,Paramètres!$A$1:$I$89,3,0)*0.475*44/12</f>
        <v>0.61518466896751067</v>
      </c>
      <c r="AW119" s="21">
        <f>EXP(-LN(2)/2)*AW118+(1-EXP(-LN(2)/2))/(LN(2)/2)*AQ119*AT119*VLOOKUP('Données projet'!$B$10,Paramètres!$A$1:$I$89,3,0)*0.475*44/12</f>
        <v>1.0549125519065653E-7</v>
      </c>
      <c r="AX119" s="21">
        <f t="shared" si="60"/>
        <v>14.99715805281388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453.99999999999977</v>
      </c>
      <c r="BE119" s="13">
        <f>BD119*VLOOKUP('Données projet'!$B$11,Paramètres!$A$1:$I$89,3,0)*VLOOKUP('Données projet'!$B$11,Paramètres!$A$1:$I$89,5,0)</f>
        <v>253.78599999999986</v>
      </c>
      <c r="BF119" s="13">
        <f t="shared" si="91"/>
        <v>61.395945216950906</v>
      </c>
      <c r="BG119" s="20">
        <f t="shared" si="61"/>
        <v>548.94188791952263</v>
      </c>
      <c r="BH119" s="59">
        <f t="shared" si="62"/>
        <v>842.275221252856</v>
      </c>
      <c r="BI119" s="59">
        <f ca="1">AVERAGE(OFFSET($BH$3,0,0,'Données projet'!$E$11+1,1))-AVERAGE(OFFSET($H$3,0,0,'Données projet'!$E$11+1,1))</f>
        <v>330.33728077846268</v>
      </c>
      <c r="BJ119" s="59">
        <f t="shared" si="92"/>
        <v>358.38872754175208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19.750645176478425</v>
      </c>
      <c r="BQ119" s="21">
        <f>EXP(-LN(2)/25)*BQ118+(1-EXP(-LN(2)/25))/(LN(2)/25)*Calculateur!BL119*Calculateur!BN119*VLOOKUP('Données projet'!$B$11,Paramètres!$A$1:$I$89,3,0)*0.475*44/12</f>
        <v>6.952521819211718</v>
      </c>
      <c r="BR119" s="21">
        <f>EXP(-LN(2)/2)*BR118+(1-EXP(-LN(2)/2))/(LN(2)/2)*BL119*BO119*VLOOKUP('Données projet'!$B$11,Paramètres!$A$1:$I$89,3,0)*0.475*44/12</f>
        <v>1.9036839756710678E-7</v>
      </c>
      <c r="BS119" s="22">
        <f t="shared" si="63"/>
        <v>26.70316718605854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290.99999999999994</v>
      </c>
      <c r="BZ119" s="13">
        <f>BY119*VLOOKUP('Données projet'!$B$12,Paramètres!$A$1:$I$89,3,0)*VLOOKUP('Données projet'!$B$12,Paramètres!$A$1:$I$89,5,0)</f>
        <v>276.91559999999993</v>
      </c>
      <c r="CA119" s="13">
        <f t="shared" si="93"/>
        <v>66.314766879144742</v>
      </c>
      <c r="CB119" s="20">
        <f t="shared" si="64"/>
        <v>597.79288898117682</v>
      </c>
      <c r="CC119" s="59">
        <f t="shared" si="65"/>
        <v>891.12622231451019</v>
      </c>
      <c r="CD119" s="59">
        <f ca="1">AVERAGE(OFFSET($CC$3,0,0,'Données projet'!$E$12+1,1))-AVERAGE(OFFSET($H$3,0,0,'Données projet'!$E$12+1,1))</f>
        <v>367.39143258674738</v>
      </c>
      <c r="CE119" s="59">
        <f t="shared" si="94"/>
        <v>376.02790658970292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18.269500055868033</v>
      </c>
      <c r="CL119" s="21">
        <f>EXP(-LN(2)/25)*CL118+(1-EXP(-LN(2)/25))/(LN(2)/25)*Calculateur!CG119*Calculateur!CI119*VLOOKUP('Données projet'!$B$12,Paramètres!$A$1:$I$89,3,0)*0.475*44/12</f>
        <v>0.76449688467731092</v>
      </c>
      <c r="CM119" s="21">
        <f>EXP(-LN(2)/2)*CM118+(1-EXP(-LN(2)/2))/(LN(2)/2)*CG119*CJ119*VLOOKUP('Données projet'!$B$12,Paramètres!$A$1:$I$89,3,0)*0.475*44/12</f>
        <v>1.7301012333950836E-7</v>
      </c>
      <c r="CN119" s="22">
        <f t="shared" si="66"/>
        <v>19.033997113555465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925.00000000000034</v>
      </c>
      <c r="CU119" s="17">
        <f>CT119*VLOOKUP('Données projet'!$B$13,Paramètres!$A$1:$I$89,3,0)*VLOOKUP('Données projet'!$B$13,Paramètres!$A$1:$I$89,5,0)</f>
        <v>408.85000000000014</v>
      </c>
      <c r="CV119" s="13">
        <f t="shared" si="95"/>
        <v>93.568575358321141</v>
      </c>
      <c r="CW119" s="20">
        <f t="shared" si="67"/>
        <v>875.04568541574281</v>
      </c>
      <c r="CX119" s="59">
        <f t="shared" si="68"/>
        <v>1168.3790187490761</v>
      </c>
      <c r="CY119" s="59">
        <f ca="1">AVERAGE(OFFSET($CX$3,0,0,'Données projet'!$E$13+1,1))-AVERAGE(OFFSET($H$3,0,0,'Données projet'!$E$13+1,1))</f>
        <v>500.13646131618248</v>
      </c>
      <c r="CZ119" s="59">
        <f t="shared" si="96"/>
        <v>417.58036817539306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33.523603954847367</v>
      </c>
      <c r="DG119" s="21">
        <f>EXP(-LN(2)/25)*DG118+(1-EXP(-LN(2)/25))/(LN(2)/25)*Calculateur!DB119*Calculateur!DD119*VLOOKUP('Données projet'!$B$13,Paramètres!$A$1:$I$89,3,0)*0.475*44/12</f>
        <v>10.808894459449176</v>
      </c>
      <c r="DH119" s="21">
        <f>EXP(-LN(2)/2)*DH118+(1-EXP(-LN(2)/2))/(LN(2)/2)*DB119*DE119*VLOOKUP('Données projet'!$B$13,Paramètres!$A$1:$I$89,3,0)*0.475*44/12</f>
        <v>9.3562279365865347E-6</v>
      </c>
      <c r="DI119" s="22">
        <f t="shared" si="69"/>
        <v>44.332507770524479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3.6</v>
      </c>
      <c r="N120" s="13">
        <f>IF('Données projet'!$A$36&gt;35,N119+M120-V119,IF(A120&lt;'Données projet'!$A$36,$K$205^A120,IF(A120='Données projet'!$A$36,'Données projet'!$B$36,N119+M120-V119)))</f>
        <v>274.20000000000005</v>
      </c>
      <c r="O120" s="13">
        <f>N120*VLOOKUP('Données projet'!$B$9,Paramètres!$A$1:$I$89,3,0)*VLOOKUP('Données projet'!$B$9,Paramètres!$A$1:$I$89,5,0)</f>
        <v>248.09616</v>
      </c>
      <c r="P120" s="13">
        <f t="shared" si="87"/>
        <v>60.178080967364686</v>
      </c>
      <c r="Q120" s="20">
        <f t="shared" si="107"/>
        <v>536.91096968482668</v>
      </c>
      <c r="R120" s="59">
        <f t="shared" si="55"/>
        <v>830.24430301816005</v>
      </c>
      <c r="S120" s="59">
        <f ca="1">AVERAGE(OFFSET($R$3,0,0,'Données projet'!$E$9+1,1))-AVERAGE(OFFSET($H$3,0,0,'Données projet'!$E$9+1,1))</f>
        <v>371.7282125501186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55.709127314115456</v>
      </c>
      <c r="AA120" s="21">
        <f>EXP(-LN(2)/25)*AA119+(1-EXP(-LN(2)/25))/(LN(2)/25)*Calculateur!V120*Calculateur!X120*VLOOKUP('Données projet'!$B$9,Paramètres!$A$1:$I$89,3,0)*0.475*44/12</f>
        <v>2.371285962463471</v>
      </c>
      <c r="AB120" s="21">
        <f>EXP(-LN(2)/2)*AB119+(1-EXP(-LN(2)/2))/(LN(2)/2)*V120*Y120*VLOOKUP('Données projet'!$B$9,Paramètres!$A$1:$I$89,3,0)*0.475*44/12</f>
        <v>0.56663723391984055</v>
      </c>
      <c r="AC120" s="22">
        <f t="shared" si="57"/>
        <v>58.647050510498765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305.00000000000017</v>
      </c>
      <c r="AJ120" s="13">
        <f>AI120*VLOOKUP('Données projet'!$B$10,Paramètres!$A$1:$I$89,3,0)*VLOOKUP('Données projet'!$B$10,Paramètres!$A$1:$I$89,5,0)</f>
        <v>204.59400000000011</v>
      </c>
      <c r="AK120" s="13">
        <f t="shared" si="89"/>
        <v>50.75245156043249</v>
      </c>
      <c r="AL120" s="20">
        <f t="shared" si="58"/>
        <v>444.72840313442015</v>
      </c>
      <c r="AM120" s="59">
        <f t="shared" si="59"/>
        <v>738.06173646775346</v>
      </c>
      <c r="AN120" s="59">
        <f ca="1">AVERAGE(OFFSET($AM$3,0,0,'Données projet'!$E$10+1,1))-AVERAGE(OFFSET($H$3,0,0,'Données projet'!$E$10+1,1))</f>
        <v>269.67260882504996</v>
      </c>
      <c r="AO120" s="59">
        <f t="shared" si="90"/>
        <v>272.13858200810074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14.099951554504095</v>
      </c>
      <c r="AV120" s="21">
        <f>EXP(-LN(2)/25)*AV119+(1-EXP(-LN(2)/25))/(LN(2)/25)*Calculateur!AQ120*Calculateur!AS120*VLOOKUP('Données projet'!$B$10,Paramètres!$A$1:$I$89,3,0)*0.475*44/12</f>
        <v>0.59836241184343841</v>
      </c>
      <c r="AW120" s="21">
        <f>EXP(-LN(2)/2)*AW119+(1-EXP(-LN(2)/2))/(LN(2)/2)*AQ120*AT120*VLOOKUP('Données projet'!$B$10,Paramètres!$A$1:$I$89,3,0)*0.475*44/12</f>
        <v>7.459358190119381E-8</v>
      </c>
      <c r="AX120" s="21">
        <f t="shared" si="60"/>
        <v>14.698314040941115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453.99999999999977</v>
      </c>
      <c r="BE120" s="13">
        <f>BD120*VLOOKUP('Données projet'!$B$11,Paramètres!$A$1:$I$89,3,0)*VLOOKUP('Données projet'!$B$11,Paramètres!$A$1:$I$89,5,0)</f>
        <v>253.78599999999986</v>
      </c>
      <c r="BF120" s="13">
        <f t="shared" si="91"/>
        <v>61.395945216950906</v>
      </c>
      <c r="BG120" s="20">
        <f t="shared" si="61"/>
        <v>548.94188791952263</v>
      </c>
      <c r="BH120" s="59">
        <f t="shared" si="62"/>
        <v>842.275221252856</v>
      </c>
      <c r="BI120" s="59">
        <f ca="1">AVERAGE(OFFSET($BH$3,0,0,'Données projet'!$E$11+1,1))-AVERAGE(OFFSET($H$3,0,0,'Données projet'!$E$11+1,1))</f>
        <v>330.33728077846268</v>
      </c>
      <c r="BJ120" s="59">
        <f t="shared" si="92"/>
        <v>358.38872754175208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19.363347071271729</v>
      </c>
      <c r="BQ120" s="21">
        <f>EXP(-LN(2)/25)*BQ119+(1-EXP(-LN(2)/25))/(LN(2)/25)*Calculateur!BL120*Calculateur!BN120*VLOOKUP('Données projet'!$B$11,Paramètres!$A$1:$I$89,3,0)*0.475*44/12</f>
        <v>6.7624047444481414</v>
      </c>
      <c r="BR120" s="21">
        <f>EXP(-LN(2)/2)*BR119+(1-EXP(-LN(2)/2))/(LN(2)/2)*BL120*BO120*VLOOKUP('Données projet'!$B$11,Paramètres!$A$1:$I$89,3,0)*0.475*44/12</f>
        <v>1.3461078484331786E-7</v>
      </c>
      <c r="BS120" s="22">
        <f t="shared" si="63"/>
        <v>26.125751950330656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290.99999999999994</v>
      </c>
      <c r="BZ120" s="13">
        <f>BY120*VLOOKUP('Données projet'!$B$12,Paramètres!$A$1:$I$89,3,0)*VLOOKUP('Données projet'!$B$12,Paramètres!$A$1:$I$89,5,0)</f>
        <v>276.91559999999993</v>
      </c>
      <c r="CA120" s="13">
        <f t="shared" si="93"/>
        <v>66.314766879144742</v>
      </c>
      <c r="CB120" s="20">
        <f t="shared" si="64"/>
        <v>597.79288898117682</v>
      </c>
      <c r="CC120" s="59">
        <f t="shared" si="65"/>
        <v>891.12622231451019</v>
      </c>
      <c r="CD120" s="59">
        <f ca="1">AVERAGE(OFFSET($CC$3,0,0,'Données projet'!$E$12+1,1))-AVERAGE(OFFSET($H$3,0,0,'Données projet'!$E$12+1,1))</f>
        <v>367.39143258674738</v>
      </c>
      <c r="CE120" s="59">
        <f t="shared" si="94"/>
        <v>376.02790658970292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17.911246303067184</v>
      </c>
      <c r="CL120" s="21">
        <f>EXP(-LN(2)/25)*CL119+(1-EXP(-LN(2)/25))/(LN(2)/25)*Calculateur!CG120*Calculateur!CI120*VLOOKUP('Données projet'!$B$12,Paramètres!$A$1:$I$89,3,0)*0.475*44/12</f>
        <v>0.74359167716266594</v>
      </c>
      <c r="CM120" s="21">
        <f>EXP(-LN(2)/2)*CM119+(1-EXP(-LN(2)/2))/(LN(2)/2)*CG120*CJ120*VLOOKUP('Données projet'!$B$12,Paramètres!$A$1:$I$89,3,0)*0.475*44/12</f>
        <v>1.2233663142728734E-7</v>
      </c>
      <c r="CN120" s="22">
        <f t="shared" si="66"/>
        <v>18.65483810256648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925.00000000000034</v>
      </c>
      <c r="CU120" s="17">
        <f>CT120*VLOOKUP('Données projet'!$B$13,Paramètres!$A$1:$I$89,3,0)*VLOOKUP('Données projet'!$B$13,Paramètres!$A$1:$I$89,5,0)</f>
        <v>408.85000000000014</v>
      </c>
      <c r="CV120" s="13">
        <f t="shared" si="95"/>
        <v>93.568575358321141</v>
      </c>
      <c r="CW120" s="20">
        <f t="shared" si="67"/>
        <v>875.04568541574281</v>
      </c>
      <c r="CX120" s="59">
        <f t="shared" si="68"/>
        <v>1168.3790187490761</v>
      </c>
      <c r="CY120" s="59">
        <f ca="1">AVERAGE(OFFSET($CX$3,0,0,'Données projet'!$E$13+1,1))-AVERAGE(OFFSET($H$3,0,0,'Données projet'!$E$13+1,1))</f>
        <v>500.13646131618248</v>
      </c>
      <c r="CZ120" s="59">
        <f t="shared" si="96"/>
        <v>417.58036817539306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32.866226528672215</v>
      </c>
      <c r="DG120" s="21">
        <f>EXP(-LN(2)/25)*DG119+(1-EXP(-LN(2)/25))/(LN(2)/25)*Calculateur!DB120*Calculateur!DD120*VLOOKUP('Données projet'!$B$13,Paramètres!$A$1:$I$89,3,0)*0.475*44/12</f>
        <v>10.513324672040483</v>
      </c>
      <c r="DH120" s="21">
        <f>EXP(-LN(2)/2)*DH119+(1-EXP(-LN(2)/2))/(LN(2)/2)*DB120*DE120*VLOOKUP('Données projet'!$B$13,Paramètres!$A$1:$I$89,3,0)*0.475*44/12</f>
        <v>6.615852220287358E-6</v>
      </c>
      <c r="DI120" s="22">
        <f t="shared" si="69"/>
        <v>43.379557816564919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3.6</v>
      </c>
      <c r="N121" s="13">
        <f>IF('Données projet'!$A$36&gt;35,N120+M121-V120,IF(A121&lt;'Données projet'!$A$36,$K$205^A121,IF(A121='Données projet'!$A$36,'Données projet'!$B$36,N120+M121-V120)))</f>
        <v>277.80000000000007</v>
      </c>
      <c r="O121" s="13">
        <f>N121*VLOOKUP('Données projet'!$B$9,Paramètres!$A$1:$I$89,3,0)*VLOOKUP('Données projet'!$B$9,Paramètres!$A$1:$I$89,5,0)</f>
        <v>251.35344000000003</v>
      </c>
      <c r="P121" s="13">
        <f t="shared" si="87"/>
        <v>60.875668525285015</v>
      </c>
      <c r="Q121" s="20">
        <f t="shared" si="107"/>
        <v>543.79903068153806</v>
      </c>
      <c r="R121" s="59">
        <f t="shared" si="55"/>
        <v>837.13236401487143</v>
      </c>
      <c r="S121" s="59">
        <f ca="1">AVERAGE(OFFSET($R$3,0,0,'Données projet'!$E$9+1,1))-AVERAGE(OFFSET($H$3,0,0,'Données projet'!$E$9+1,1))</f>
        <v>371.7282125501186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54.616705306698144</v>
      </c>
      <c r="AA121" s="21">
        <f>EXP(-LN(2)/25)*AA120+(1-EXP(-LN(2)/25))/(LN(2)/25)*Calculateur!V121*Calculateur!X121*VLOOKUP('Données projet'!$B$9,Paramètres!$A$1:$I$89,3,0)*0.475*44/12</f>
        <v>2.3064430231193982</v>
      </c>
      <c r="AB121" s="21">
        <f>EXP(-LN(2)/2)*AB120+(1-EXP(-LN(2)/2))/(LN(2)/2)*V121*Y121*VLOOKUP('Données projet'!$B$9,Paramètres!$A$1:$I$89,3,0)*0.475*44/12</f>
        <v>0.40067303057750725</v>
      </c>
      <c r="AC121" s="22">
        <f t="shared" si="57"/>
        <v>57.323821360395051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305.00000000000017</v>
      </c>
      <c r="AJ121" s="13">
        <f>AI121*VLOOKUP('Données projet'!$B$10,Paramètres!$A$1:$I$89,3,0)*VLOOKUP('Données projet'!$B$10,Paramètres!$A$1:$I$89,5,0)</f>
        <v>204.59400000000011</v>
      </c>
      <c r="AK121" s="13">
        <f t="shared" si="89"/>
        <v>50.75245156043249</v>
      </c>
      <c r="AL121" s="20">
        <f t="shared" si="58"/>
        <v>444.72840313442015</v>
      </c>
      <c r="AM121" s="59">
        <f t="shared" si="59"/>
        <v>738.06173646775346</v>
      </c>
      <c r="AN121" s="59">
        <f ca="1">AVERAGE(OFFSET($AM$3,0,0,'Données projet'!$E$10+1,1))-AVERAGE(OFFSET($H$3,0,0,'Données projet'!$E$10+1,1))</f>
        <v>269.67260882504996</v>
      </c>
      <c r="AO121" s="59">
        <f t="shared" si="90"/>
        <v>272.13858200810074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13.823460104641526</v>
      </c>
      <c r="AV121" s="21">
        <f>EXP(-LN(2)/25)*AV120+(1-EXP(-LN(2)/25))/(LN(2)/25)*Calculateur!AQ121*Calculateur!AS121*VLOOKUP('Données projet'!$B$10,Paramètres!$A$1:$I$89,3,0)*0.475*44/12</f>
        <v>0.58200016022506795</v>
      </c>
      <c r="AW121" s="21">
        <f>EXP(-LN(2)/2)*AW120+(1-EXP(-LN(2)/2))/(LN(2)/2)*AQ121*AT121*VLOOKUP('Données projet'!$B$10,Paramètres!$A$1:$I$89,3,0)*0.475*44/12</f>
        <v>5.2745627595328264E-8</v>
      </c>
      <c r="AX121" s="21">
        <f t="shared" si="60"/>
        <v>14.405460317612222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453.99999999999977</v>
      </c>
      <c r="BE121" s="13">
        <f>BD121*VLOOKUP('Données projet'!$B$11,Paramètres!$A$1:$I$89,3,0)*VLOOKUP('Données projet'!$B$11,Paramètres!$A$1:$I$89,5,0)</f>
        <v>253.78599999999986</v>
      </c>
      <c r="BF121" s="13">
        <f t="shared" si="91"/>
        <v>61.395945216950906</v>
      </c>
      <c r="BG121" s="20">
        <f t="shared" si="61"/>
        <v>548.94188791952263</v>
      </c>
      <c r="BH121" s="59">
        <f t="shared" si="62"/>
        <v>842.275221252856</v>
      </c>
      <c r="BI121" s="59">
        <f ca="1">AVERAGE(OFFSET($BH$3,0,0,'Données projet'!$E$11+1,1))-AVERAGE(OFFSET($H$3,0,0,'Données projet'!$E$11+1,1))</f>
        <v>330.33728077846268</v>
      </c>
      <c r="BJ121" s="59">
        <f t="shared" si="92"/>
        <v>358.38872754175208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18.983643645679617</v>
      </c>
      <c r="BQ121" s="21">
        <f>EXP(-LN(2)/25)*BQ120+(1-EXP(-LN(2)/25))/(LN(2)/25)*Calculateur!BL121*Calculateur!BN121*VLOOKUP('Données projet'!$B$11,Paramètres!$A$1:$I$89,3,0)*0.475*44/12</f>
        <v>6.5774864310917973</v>
      </c>
      <c r="BR121" s="21">
        <f>EXP(-LN(2)/2)*BR120+(1-EXP(-LN(2)/2))/(LN(2)/2)*BL121*BO121*VLOOKUP('Données projet'!$B$11,Paramètres!$A$1:$I$89,3,0)*0.475*44/12</f>
        <v>9.5184198783553391E-8</v>
      </c>
      <c r="BS121" s="22">
        <f t="shared" si="63"/>
        <v>25.561130171955611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290.99999999999994</v>
      </c>
      <c r="BZ121" s="13">
        <f>BY121*VLOOKUP('Données projet'!$B$12,Paramètres!$A$1:$I$89,3,0)*VLOOKUP('Données projet'!$B$12,Paramètres!$A$1:$I$89,5,0)</f>
        <v>276.91559999999993</v>
      </c>
      <c r="CA121" s="13">
        <f t="shared" si="93"/>
        <v>66.314766879144742</v>
      </c>
      <c r="CB121" s="20">
        <f t="shared" si="64"/>
        <v>597.79288898117682</v>
      </c>
      <c r="CC121" s="59">
        <f t="shared" si="65"/>
        <v>891.12622231451019</v>
      </c>
      <c r="CD121" s="59">
        <f ca="1">AVERAGE(OFFSET($CC$3,0,0,'Données projet'!$E$12+1,1))-AVERAGE(OFFSET($H$3,0,0,'Données projet'!$E$12+1,1))</f>
        <v>367.39143258674738</v>
      </c>
      <c r="CE121" s="59">
        <f t="shared" si="94"/>
        <v>376.02790658970292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17.560017687845548</v>
      </c>
      <c r="CL121" s="21">
        <f>EXP(-LN(2)/25)*CL120+(1-EXP(-LN(2)/25))/(LN(2)/25)*Calculateur!CG121*Calculateur!CI121*VLOOKUP('Données projet'!$B$12,Paramètres!$A$1:$I$89,3,0)*0.475*44/12</f>
        <v>0.72325812364686604</v>
      </c>
      <c r="CM121" s="21">
        <f>EXP(-LN(2)/2)*CM120+(1-EXP(-LN(2)/2))/(LN(2)/2)*CG121*CJ121*VLOOKUP('Données projet'!$B$12,Paramètres!$A$1:$I$89,3,0)*0.475*44/12</f>
        <v>8.6505061669754181E-8</v>
      </c>
      <c r="CN121" s="22">
        <f t="shared" si="66"/>
        <v>18.283275897997473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925.00000000000034</v>
      </c>
      <c r="CU121" s="17">
        <f>CT121*VLOOKUP('Données projet'!$B$13,Paramètres!$A$1:$I$89,3,0)*VLOOKUP('Données projet'!$B$13,Paramètres!$A$1:$I$89,5,0)</f>
        <v>408.85000000000014</v>
      </c>
      <c r="CV121" s="13">
        <f t="shared" si="95"/>
        <v>93.568575358321141</v>
      </c>
      <c r="CW121" s="20">
        <f t="shared" si="67"/>
        <v>875.04568541574281</v>
      </c>
      <c r="CX121" s="59">
        <f t="shared" si="68"/>
        <v>1168.3790187490761</v>
      </c>
      <c r="CY121" s="59">
        <f ca="1">AVERAGE(OFFSET($CX$3,0,0,'Données projet'!$E$13+1,1))-AVERAGE(OFFSET($H$3,0,0,'Données projet'!$E$13+1,1))</f>
        <v>500.13646131618248</v>
      </c>
      <c r="CZ121" s="59">
        <f t="shared" si="96"/>
        <v>417.58036817539306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32.221739872863715</v>
      </c>
      <c r="DG121" s="21">
        <f>EXP(-LN(2)/25)*DG120+(1-EXP(-LN(2)/25))/(LN(2)/25)*Calculateur!DB121*Calculateur!DD121*VLOOKUP('Données projet'!$B$13,Paramètres!$A$1:$I$89,3,0)*0.475*44/12</f>
        <v>10.22583725601182</v>
      </c>
      <c r="DH121" s="21">
        <f>EXP(-LN(2)/2)*DH120+(1-EXP(-LN(2)/2))/(LN(2)/2)*DB121*DE121*VLOOKUP('Données projet'!$B$13,Paramètres!$A$1:$I$89,3,0)*0.475*44/12</f>
        <v>4.6781139682932674E-6</v>
      </c>
      <c r="DI121" s="22">
        <f t="shared" si="69"/>
        <v>42.447581806989504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3.6</v>
      </c>
      <c r="N122" s="13">
        <f>IF('Données projet'!$A$36&gt;35,N121+M122-V121,IF(A122&lt;'Données projet'!$A$36,$K$205^A122,IF(A122='Données projet'!$A$36,'Données projet'!$B$36,N121+M122-V121)))</f>
        <v>281.40000000000009</v>
      </c>
      <c r="O122" s="13">
        <f>N122*VLOOKUP('Données projet'!$B$9,Paramètres!$A$1:$I$89,3,0)*VLOOKUP('Données projet'!$B$9,Paramètres!$A$1:$I$89,5,0)</f>
        <v>254.61072000000007</v>
      </c>
      <c r="P122" s="13">
        <f t="shared" si="87"/>
        <v>61.572204587965729</v>
      </c>
      <c r="Q122" s="20">
        <f t="shared" si="107"/>
        <v>550.68526032404031</v>
      </c>
      <c r="R122" s="59">
        <f t="shared" si="55"/>
        <v>844.01859365737369</v>
      </c>
      <c r="S122" s="59">
        <f ca="1">AVERAGE(OFFSET($R$3,0,0,'Données projet'!$E$9+1,1))-AVERAGE(OFFSET($H$3,0,0,'Données projet'!$E$9+1,1))</f>
        <v>371.7282125501186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53.545705028534655</v>
      </c>
      <c r="AA122" s="21">
        <f>EXP(-LN(2)/25)*AA121+(1-EXP(-LN(2)/25))/(LN(2)/25)*Calculateur!V122*Calculateur!X122*VLOOKUP('Données projet'!$B$9,Paramètres!$A$1:$I$89,3,0)*0.475*44/12</f>
        <v>2.243373217361631</v>
      </c>
      <c r="AB122" s="21">
        <f>EXP(-LN(2)/2)*AB121+(1-EXP(-LN(2)/2))/(LN(2)/2)*V122*Y122*VLOOKUP('Données projet'!$B$9,Paramètres!$A$1:$I$89,3,0)*0.475*44/12</f>
        <v>0.28331861695992028</v>
      </c>
      <c r="AC122" s="22">
        <f t="shared" si="57"/>
        <v>56.072396862856202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305.00000000000017</v>
      </c>
      <c r="AJ122" s="13">
        <f>AI122*VLOOKUP('Données projet'!$B$10,Paramètres!$A$1:$I$89,3,0)*VLOOKUP('Données projet'!$B$10,Paramètres!$A$1:$I$89,5,0)</f>
        <v>204.59400000000011</v>
      </c>
      <c r="AK122" s="13">
        <f t="shared" si="89"/>
        <v>50.75245156043249</v>
      </c>
      <c r="AL122" s="20">
        <f t="shared" si="58"/>
        <v>444.72840313442015</v>
      </c>
      <c r="AM122" s="59">
        <f t="shared" si="59"/>
        <v>738.06173646775346</v>
      </c>
      <c r="AN122" s="59">
        <f ca="1">AVERAGE(OFFSET($AM$3,0,0,'Données projet'!$E$10+1,1))-AVERAGE(OFFSET($H$3,0,0,'Données projet'!$E$10+1,1))</f>
        <v>269.67260882504996</v>
      </c>
      <c r="AO122" s="59">
        <f t="shared" si="90"/>
        <v>272.13858200810074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13.552390483467631</v>
      </c>
      <c r="AV122" s="21">
        <f>EXP(-LN(2)/25)*AV121+(1-EXP(-LN(2)/25))/(LN(2)/25)*Calculateur!AQ122*Calculateur!AS122*VLOOKUP('Données projet'!$B$10,Paramètres!$A$1:$I$89,3,0)*0.475*44/12</f>
        <v>0.56608533523765525</v>
      </c>
      <c r="AW122" s="21">
        <f>EXP(-LN(2)/2)*AW121+(1-EXP(-LN(2)/2))/(LN(2)/2)*AQ122*AT122*VLOOKUP('Données projet'!$B$10,Paramètres!$A$1:$I$89,3,0)*0.475*44/12</f>
        <v>3.7296790950596905E-8</v>
      </c>
      <c r="AX122" s="21">
        <f t="shared" si="60"/>
        <v>14.118475856002078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453.99999999999977</v>
      </c>
      <c r="BE122" s="13">
        <f>BD122*VLOOKUP('Données projet'!$B$11,Paramètres!$A$1:$I$89,3,0)*VLOOKUP('Données projet'!$B$11,Paramètres!$A$1:$I$89,5,0)</f>
        <v>253.78599999999986</v>
      </c>
      <c r="BF122" s="13">
        <f t="shared" si="91"/>
        <v>61.395945216950906</v>
      </c>
      <c r="BG122" s="20">
        <f t="shared" si="61"/>
        <v>548.94188791952263</v>
      </c>
      <c r="BH122" s="59">
        <f t="shared" si="62"/>
        <v>842.275221252856</v>
      </c>
      <c r="BI122" s="59">
        <f ca="1">AVERAGE(OFFSET($BH$3,0,0,'Données projet'!$E$11+1,1))-AVERAGE(OFFSET($H$3,0,0,'Données projet'!$E$11+1,1))</f>
        <v>330.33728077846268</v>
      </c>
      <c r="BJ122" s="59">
        <f t="shared" si="92"/>
        <v>358.38872754175208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18.611385972667144</v>
      </c>
      <c r="BQ122" s="21">
        <f>EXP(-LN(2)/25)*BQ121+(1-EXP(-LN(2)/25))/(LN(2)/25)*Calculateur!BL122*Calculateur!BN122*VLOOKUP('Données projet'!$B$11,Paramètres!$A$1:$I$89,3,0)*0.475*44/12</f>
        <v>6.3976247187386139</v>
      </c>
      <c r="BR122" s="21">
        <f>EXP(-LN(2)/2)*BR121+(1-EXP(-LN(2)/2))/(LN(2)/2)*BL122*BO122*VLOOKUP('Données projet'!$B$11,Paramètres!$A$1:$I$89,3,0)*0.475*44/12</f>
        <v>6.7305392421658929E-8</v>
      </c>
      <c r="BS122" s="22">
        <f t="shared" si="63"/>
        <v>25.009010758711149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290.99999999999994</v>
      </c>
      <c r="BZ122" s="13">
        <f>BY122*VLOOKUP('Données projet'!$B$12,Paramètres!$A$1:$I$89,3,0)*VLOOKUP('Données projet'!$B$12,Paramètres!$A$1:$I$89,5,0)</f>
        <v>276.91559999999993</v>
      </c>
      <c r="CA122" s="13">
        <f t="shared" si="93"/>
        <v>66.314766879144742</v>
      </c>
      <c r="CB122" s="20">
        <f t="shared" si="64"/>
        <v>597.79288898117682</v>
      </c>
      <c r="CC122" s="59">
        <f t="shared" si="65"/>
        <v>891.12622231451019</v>
      </c>
      <c r="CD122" s="59">
        <f ca="1">AVERAGE(OFFSET($CC$3,0,0,'Données projet'!$E$12+1,1))-AVERAGE(OFFSET($H$3,0,0,'Données projet'!$E$12+1,1))</f>
        <v>367.39143258674738</v>
      </c>
      <c r="CE122" s="59">
        <f t="shared" si="94"/>
        <v>376.02790658970292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17.215676451540109</v>
      </c>
      <c r="CL122" s="21">
        <f>EXP(-LN(2)/25)*CL121+(1-EXP(-LN(2)/25))/(LN(2)/25)*Calculateur!CG122*Calculateur!CI122*VLOOKUP('Données projet'!$B$12,Paramètres!$A$1:$I$89,3,0)*0.475*44/12</f>
        <v>0.70348059222125081</v>
      </c>
      <c r="CM122" s="21">
        <f>EXP(-LN(2)/2)*CM121+(1-EXP(-LN(2)/2))/(LN(2)/2)*CG122*CJ122*VLOOKUP('Données projet'!$B$12,Paramètres!$A$1:$I$89,3,0)*0.475*44/12</f>
        <v>6.1168315713643668E-8</v>
      </c>
      <c r="CN122" s="22">
        <f t="shared" si="66"/>
        <v>17.919157104929674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925.00000000000034</v>
      </c>
      <c r="CU122" s="17">
        <f>CT122*VLOOKUP('Données projet'!$B$13,Paramètres!$A$1:$I$89,3,0)*VLOOKUP('Données projet'!$B$13,Paramètres!$A$1:$I$89,5,0)</f>
        <v>408.85000000000014</v>
      </c>
      <c r="CV122" s="13">
        <f t="shared" si="95"/>
        <v>93.568575358321141</v>
      </c>
      <c r="CW122" s="20">
        <f t="shared" si="67"/>
        <v>875.04568541574281</v>
      </c>
      <c r="CX122" s="59">
        <f t="shared" si="68"/>
        <v>1168.3790187490761</v>
      </c>
      <c r="CY122" s="59">
        <f ca="1">AVERAGE(OFFSET($CX$3,0,0,'Données projet'!$E$13+1,1))-AVERAGE(OFFSET($H$3,0,0,'Données projet'!$E$13+1,1))</f>
        <v>500.13646131618248</v>
      </c>
      <c r="CZ122" s="59">
        <f t="shared" si="96"/>
        <v>417.58036817539306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31.589891207277574</v>
      </c>
      <c r="DG122" s="21">
        <f>EXP(-LN(2)/25)*DG121+(1-EXP(-LN(2)/25))/(LN(2)/25)*Calculateur!DB122*Calculateur!DD122*VLOOKUP('Données projet'!$B$13,Paramètres!$A$1:$I$89,3,0)*0.475*44/12</f>
        <v>9.946211198492767</v>
      </c>
      <c r="DH122" s="21">
        <f>EXP(-LN(2)/2)*DH121+(1-EXP(-LN(2)/2))/(LN(2)/2)*DB122*DE122*VLOOKUP('Données projet'!$B$13,Paramètres!$A$1:$I$89,3,0)*0.475*44/12</f>
        <v>3.307926110143679E-6</v>
      </c>
      <c r="DI122" s="22">
        <f t="shared" si="69"/>
        <v>41.53610571369645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285</v>
      </c>
      <c r="L123" s="12">
        <f>VLOOKUP(A123,'Données projet'!$A$35:$I$55,9,0)</f>
        <v>3.6</v>
      </c>
      <c r="M123" s="12">
        <f t="array" ref="M123">INDEX(L:L,MIN(IF(ISNUMBER(L123:L319),ROW(L123:L319),"")))</f>
        <v>3.6</v>
      </c>
      <c r="N123" s="13">
        <f>IF('Données projet'!$A$36&gt;35,N122+M123-V122,IF(A123&lt;'Données projet'!$A$36,$K$205^A123,IF(A123='Données projet'!$A$36,'Données projet'!$B$36,N122+M123-V122)))</f>
        <v>285.00000000000011</v>
      </c>
      <c r="O123" s="13">
        <f>N123*VLOOKUP('Données projet'!$B$9,Paramètres!$A$1:$I$89,3,0)*VLOOKUP('Données projet'!$B$9,Paramètres!$A$1:$I$89,5,0)</f>
        <v>257.86800000000011</v>
      </c>
      <c r="P123" s="13">
        <f t="shared" si="87"/>
        <v>62.267704162827528</v>
      </c>
      <c r="Q123" s="20">
        <f t="shared" si="107"/>
        <v>557.56968475025815</v>
      </c>
      <c r="R123" s="59">
        <f t="shared" si="55"/>
        <v>850.90301808359141</v>
      </c>
      <c r="S123" s="59">
        <f ca="1">AVERAGE(OFFSET($R$3,0,0,'Données projet'!$E$9+1,1))-AVERAGE(OFFSET($H$3,0,0,'Données projet'!$E$9+1,1))</f>
        <v>371.7282125501186</v>
      </c>
      <c r="T123" s="59">
        <f t="shared" si="88"/>
        <v>231.36959598460686</v>
      </c>
      <c r="U123" s="15">
        <f>IF(ISNA(VLOOKUP(A123,'Données projet'!$A$35:$I$55,3,0)),0,VLOOKUP(A123,'Données projet'!$A$35:$I$55,3,0))</f>
        <v>20</v>
      </c>
      <c r="V123" s="15">
        <f>IF(ISNA(VLOOKUP(A123,'Données projet'!$A$35:$I$55,4,0)),0,VLOOKUP(A123,'Données projet'!$A$35:$I$55,4,0))</f>
        <v>17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1.72E-2</v>
      </c>
      <c r="Y123" s="16">
        <f>IF(ISNA(VLOOKUP(A123,'Données projet'!$A$35:$I$55,7,0)),0%,VLOOKUP(A123,'Données projet'!$A$35:$I$55,7,0))</f>
        <v>0.06</v>
      </c>
      <c r="Z123" s="21">
        <f>EXP(-LN(2)/35)*Z122+(1-EXP(-LN(2)/35))/(LN(2)/35)*V123*W123*VLOOKUP('Données projet'!$B$9,Paramètres!$A$1:$I$89,3,0)*0.475*44/12</f>
        <v>58.345049109879746</v>
      </c>
      <c r="AA123" s="21">
        <f>EXP(-LN(2)/25)*AA122+(1-EXP(-LN(2)/25))/(LN(2)/25)*Calculateur!V123*Calculateur!X123*VLOOKUP('Données projet'!$B$9,Paramètres!$A$1:$I$89,3,0)*0.475*44/12</f>
        <v>2.4733436390753019</v>
      </c>
      <c r="AB123" s="21">
        <f>EXP(-LN(2)/2)*AB122+(1-EXP(-LN(2)/2))/(LN(2)/2)*V123*Y123*VLOOKUP('Données projet'!$B$9,Paramètres!$A$1:$I$89,3,0)*0.475*44/12</f>
        <v>1.0711137306704079</v>
      </c>
      <c r="AC123" s="22">
        <f t="shared" si="57"/>
        <v>61.889506479625453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305.00000000000017</v>
      </c>
      <c r="AJ123" s="13">
        <f>AI123*VLOOKUP('Données projet'!$B$10,Paramètres!$A$1:$I$89,3,0)*VLOOKUP('Données projet'!$B$10,Paramètres!$A$1:$I$89,5,0)</f>
        <v>204.59400000000011</v>
      </c>
      <c r="AK123" s="13">
        <f t="shared" si="89"/>
        <v>50.75245156043249</v>
      </c>
      <c r="AL123" s="20">
        <f t="shared" si="58"/>
        <v>444.72840313442015</v>
      </c>
      <c r="AM123" s="59">
        <f t="shared" si="59"/>
        <v>738.06173646775346</v>
      </c>
      <c r="AN123" s="59">
        <f ca="1">AVERAGE(OFFSET($AM$3,0,0,'Données projet'!$E$10+1,1))-AVERAGE(OFFSET($H$3,0,0,'Données projet'!$E$10+1,1))</f>
        <v>269.67260882504996</v>
      </c>
      <c r="AO123" s="59">
        <f t="shared" si="90"/>
        <v>272.13858200810074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13.286636372228813</v>
      </c>
      <c r="AV123" s="21">
        <f>EXP(-LN(2)/25)*AV122+(1-EXP(-LN(2)/25))/(LN(2)/25)*Calculateur!AQ123*Calculateur!AS123*VLOOKUP('Données projet'!$B$10,Paramètres!$A$1:$I$89,3,0)*0.475*44/12</f>
        <v>0.55060570197644765</v>
      </c>
      <c r="AW123" s="21">
        <f>EXP(-LN(2)/2)*AW122+(1-EXP(-LN(2)/2))/(LN(2)/2)*AQ123*AT123*VLOOKUP('Données projet'!$B$10,Paramètres!$A$1:$I$89,3,0)*0.475*44/12</f>
        <v>2.6372813797664132E-8</v>
      </c>
      <c r="AX123" s="21">
        <f t="shared" si="60"/>
        <v>13.837242100578074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453.99999999999977</v>
      </c>
      <c r="BE123" s="13">
        <f>BD123*VLOOKUP('Données projet'!$B$11,Paramètres!$A$1:$I$89,3,0)*VLOOKUP('Données projet'!$B$11,Paramètres!$A$1:$I$89,5,0)</f>
        <v>253.78599999999986</v>
      </c>
      <c r="BF123" s="13">
        <f t="shared" si="91"/>
        <v>61.395945216950906</v>
      </c>
      <c r="BG123" s="20">
        <f t="shared" si="61"/>
        <v>548.94188791952263</v>
      </c>
      <c r="BH123" s="59">
        <f t="shared" si="62"/>
        <v>842.275221252856</v>
      </c>
      <c r="BI123" s="59">
        <f ca="1">AVERAGE(OFFSET($BH$3,0,0,'Données projet'!$E$11+1,1))-AVERAGE(OFFSET($H$3,0,0,'Données projet'!$E$11+1,1))</f>
        <v>330.33728077846268</v>
      </c>
      <c r="BJ123" s="59">
        <f t="shared" si="92"/>
        <v>358.38872754175208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18.246428045567686</v>
      </c>
      <c r="BQ123" s="21">
        <f>EXP(-LN(2)/25)*BQ122+(1-EXP(-LN(2)/25))/(LN(2)/25)*Calculateur!BL123*Calculateur!BN123*VLOOKUP('Données projet'!$B$11,Paramètres!$A$1:$I$89,3,0)*0.475*44/12</f>
        <v>6.2226813343682448</v>
      </c>
      <c r="BR123" s="21">
        <f>EXP(-LN(2)/2)*BR122+(1-EXP(-LN(2)/2))/(LN(2)/2)*BL123*BO123*VLOOKUP('Données projet'!$B$11,Paramètres!$A$1:$I$89,3,0)*0.475*44/12</f>
        <v>4.7592099391776695E-8</v>
      </c>
      <c r="BS123" s="22">
        <f t="shared" si="63"/>
        <v>24.469109427528029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290.99999999999994</v>
      </c>
      <c r="BZ123" s="13">
        <f>BY123*VLOOKUP('Données projet'!$B$12,Paramètres!$A$1:$I$89,3,0)*VLOOKUP('Données projet'!$B$12,Paramètres!$A$1:$I$89,5,0)</f>
        <v>276.91559999999993</v>
      </c>
      <c r="CA123" s="13">
        <f t="shared" si="93"/>
        <v>66.314766879144742</v>
      </c>
      <c r="CB123" s="20">
        <f t="shared" si="64"/>
        <v>597.79288898117682</v>
      </c>
      <c r="CC123" s="59">
        <f t="shared" si="65"/>
        <v>891.12622231451019</v>
      </c>
      <c r="CD123" s="59">
        <f ca="1">AVERAGE(OFFSET($CC$3,0,0,'Données projet'!$E$12+1,1))-AVERAGE(OFFSET($H$3,0,0,'Données projet'!$E$12+1,1))</f>
        <v>367.39143258674738</v>
      </c>
      <c r="CE123" s="59">
        <f t="shared" si="94"/>
        <v>376.02790658970292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16.878087536851201</v>
      </c>
      <c r="CL123" s="21">
        <f>EXP(-LN(2)/25)*CL122+(1-EXP(-LN(2)/25))/(LN(2)/25)*Calculateur!CG123*Calculateur!CI123*VLOOKUP('Données projet'!$B$12,Paramètres!$A$1:$I$89,3,0)*0.475*44/12</f>
        <v>0.68424387843252421</v>
      </c>
      <c r="CM123" s="21">
        <f>EXP(-LN(2)/2)*CM122+(1-EXP(-LN(2)/2))/(LN(2)/2)*CG123*CJ123*VLOOKUP('Données projet'!$B$12,Paramètres!$A$1:$I$89,3,0)*0.475*44/12</f>
        <v>4.3252530834877091E-8</v>
      </c>
      <c r="CN123" s="22">
        <f t="shared" si="66"/>
        <v>17.562331458536256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925.00000000000034</v>
      </c>
      <c r="CU123" s="17">
        <f>CT123*VLOOKUP('Données projet'!$B$13,Paramètres!$A$1:$I$89,3,0)*VLOOKUP('Données projet'!$B$13,Paramètres!$A$1:$I$89,5,0)</f>
        <v>408.85000000000014</v>
      </c>
      <c r="CV123" s="13">
        <f t="shared" si="95"/>
        <v>93.568575358321141</v>
      </c>
      <c r="CW123" s="20">
        <f t="shared" si="67"/>
        <v>875.04568541574281</v>
      </c>
      <c r="CX123" s="59">
        <f t="shared" si="68"/>
        <v>1168.3790187490761</v>
      </c>
      <c r="CY123" s="59">
        <f ca="1">AVERAGE(OFFSET($CX$3,0,0,'Données projet'!$E$13+1,1))-AVERAGE(OFFSET($H$3,0,0,'Données projet'!$E$13+1,1))</f>
        <v>500.13646131618248</v>
      </c>
      <c r="CZ123" s="59">
        <f t="shared" si="96"/>
        <v>417.58036817539306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30.970432708633947</v>
      </c>
      <c r="DG123" s="21">
        <f>EXP(-LN(2)/25)*DG122+(1-EXP(-LN(2)/25))/(LN(2)/25)*Calculateur!DB123*Calculateur!DD123*VLOOKUP('Données projet'!$B$13,Paramètres!$A$1:$I$89,3,0)*0.475*44/12</f>
        <v>9.6742315302214674</v>
      </c>
      <c r="DH123" s="21">
        <f>EXP(-LN(2)/2)*DH122+(1-EXP(-LN(2)/2))/(LN(2)/2)*DB123*DE123*VLOOKUP('Données projet'!$B$13,Paramètres!$A$1:$I$89,3,0)*0.475*44/12</f>
        <v>2.3390569841466337E-6</v>
      </c>
      <c r="DI123" s="22">
        <f t="shared" si="69"/>
        <v>40.644666577912396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268.00000000000011</v>
      </c>
      <c r="O124" s="13">
        <f>N124*VLOOKUP('Données projet'!$B$9,Paramètres!$A$1:$I$89,3,0)*VLOOKUP('Données projet'!$B$9,Paramètres!$A$1:$I$89,5,0)</f>
        <v>242.48640000000009</v>
      </c>
      <c r="P124" s="13">
        <f t="shared" si="87"/>
        <v>58.974170235372476</v>
      </c>
      <c r="Q124" s="20">
        <f t="shared" si="107"/>
        <v>525.04382649327385</v>
      </c>
      <c r="R124" s="59">
        <f t="shared" si="55"/>
        <v>818.37715982660711</v>
      </c>
      <c r="S124" s="59">
        <f ca="1">AVERAGE(OFFSET($R$3,0,0,'Données projet'!$E$9+1,1))-AVERAGE(OFFSET($H$3,0,0,'Données projet'!$E$9+1,1))</f>
        <v>371.7282125501186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57.200938283801037</v>
      </c>
      <c r="AA124" s="21">
        <f>EXP(-LN(2)/25)*AA123+(1-EXP(-LN(2)/25))/(LN(2)/25)*Calculateur!V124*Calculateur!X124*VLOOKUP('Données projet'!$B$9,Paramètres!$A$1:$I$89,3,0)*0.475*44/12</f>
        <v>2.4057099271972988</v>
      </c>
      <c r="AB124" s="21">
        <f>EXP(-LN(2)/2)*AB123+(1-EXP(-LN(2)/2))/(LN(2)/2)*V124*Y124*VLOOKUP('Données projet'!$B$9,Paramètres!$A$1:$I$89,3,0)*0.475*44/12</f>
        <v>0.75739178237906679</v>
      </c>
      <c r="AC124" s="22">
        <f t="shared" si="57"/>
        <v>60.364039993377403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305.00000000000017</v>
      </c>
      <c r="AJ124" s="13">
        <f>AI124*VLOOKUP('Données projet'!$B$10,Paramètres!$A$1:$I$89,3,0)*VLOOKUP('Données projet'!$B$10,Paramètres!$A$1:$I$89,5,0)</f>
        <v>204.59400000000011</v>
      </c>
      <c r="AK124" s="13">
        <f t="shared" si="89"/>
        <v>50.75245156043249</v>
      </c>
      <c r="AL124" s="20">
        <f t="shared" si="58"/>
        <v>444.72840313442015</v>
      </c>
      <c r="AM124" s="59">
        <f t="shared" si="59"/>
        <v>738.06173646775346</v>
      </c>
      <c r="AN124" s="59">
        <f ca="1">AVERAGE(OFFSET($AM$3,0,0,'Données projet'!$E$10+1,1))-AVERAGE(OFFSET($H$3,0,0,'Données projet'!$E$10+1,1))</f>
        <v>269.67260882504996</v>
      </c>
      <c r="AO124" s="59">
        <f t="shared" si="90"/>
        <v>272.13858200810074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13.026093537017385</v>
      </c>
      <c r="AV124" s="21">
        <f>EXP(-LN(2)/25)*AV123+(1-EXP(-LN(2)/25))/(LN(2)/25)*Calculateur!AQ124*Calculateur!AS124*VLOOKUP('Données projet'!$B$10,Paramètres!$A$1:$I$89,3,0)*0.475*44/12</f>
        <v>0.53554936010080623</v>
      </c>
      <c r="AW124" s="21">
        <f>EXP(-LN(2)/2)*AW123+(1-EXP(-LN(2)/2))/(LN(2)/2)*AQ124*AT124*VLOOKUP('Données projet'!$B$10,Paramètres!$A$1:$I$89,3,0)*0.475*44/12</f>
        <v>1.8648395475298453E-8</v>
      </c>
      <c r="AX124" s="21">
        <f t="shared" si="60"/>
        <v>13.561642915766585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453.99999999999977</v>
      </c>
      <c r="BE124" s="13">
        <f>BD124*VLOOKUP('Données projet'!$B$11,Paramètres!$A$1:$I$89,3,0)*VLOOKUP('Données projet'!$B$11,Paramètres!$A$1:$I$89,5,0)</f>
        <v>253.78599999999986</v>
      </c>
      <c r="BF124" s="13">
        <f t="shared" si="91"/>
        <v>61.395945216950906</v>
      </c>
      <c r="BG124" s="20">
        <f t="shared" si="61"/>
        <v>548.94188791952263</v>
      </c>
      <c r="BH124" s="59">
        <f t="shared" si="62"/>
        <v>842.275221252856</v>
      </c>
      <c r="BI124" s="59">
        <f ca="1">AVERAGE(OFFSET($BH$3,0,0,'Données projet'!$E$11+1,1))-AVERAGE(OFFSET($H$3,0,0,'Données projet'!$E$11+1,1))</f>
        <v>330.33728077846268</v>
      </c>
      <c r="BJ124" s="59">
        <f t="shared" si="92"/>
        <v>358.38872754175208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17.888626720816294</v>
      </c>
      <c r="BQ124" s="21">
        <f>EXP(-LN(2)/25)*BQ123+(1-EXP(-LN(2)/25))/(LN(2)/25)*Calculateur!BL124*Calculateur!BN124*VLOOKUP('Données projet'!$B$11,Paramètres!$A$1:$I$89,3,0)*0.475*44/12</f>
        <v>6.0525217860433562</v>
      </c>
      <c r="BR124" s="21">
        <f>EXP(-LN(2)/2)*BR123+(1-EXP(-LN(2)/2))/(LN(2)/2)*BL124*BO124*VLOOKUP('Données projet'!$B$11,Paramètres!$A$1:$I$89,3,0)*0.475*44/12</f>
        <v>3.3652696210829465E-8</v>
      </c>
      <c r="BS124" s="22">
        <f t="shared" si="63"/>
        <v>23.941148540512348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290.99999999999994</v>
      </c>
      <c r="BZ124" s="13">
        <f>BY124*VLOOKUP('Données projet'!$B$12,Paramètres!$A$1:$I$89,3,0)*VLOOKUP('Données projet'!$B$12,Paramètres!$A$1:$I$89,5,0)</f>
        <v>276.91559999999993</v>
      </c>
      <c r="CA124" s="13">
        <f t="shared" si="93"/>
        <v>66.314766879144742</v>
      </c>
      <c r="CB124" s="20">
        <f t="shared" si="64"/>
        <v>597.79288898117682</v>
      </c>
      <c r="CC124" s="59">
        <f t="shared" si="65"/>
        <v>891.12622231451019</v>
      </c>
      <c r="CD124" s="59">
        <f ca="1">AVERAGE(OFFSET($CC$3,0,0,'Données projet'!$E$12+1,1))-AVERAGE(OFFSET($H$3,0,0,'Données projet'!$E$12+1,1))</f>
        <v>367.39143258674738</v>
      </c>
      <c r="CE124" s="59">
        <f t="shared" si="94"/>
        <v>376.02790658970292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16.547118534870439</v>
      </c>
      <c r="CL124" s="21">
        <f>EXP(-LN(2)/25)*CL123+(1-EXP(-LN(2)/25))/(LN(2)/25)*Calculateur!CG124*Calculateur!CI124*VLOOKUP('Données projet'!$B$12,Paramètres!$A$1:$I$89,3,0)*0.475*44/12</f>
        <v>0.66553319359396512</v>
      </c>
      <c r="CM124" s="21">
        <f>EXP(-LN(2)/2)*CM123+(1-EXP(-LN(2)/2))/(LN(2)/2)*CG124*CJ124*VLOOKUP('Données projet'!$B$12,Paramètres!$A$1:$I$89,3,0)*0.475*44/12</f>
        <v>3.0584157856821834E-8</v>
      </c>
      <c r="CN124" s="22">
        <f t="shared" si="66"/>
        <v>17.212651759048562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925.00000000000034</v>
      </c>
      <c r="CU124" s="17">
        <f>CT124*VLOOKUP('Données projet'!$B$13,Paramètres!$A$1:$I$89,3,0)*VLOOKUP('Données projet'!$B$13,Paramètres!$A$1:$I$89,5,0)</f>
        <v>408.85000000000014</v>
      </c>
      <c r="CV124" s="13">
        <f t="shared" si="95"/>
        <v>93.568575358321141</v>
      </c>
      <c r="CW124" s="20">
        <f t="shared" si="67"/>
        <v>875.04568541574281</v>
      </c>
      <c r="CX124" s="59">
        <f t="shared" si="68"/>
        <v>1168.3790187490761</v>
      </c>
      <c r="CY124" s="59">
        <f ca="1">AVERAGE(OFFSET($CX$3,0,0,'Données projet'!$E$13+1,1))-AVERAGE(OFFSET($H$3,0,0,'Données projet'!$E$13+1,1))</f>
        <v>500.13646131618248</v>
      </c>
      <c r="CZ124" s="59">
        <f t="shared" si="96"/>
        <v>417.58036817539306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30.363121413316346</v>
      </c>
      <c r="DG124" s="21">
        <f>EXP(-LN(2)/25)*DG123+(1-EXP(-LN(2)/25))/(LN(2)/25)*Calculateur!DB124*Calculateur!DD124*VLOOKUP('Données projet'!$B$13,Paramètres!$A$1:$I$89,3,0)*0.475*44/12</f>
        <v>9.409689160281836</v>
      </c>
      <c r="DH124" s="21">
        <f>EXP(-LN(2)/2)*DH123+(1-EXP(-LN(2)/2))/(LN(2)/2)*DB124*DE124*VLOOKUP('Données projet'!$B$13,Paramètres!$A$1:$I$89,3,0)*0.475*44/12</f>
        <v>1.6539630550718395E-6</v>
      </c>
      <c r="DI124" s="22">
        <f t="shared" si="69"/>
        <v>39.772812227561232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268.00000000000011</v>
      </c>
      <c r="O125" s="13">
        <f>N125*VLOOKUP('Données projet'!$B$9,Paramètres!$A$1:$I$89,3,0)*VLOOKUP('Données projet'!$B$9,Paramètres!$A$1:$I$89,5,0)</f>
        <v>242.48640000000009</v>
      </c>
      <c r="P125" s="13">
        <f t="shared" si="87"/>
        <v>58.974170235372476</v>
      </c>
      <c r="Q125" s="20">
        <f t="shared" si="107"/>
        <v>525.04382649327385</v>
      </c>
      <c r="R125" s="59">
        <f t="shared" si="55"/>
        <v>818.37715982660711</v>
      </c>
      <c r="S125" s="59">
        <f ca="1">AVERAGE(OFFSET($R$3,0,0,'Données projet'!$E$9+1,1))-AVERAGE(OFFSET($H$3,0,0,'Données projet'!$E$9+1,1))</f>
        <v>371.7282125501186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56.079262773183039</v>
      </c>
      <c r="AA125" s="21">
        <f>EXP(-LN(2)/25)*AA124+(1-EXP(-LN(2)/25))/(LN(2)/25)*Calculateur!V125*Calculateur!X125*VLOOKUP('Données projet'!$B$9,Paramètres!$A$1:$I$89,3,0)*0.475*44/12</f>
        <v>2.339925662727302</v>
      </c>
      <c r="AB125" s="21">
        <f>EXP(-LN(2)/2)*AB124+(1-EXP(-LN(2)/2))/(LN(2)/2)*V125*Y125*VLOOKUP('Données projet'!$B$9,Paramètres!$A$1:$I$89,3,0)*0.475*44/12</f>
        <v>0.53555686533520408</v>
      </c>
      <c r="AC125" s="22">
        <f t="shared" si="57"/>
        <v>58.954745301245545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305.00000000000017</v>
      </c>
      <c r="AJ125" s="13">
        <f>AI125*VLOOKUP('Données projet'!$B$10,Paramètres!$A$1:$I$89,3,0)*VLOOKUP('Données projet'!$B$10,Paramètres!$A$1:$I$89,5,0)</f>
        <v>204.59400000000011</v>
      </c>
      <c r="AK125" s="13">
        <f t="shared" si="89"/>
        <v>50.75245156043249</v>
      </c>
      <c r="AL125" s="20">
        <f t="shared" si="58"/>
        <v>444.72840313442015</v>
      </c>
      <c r="AM125" s="59">
        <f t="shared" si="59"/>
        <v>738.06173646775346</v>
      </c>
      <c r="AN125" s="59">
        <f ca="1">AVERAGE(OFFSET($AM$3,0,0,'Données projet'!$E$10+1,1))-AVERAGE(OFFSET($H$3,0,0,'Données projet'!$E$10+1,1))</f>
        <v>269.67260882504996</v>
      </c>
      <c r="AO125" s="59">
        <f t="shared" si="90"/>
        <v>272.13858200810074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12.770659787889015</v>
      </c>
      <c r="AV125" s="21">
        <f>EXP(-LN(2)/25)*AV124+(1-EXP(-LN(2)/25))/(LN(2)/25)*Calculateur!AQ125*Calculateur!AS125*VLOOKUP('Données projet'!$B$10,Paramètres!$A$1:$I$89,3,0)*0.475*44/12</f>
        <v>0.52090473468553289</v>
      </c>
      <c r="AW125" s="21">
        <f>EXP(-LN(2)/2)*AW124+(1-EXP(-LN(2)/2))/(LN(2)/2)*AQ125*AT125*VLOOKUP('Données projet'!$B$10,Paramètres!$A$1:$I$89,3,0)*0.475*44/12</f>
        <v>1.3186406898832066E-8</v>
      </c>
      <c r="AX125" s="21">
        <f t="shared" si="60"/>
        <v>13.291564535760955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453.99999999999977</v>
      </c>
      <c r="BE125" s="13">
        <f>BD125*VLOOKUP('Données projet'!$B$11,Paramètres!$A$1:$I$89,3,0)*VLOOKUP('Données projet'!$B$11,Paramètres!$A$1:$I$89,5,0)</f>
        <v>253.78599999999986</v>
      </c>
      <c r="BF125" s="13">
        <f t="shared" si="91"/>
        <v>61.395945216950906</v>
      </c>
      <c r="BG125" s="20">
        <f t="shared" si="61"/>
        <v>548.94188791952263</v>
      </c>
      <c r="BH125" s="59">
        <f t="shared" si="62"/>
        <v>842.275221252856</v>
      </c>
      <c r="BI125" s="59">
        <f ca="1">AVERAGE(OFFSET($BH$3,0,0,'Données projet'!$E$11+1,1))-AVERAGE(OFFSET($H$3,0,0,'Données projet'!$E$11+1,1))</f>
        <v>330.33728077846268</v>
      </c>
      <c r="BJ125" s="59">
        <f t="shared" si="92"/>
        <v>358.38872754175208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17.537841661806016</v>
      </c>
      <c r="BQ125" s="21">
        <f>EXP(-LN(2)/25)*BQ124+(1-EXP(-LN(2)/25))/(LN(2)/25)*Calculateur!BL125*Calculateur!BN125*VLOOKUP('Données projet'!$B$11,Paramètres!$A$1:$I$89,3,0)*0.475*44/12</f>
        <v>5.8870152595157128</v>
      </c>
      <c r="BR125" s="21">
        <f>EXP(-LN(2)/2)*BR124+(1-EXP(-LN(2)/2))/(LN(2)/2)*BL125*BO125*VLOOKUP('Données projet'!$B$11,Paramètres!$A$1:$I$89,3,0)*0.475*44/12</f>
        <v>2.3796049695888348E-8</v>
      </c>
      <c r="BS125" s="22">
        <f t="shared" si="63"/>
        <v>23.424856945117781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290.99999999999994</v>
      </c>
      <c r="BZ125" s="13">
        <f>BY125*VLOOKUP('Données projet'!$B$12,Paramètres!$A$1:$I$89,3,0)*VLOOKUP('Données projet'!$B$12,Paramètres!$A$1:$I$89,5,0)</f>
        <v>276.91559999999993</v>
      </c>
      <c r="CA125" s="13">
        <f t="shared" si="93"/>
        <v>66.314766879144742</v>
      </c>
      <c r="CB125" s="20">
        <f t="shared" si="64"/>
        <v>597.79288898117682</v>
      </c>
      <c r="CC125" s="59">
        <f t="shared" si="65"/>
        <v>891.12622231451019</v>
      </c>
      <c r="CD125" s="59">
        <f ca="1">AVERAGE(OFFSET($CC$3,0,0,'Données projet'!$E$12+1,1))-AVERAGE(OFFSET($H$3,0,0,'Données projet'!$E$12+1,1))</f>
        <v>367.39143258674738</v>
      </c>
      <c r="CE125" s="59">
        <f t="shared" si="94"/>
        <v>376.02790658970292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16.222639633147359</v>
      </c>
      <c r="CL125" s="21">
        <f>EXP(-LN(2)/25)*CL124+(1-EXP(-LN(2)/25))/(LN(2)/25)*Calculateur!CG125*Calculateur!CI125*VLOOKUP('Données projet'!$B$12,Paramètres!$A$1:$I$89,3,0)*0.475*44/12</f>
        <v>0.64733415341626854</v>
      </c>
      <c r="CM125" s="21">
        <f>EXP(-LN(2)/2)*CM124+(1-EXP(-LN(2)/2))/(LN(2)/2)*CG125*CJ125*VLOOKUP('Données projet'!$B$12,Paramètres!$A$1:$I$89,3,0)*0.475*44/12</f>
        <v>2.1626265417438545E-8</v>
      </c>
      <c r="CN125" s="22">
        <f t="shared" si="66"/>
        <v>16.869973808189894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925.00000000000034</v>
      </c>
      <c r="CU125" s="17">
        <f>CT125*VLOOKUP('Données projet'!$B$13,Paramètres!$A$1:$I$89,3,0)*VLOOKUP('Données projet'!$B$13,Paramètres!$A$1:$I$89,5,0)</f>
        <v>408.85000000000014</v>
      </c>
      <c r="CV125" s="13">
        <f t="shared" si="95"/>
        <v>93.568575358321141</v>
      </c>
      <c r="CW125" s="20">
        <f t="shared" si="67"/>
        <v>875.04568541574281</v>
      </c>
      <c r="CX125" s="59">
        <f t="shared" si="68"/>
        <v>1168.3790187490761</v>
      </c>
      <c r="CY125" s="59">
        <f ca="1">AVERAGE(OFFSET($CX$3,0,0,'Données projet'!$E$13+1,1))-AVERAGE(OFFSET($H$3,0,0,'Données projet'!$E$13+1,1))</f>
        <v>500.13646131618248</v>
      </c>
      <c r="CZ125" s="59">
        <f t="shared" si="96"/>
        <v>417.58036817539306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29.76771912207661</v>
      </c>
      <c r="DG125" s="21">
        <f>EXP(-LN(2)/25)*DG124+(1-EXP(-LN(2)/25))/(LN(2)/25)*Calculateur!DB125*Calculateur!DD125*VLOOKUP('Données projet'!$B$13,Paramètres!$A$1:$I$89,3,0)*0.475*44/12</f>
        <v>9.1523807153598824</v>
      </c>
      <c r="DH125" s="21">
        <f>EXP(-LN(2)/2)*DH124+(1-EXP(-LN(2)/2))/(LN(2)/2)*DB125*DE125*VLOOKUP('Données projet'!$B$13,Paramètres!$A$1:$I$89,3,0)*0.475*44/12</f>
        <v>1.1695284920733168E-6</v>
      </c>
      <c r="DI125" s="22">
        <f t="shared" si="69"/>
        <v>38.920101006964991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268.00000000000011</v>
      </c>
      <c r="O126" s="13">
        <f>N126*VLOOKUP('Données projet'!$B$9,Paramètres!$A$1:$I$89,3,0)*VLOOKUP('Données projet'!$B$9,Paramètres!$A$1:$I$89,5,0)</f>
        <v>242.48640000000009</v>
      </c>
      <c r="P126" s="13">
        <f t="shared" si="87"/>
        <v>58.974170235372476</v>
      </c>
      <c r="Q126" s="20">
        <f t="shared" si="107"/>
        <v>525.04382649327385</v>
      </c>
      <c r="R126" s="59">
        <f t="shared" si="55"/>
        <v>818.37715982660711</v>
      </c>
      <c r="S126" s="59">
        <f ca="1">AVERAGE(OFFSET($R$3,0,0,'Données projet'!$E$9+1,1))-AVERAGE(OFFSET($H$3,0,0,'Données projet'!$E$9+1,1))</f>
        <v>371.7282125501186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54.979582635173749</v>
      </c>
      <c r="AA126" s="21">
        <f>EXP(-LN(2)/25)*AA125+(1-EXP(-LN(2)/25))/(LN(2)/25)*Calculateur!V126*Calculateur!X126*VLOOKUP('Données projet'!$B$9,Paramètres!$A$1:$I$89,3,0)*0.475*44/12</f>
        <v>2.2759402724286812</v>
      </c>
      <c r="AB126" s="21">
        <f>EXP(-LN(2)/2)*AB125+(1-EXP(-LN(2)/2))/(LN(2)/2)*V126*Y126*VLOOKUP('Données projet'!$B$9,Paramètres!$A$1:$I$89,3,0)*0.475*44/12</f>
        <v>0.37869589118953345</v>
      </c>
      <c r="AC126" s="22">
        <f t="shared" si="57"/>
        <v>57.63421879879197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305.00000000000017</v>
      </c>
      <c r="AJ126" s="13">
        <f>AI126*VLOOKUP('Données projet'!$B$10,Paramètres!$A$1:$I$89,3,0)*VLOOKUP('Données projet'!$B$10,Paramètres!$A$1:$I$89,5,0)</f>
        <v>204.59400000000011</v>
      </c>
      <c r="AK126" s="13">
        <f t="shared" si="89"/>
        <v>50.75245156043249</v>
      </c>
      <c r="AL126" s="20">
        <f t="shared" si="58"/>
        <v>444.72840313442015</v>
      </c>
      <c r="AM126" s="59">
        <f t="shared" si="59"/>
        <v>738.06173646775346</v>
      </c>
      <c r="AN126" s="59">
        <f ca="1">AVERAGE(OFFSET($AM$3,0,0,'Données projet'!$E$10+1,1))-AVERAGE(OFFSET($H$3,0,0,'Données projet'!$E$10+1,1))</f>
        <v>269.67260882504996</v>
      </c>
      <c r="AO126" s="59">
        <f t="shared" si="90"/>
        <v>272.13858200810074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12.520234938781849</v>
      </c>
      <c r="AV126" s="21">
        <f>EXP(-LN(2)/25)*AV125+(1-EXP(-LN(2)/25))/(LN(2)/25)*Calculateur!AQ126*Calculateur!AS126*VLOOKUP('Données projet'!$B$10,Paramètres!$A$1:$I$89,3,0)*0.475*44/12</f>
        <v>0.50666056732236753</v>
      </c>
      <c r="AW126" s="21">
        <f>EXP(-LN(2)/2)*AW125+(1-EXP(-LN(2)/2))/(LN(2)/2)*AQ126*AT126*VLOOKUP('Données projet'!$B$10,Paramètres!$A$1:$I$89,3,0)*0.475*44/12</f>
        <v>9.3241977376492263E-9</v>
      </c>
      <c r="AX126" s="21">
        <f t="shared" si="60"/>
        <v>13.026895515428414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453.99999999999977</v>
      </c>
      <c r="BE126" s="13">
        <f>BD126*VLOOKUP('Données projet'!$B$11,Paramètres!$A$1:$I$89,3,0)*VLOOKUP('Données projet'!$B$11,Paramètres!$A$1:$I$89,5,0)</f>
        <v>253.78599999999986</v>
      </c>
      <c r="BF126" s="13">
        <f t="shared" si="91"/>
        <v>61.395945216950906</v>
      </c>
      <c r="BG126" s="20">
        <f t="shared" si="61"/>
        <v>548.94188791952263</v>
      </c>
      <c r="BH126" s="59">
        <f t="shared" si="62"/>
        <v>842.275221252856</v>
      </c>
      <c r="BI126" s="59">
        <f ca="1">AVERAGE(OFFSET($BH$3,0,0,'Données projet'!$E$11+1,1))-AVERAGE(OFFSET($H$3,0,0,'Données projet'!$E$11+1,1))</f>
        <v>330.33728077846268</v>
      </c>
      <c r="BJ126" s="59">
        <f t="shared" si="92"/>
        <v>358.38872754175208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17.193935283845171</v>
      </c>
      <c r="BQ126" s="21">
        <f>EXP(-LN(2)/25)*BQ125+(1-EXP(-LN(2)/25))/(LN(2)/25)*Calculateur!BL126*Calculateur!BN126*VLOOKUP('Données projet'!$B$11,Paramètres!$A$1:$I$89,3,0)*0.475*44/12</f>
        <v>5.7260345176595777</v>
      </c>
      <c r="BR126" s="21">
        <f>EXP(-LN(2)/2)*BR125+(1-EXP(-LN(2)/2))/(LN(2)/2)*BL126*BO126*VLOOKUP('Données projet'!$B$11,Paramètres!$A$1:$I$89,3,0)*0.475*44/12</f>
        <v>1.6826348105414732E-8</v>
      </c>
      <c r="BS126" s="22">
        <f t="shared" si="63"/>
        <v>22.919969818331097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290.99999999999994</v>
      </c>
      <c r="BZ126" s="13">
        <f>BY126*VLOOKUP('Données projet'!$B$12,Paramètres!$A$1:$I$89,3,0)*VLOOKUP('Données projet'!$B$12,Paramètres!$A$1:$I$89,5,0)</f>
        <v>276.91559999999993</v>
      </c>
      <c r="CA126" s="13">
        <f t="shared" si="93"/>
        <v>66.314766879144742</v>
      </c>
      <c r="CB126" s="20">
        <f t="shared" si="64"/>
        <v>597.79288898117682</v>
      </c>
      <c r="CC126" s="59">
        <f t="shared" si="65"/>
        <v>891.12622231451019</v>
      </c>
      <c r="CD126" s="59">
        <f ca="1">AVERAGE(OFFSET($CC$3,0,0,'Données projet'!$E$12+1,1))-AVERAGE(OFFSET($H$3,0,0,'Données projet'!$E$12+1,1))</f>
        <v>367.39143258674738</v>
      </c>
      <c r="CE126" s="59">
        <f t="shared" si="94"/>
        <v>376.02790658970292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15.904523564774482</v>
      </c>
      <c r="CL126" s="21">
        <f>EXP(-LN(2)/25)*CL125+(1-EXP(-LN(2)/25))/(LN(2)/25)*Calculateur!CG126*Calculateur!CI126*VLOOKUP('Données projet'!$B$12,Paramètres!$A$1:$I$89,3,0)*0.475*44/12</f>
        <v>0.62963276694927706</v>
      </c>
      <c r="CM126" s="21">
        <f>EXP(-LN(2)/2)*CM125+(1-EXP(-LN(2)/2))/(LN(2)/2)*CG126*CJ126*VLOOKUP('Données projet'!$B$12,Paramètres!$A$1:$I$89,3,0)*0.475*44/12</f>
        <v>1.5292078928410917E-8</v>
      </c>
      <c r="CN126" s="22">
        <f t="shared" si="66"/>
        <v>16.534156347015841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925.00000000000034</v>
      </c>
      <c r="CU126" s="17">
        <f>CT126*VLOOKUP('Données projet'!$B$13,Paramètres!$A$1:$I$89,3,0)*VLOOKUP('Données projet'!$B$13,Paramètres!$A$1:$I$89,5,0)</f>
        <v>408.85000000000014</v>
      </c>
      <c r="CV126" s="13">
        <f t="shared" si="95"/>
        <v>93.568575358321141</v>
      </c>
      <c r="CW126" s="20">
        <f t="shared" si="67"/>
        <v>875.04568541574281</v>
      </c>
      <c r="CX126" s="59">
        <f t="shared" si="68"/>
        <v>1168.3790187490761</v>
      </c>
      <c r="CY126" s="59">
        <f ca="1">AVERAGE(OFFSET($CX$3,0,0,'Données projet'!$E$13+1,1))-AVERAGE(OFFSET($H$3,0,0,'Données projet'!$E$13+1,1))</f>
        <v>500.13646131618248</v>
      </c>
      <c r="CZ126" s="59">
        <f t="shared" si="96"/>
        <v>417.58036817539306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29.183992306608545</v>
      </c>
      <c r="DG126" s="21">
        <f>EXP(-LN(2)/25)*DG125+(1-EXP(-LN(2)/25))/(LN(2)/25)*Calculateur!DB126*Calculateur!DD126*VLOOKUP('Données projet'!$B$13,Paramètres!$A$1:$I$89,3,0)*0.475*44/12</f>
        <v>8.9021083833955821</v>
      </c>
      <c r="DH126" s="21">
        <f>EXP(-LN(2)/2)*DH125+(1-EXP(-LN(2)/2))/(LN(2)/2)*DB126*DE126*VLOOKUP('Données projet'!$B$13,Paramètres!$A$1:$I$89,3,0)*0.475*44/12</f>
        <v>8.2698152753591975E-7</v>
      </c>
      <c r="DI126" s="22">
        <f t="shared" si="69"/>
        <v>38.086101516985657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268.00000000000011</v>
      </c>
      <c r="O127" s="13">
        <f>N127*VLOOKUP('Données projet'!$B$9,Paramètres!$A$1:$I$89,3,0)*VLOOKUP('Données projet'!$B$9,Paramètres!$A$1:$I$89,5,0)</f>
        <v>242.48640000000009</v>
      </c>
      <c r="P127" s="13">
        <f t="shared" si="87"/>
        <v>58.974170235372476</v>
      </c>
      <c r="Q127" s="20">
        <f t="shared" si="107"/>
        <v>525.04382649327385</v>
      </c>
      <c r="R127" s="59">
        <f t="shared" si="55"/>
        <v>818.37715982660711</v>
      </c>
      <c r="S127" s="59">
        <f ca="1">AVERAGE(OFFSET($R$3,0,0,'Données projet'!$E$9+1,1))-AVERAGE(OFFSET($H$3,0,0,'Données projet'!$E$9+1,1))</f>
        <v>371.7282125501186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53.901466553932167</v>
      </c>
      <c r="AA127" s="21">
        <f>EXP(-LN(2)/25)*AA126+(1-EXP(-LN(2)/25))/(LN(2)/25)*Calculateur!V127*Calculateur!X127*VLOOKUP('Données projet'!$B$9,Paramètres!$A$1:$I$89,3,0)*0.475*44/12</f>
        <v>2.2137045659926216</v>
      </c>
      <c r="AB127" s="21">
        <f>EXP(-LN(2)/2)*AB126+(1-EXP(-LN(2)/2))/(LN(2)/2)*V127*Y127*VLOOKUP('Données projet'!$B$9,Paramètres!$A$1:$I$89,3,0)*0.475*44/12</f>
        <v>0.26777843266760204</v>
      </c>
      <c r="AC127" s="22">
        <f t="shared" si="57"/>
        <v>56.382949552592393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305.00000000000017</v>
      </c>
      <c r="AJ127" s="13">
        <f>AI127*VLOOKUP('Données projet'!$B$10,Paramètres!$A$1:$I$89,3,0)*VLOOKUP('Données projet'!$B$10,Paramètres!$A$1:$I$89,5,0)</f>
        <v>204.59400000000011</v>
      </c>
      <c r="AK127" s="13">
        <f t="shared" si="89"/>
        <v>50.75245156043249</v>
      </c>
      <c r="AL127" s="20">
        <f t="shared" si="58"/>
        <v>444.72840313442015</v>
      </c>
      <c r="AM127" s="59">
        <f t="shared" si="59"/>
        <v>738.06173646775346</v>
      </c>
      <c r="AN127" s="59">
        <f ca="1">AVERAGE(OFFSET($AM$3,0,0,'Données projet'!$E$10+1,1))-AVERAGE(OFFSET($H$3,0,0,'Données projet'!$E$10+1,1))</f>
        <v>269.67260882504996</v>
      </c>
      <c r="AO127" s="59">
        <f t="shared" si="90"/>
        <v>272.13858200810074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12.274720768221599</v>
      </c>
      <c r="AV127" s="21">
        <f>EXP(-LN(2)/25)*AV126+(1-EXP(-LN(2)/25))/(LN(2)/25)*Calculateur!AQ127*Calculateur!AS127*VLOOKUP('Données projet'!$B$10,Paramètres!$A$1:$I$89,3,0)*0.475*44/12</f>
        <v>0.49280590746481612</v>
      </c>
      <c r="AW127" s="21">
        <f>EXP(-LN(2)/2)*AW126+(1-EXP(-LN(2)/2))/(LN(2)/2)*AQ127*AT127*VLOOKUP('Données projet'!$B$10,Paramètres!$A$1:$I$89,3,0)*0.475*44/12</f>
        <v>6.593203449416033E-9</v>
      </c>
      <c r="AX127" s="21">
        <f t="shared" si="60"/>
        <v>12.76752668227962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453.99999999999977</v>
      </c>
      <c r="BE127" s="13">
        <f>BD127*VLOOKUP('Données projet'!$B$11,Paramètres!$A$1:$I$89,3,0)*VLOOKUP('Données projet'!$B$11,Paramètres!$A$1:$I$89,5,0)</f>
        <v>253.78599999999986</v>
      </c>
      <c r="BF127" s="13">
        <f t="shared" si="91"/>
        <v>61.395945216950906</v>
      </c>
      <c r="BG127" s="20">
        <f t="shared" si="61"/>
        <v>548.94188791952263</v>
      </c>
      <c r="BH127" s="59">
        <f t="shared" si="62"/>
        <v>842.275221252856</v>
      </c>
      <c r="BI127" s="59">
        <f ca="1">AVERAGE(OFFSET($BH$3,0,0,'Données projet'!$E$11+1,1))-AVERAGE(OFFSET($H$3,0,0,'Données projet'!$E$11+1,1))</f>
        <v>330.33728077846268</v>
      </c>
      <c r="BJ127" s="59">
        <f t="shared" si="92"/>
        <v>358.38872754175208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16.856772700193957</v>
      </c>
      <c r="BQ127" s="21">
        <f>EXP(-LN(2)/25)*BQ126+(1-EXP(-LN(2)/25))/(LN(2)/25)*Calculateur!BL127*Calculateur!BN127*VLOOKUP('Données projet'!$B$11,Paramètres!$A$1:$I$89,3,0)*0.475*44/12</f>
        <v>5.5694558026551082</v>
      </c>
      <c r="BR127" s="21">
        <f>EXP(-LN(2)/2)*BR126+(1-EXP(-LN(2)/2))/(LN(2)/2)*BL127*BO127*VLOOKUP('Données projet'!$B$11,Paramètres!$A$1:$I$89,3,0)*0.475*44/12</f>
        <v>1.1898024847944174E-8</v>
      </c>
      <c r="BS127" s="22">
        <f t="shared" si="63"/>
        <v>22.426228514747088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290.99999999999994</v>
      </c>
      <c r="BZ127" s="13">
        <f>BY127*VLOOKUP('Données projet'!$B$12,Paramètres!$A$1:$I$89,3,0)*VLOOKUP('Données projet'!$B$12,Paramètres!$A$1:$I$89,5,0)</f>
        <v>276.91559999999993</v>
      </c>
      <c r="CA127" s="13">
        <f t="shared" si="93"/>
        <v>66.314766879144742</v>
      </c>
      <c r="CB127" s="20">
        <f t="shared" si="64"/>
        <v>597.79288898117682</v>
      </c>
      <c r="CC127" s="59">
        <f t="shared" si="65"/>
        <v>891.12622231451019</v>
      </c>
      <c r="CD127" s="59">
        <f ca="1">AVERAGE(OFFSET($CC$3,0,0,'Données projet'!$E$12+1,1))-AVERAGE(OFFSET($H$3,0,0,'Données projet'!$E$12+1,1))</f>
        <v>367.39143258674738</v>
      </c>
      <c r="CE127" s="59">
        <f t="shared" si="94"/>
        <v>376.02790658970292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15.592645558470755</v>
      </c>
      <c r="CL127" s="21">
        <f>EXP(-LN(2)/25)*CL126+(1-EXP(-LN(2)/25))/(LN(2)/25)*Calculateur!CG127*Calculateur!CI127*VLOOKUP('Données projet'!$B$12,Paramètres!$A$1:$I$89,3,0)*0.475*44/12</f>
        <v>0.61241542582610087</v>
      </c>
      <c r="CM127" s="21">
        <f>EXP(-LN(2)/2)*CM126+(1-EXP(-LN(2)/2))/(LN(2)/2)*CG127*CJ127*VLOOKUP('Données projet'!$B$12,Paramètres!$A$1:$I$89,3,0)*0.475*44/12</f>
        <v>1.0813132708719273E-8</v>
      </c>
      <c r="CN127" s="22">
        <f t="shared" si="66"/>
        <v>16.205060995109989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925.00000000000034</v>
      </c>
      <c r="CU127" s="17">
        <f>CT127*VLOOKUP('Données projet'!$B$13,Paramètres!$A$1:$I$89,3,0)*VLOOKUP('Données projet'!$B$13,Paramètres!$A$1:$I$89,5,0)</f>
        <v>408.85000000000014</v>
      </c>
      <c r="CV127" s="13">
        <f t="shared" si="95"/>
        <v>93.568575358321141</v>
      </c>
      <c r="CW127" s="20">
        <f t="shared" si="67"/>
        <v>875.04568541574281</v>
      </c>
      <c r="CX127" s="59">
        <f t="shared" si="68"/>
        <v>1168.3790187490761</v>
      </c>
      <c r="CY127" s="59">
        <f ca="1">AVERAGE(OFFSET($CX$3,0,0,'Données projet'!$E$13+1,1))-AVERAGE(OFFSET($H$3,0,0,'Données projet'!$E$13+1,1))</f>
        <v>500.13646131618248</v>
      </c>
      <c r="CZ127" s="59">
        <f t="shared" si="96"/>
        <v>417.58036817539306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28.611712017953607</v>
      </c>
      <c r="DG127" s="21">
        <f>EXP(-LN(2)/25)*DG126+(1-EXP(-LN(2)/25))/(LN(2)/25)*Calculateur!DB127*Calculateur!DD127*VLOOKUP('Données projet'!$B$13,Paramètres!$A$1:$I$89,3,0)*0.475*44/12</f>
        <v>8.6586797615100952</v>
      </c>
      <c r="DH127" s="21">
        <f>EXP(-LN(2)/2)*DH126+(1-EXP(-LN(2)/2))/(LN(2)/2)*DB127*DE127*VLOOKUP('Données projet'!$B$13,Paramètres!$A$1:$I$89,3,0)*0.475*44/12</f>
        <v>5.8476424603665842E-7</v>
      </c>
      <c r="DI127" s="22">
        <f t="shared" si="69"/>
        <v>37.270392364227945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268.00000000000011</v>
      </c>
      <c r="O128" s="13">
        <f>N128*VLOOKUP('Données projet'!$B$9,Paramètres!$A$1:$I$89,3,0)*VLOOKUP('Données projet'!$B$9,Paramètres!$A$1:$I$89,5,0)</f>
        <v>242.48640000000009</v>
      </c>
      <c r="P128" s="13">
        <f t="shared" si="87"/>
        <v>58.974170235372476</v>
      </c>
      <c r="Q128" s="20">
        <f t="shared" si="107"/>
        <v>525.04382649327385</v>
      </c>
      <c r="R128" s="59">
        <f t="shared" si="55"/>
        <v>818.37715982660711</v>
      </c>
      <c r="S128" s="59">
        <f ca="1">AVERAGE(OFFSET($R$3,0,0,'Données projet'!$E$9+1,1))-AVERAGE(OFFSET($H$3,0,0,'Données projet'!$E$9+1,1))</f>
        <v>371.7282125501186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52.844491671457853</v>
      </c>
      <c r="AA128" s="21">
        <f>EXP(-LN(2)/25)*AA127+(1-EXP(-LN(2)/25))/(LN(2)/25)*Calculateur!V128*Calculateur!X128*VLOOKUP('Données projet'!$B$9,Paramètres!$A$1:$I$89,3,0)*0.475*44/12</f>
        <v>2.1531706982218899</v>
      </c>
      <c r="AB128" s="21">
        <f>EXP(-LN(2)/2)*AB127+(1-EXP(-LN(2)/2))/(LN(2)/2)*V128*Y128*VLOOKUP('Données projet'!$B$9,Paramètres!$A$1:$I$89,3,0)*0.475*44/12</f>
        <v>0.18934794559476673</v>
      </c>
      <c r="AC128" s="22">
        <f t="shared" si="57"/>
        <v>55.187010315274513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305.00000000000017</v>
      </c>
      <c r="AJ128" s="13">
        <f>AI128*VLOOKUP('Données projet'!$B$10,Paramètres!$A$1:$I$89,3,0)*VLOOKUP('Données projet'!$B$10,Paramètres!$A$1:$I$89,5,0)</f>
        <v>204.59400000000011</v>
      </c>
      <c r="AK128" s="13">
        <f t="shared" si="89"/>
        <v>50.75245156043249</v>
      </c>
      <c r="AL128" s="20">
        <f t="shared" si="58"/>
        <v>444.72840313442015</v>
      </c>
      <c r="AM128" s="59">
        <f t="shared" si="59"/>
        <v>738.06173646775346</v>
      </c>
      <c r="AN128" s="59">
        <f ca="1">AVERAGE(OFFSET($AM$3,0,0,'Données projet'!$E$10+1,1))-AVERAGE(OFFSET($H$3,0,0,'Données projet'!$E$10+1,1))</f>
        <v>269.67260882504996</v>
      </c>
      <c r="AO128" s="59">
        <f t="shared" si="90"/>
        <v>272.13858200810074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12.034020980797177</v>
      </c>
      <c r="AV128" s="21">
        <f>EXP(-LN(2)/25)*AV127+(1-EXP(-LN(2)/25))/(LN(2)/25)*Calculateur!AQ128*Calculateur!AS128*VLOOKUP('Données projet'!$B$10,Paramètres!$A$1:$I$89,3,0)*0.475*44/12</f>
        <v>0.47933010400965437</v>
      </c>
      <c r="AW128" s="21">
        <f>EXP(-LN(2)/2)*AW127+(1-EXP(-LN(2)/2))/(LN(2)/2)*AQ128*AT128*VLOOKUP('Données projet'!$B$10,Paramètres!$A$1:$I$89,3,0)*0.475*44/12</f>
        <v>4.6620988688246132E-9</v>
      </c>
      <c r="AX128" s="21">
        <f t="shared" si="60"/>
        <v>12.51335108946893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453.99999999999977</v>
      </c>
      <c r="BE128" s="13">
        <f>BD128*VLOOKUP('Données projet'!$B$11,Paramètres!$A$1:$I$89,3,0)*VLOOKUP('Données projet'!$B$11,Paramètres!$A$1:$I$89,5,0)</f>
        <v>253.78599999999986</v>
      </c>
      <c r="BF128" s="13">
        <f t="shared" si="91"/>
        <v>61.395945216950906</v>
      </c>
      <c r="BG128" s="20">
        <f t="shared" si="61"/>
        <v>548.94188791952263</v>
      </c>
      <c r="BH128" s="59">
        <f t="shared" si="62"/>
        <v>842.275221252856</v>
      </c>
      <c r="BI128" s="59">
        <f ca="1">AVERAGE(OFFSET($BH$3,0,0,'Données projet'!$E$11+1,1))-AVERAGE(OFFSET($H$3,0,0,'Données projet'!$E$11+1,1))</f>
        <v>330.33728077846268</v>
      </c>
      <c r="BJ128" s="59">
        <f t="shared" si="92"/>
        <v>358.38872754175208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16.526221669159277</v>
      </c>
      <c r="BQ128" s="21">
        <f>EXP(-LN(2)/25)*BQ127+(1-EXP(-LN(2)/25))/(LN(2)/25)*Calculateur!BL128*Calculateur!BN128*VLOOKUP('Données projet'!$B$11,Paramètres!$A$1:$I$89,3,0)*0.475*44/12</f>
        <v>5.4171587408465527</v>
      </c>
      <c r="BR128" s="21">
        <f>EXP(-LN(2)/2)*BR127+(1-EXP(-LN(2)/2))/(LN(2)/2)*BL128*BO128*VLOOKUP('Données projet'!$B$11,Paramètres!$A$1:$I$89,3,0)*0.475*44/12</f>
        <v>8.4131740527073661E-9</v>
      </c>
      <c r="BS128" s="22">
        <f t="shared" si="63"/>
        <v>21.943380418419004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290.99999999999994</v>
      </c>
      <c r="BZ128" s="13">
        <f>BY128*VLOOKUP('Données projet'!$B$12,Paramètres!$A$1:$I$89,3,0)*VLOOKUP('Données projet'!$B$12,Paramètres!$A$1:$I$89,5,0)</f>
        <v>276.91559999999993</v>
      </c>
      <c r="CA128" s="13">
        <f t="shared" si="93"/>
        <v>66.314766879144742</v>
      </c>
      <c r="CB128" s="20">
        <f t="shared" si="64"/>
        <v>597.79288898117682</v>
      </c>
      <c r="CC128" s="59">
        <f t="shared" si="65"/>
        <v>891.12622231451019</v>
      </c>
      <c r="CD128" s="59">
        <f ca="1">AVERAGE(OFFSET($CC$3,0,0,'Données projet'!$E$12+1,1))-AVERAGE(OFFSET($H$3,0,0,'Données projet'!$E$12+1,1))</f>
        <v>367.39143258674738</v>
      </c>
      <c r="CE128" s="59">
        <f t="shared" si="94"/>
        <v>376.02790658970292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15.286883289643843</v>
      </c>
      <c r="CL128" s="21">
        <f>EXP(-LN(2)/25)*CL127+(1-EXP(-LN(2)/25))/(LN(2)/25)*Calculateur!CG128*Calculateur!CI128*VLOOKUP('Données projet'!$B$12,Paramètres!$A$1:$I$89,3,0)*0.475*44/12</f>
        <v>0.59566889380135857</v>
      </c>
      <c r="CM128" s="21">
        <f>EXP(-LN(2)/2)*CM127+(1-EXP(-LN(2)/2))/(LN(2)/2)*CG128*CJ128*VLOOKUP('Données projet'!$B$12,Paramètres!$A$1:$I$89,3,0)*0.475*44/12</f>
        <v>7.6460394642054585E-9</v>
      </c>
      <c r="CN128" s="22">
        <f t="shared" si="66"/>
        <v>15.882552191091241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925.00000000000034</v>
      </c>
      <c r="CU128" s="17">
        <f>CT128*VLOOKUP('Données projet'!$B$13,Paramètres!$A$1:$I$89,3,0)*VLOOKUP('Données projet'!$B$13,Paramètres!$A$1:$I$89,5,0)</f>
        <v>408.85000000000014</v>
      </c>
      <c r="CV128" s="13">
        <f t="shared" si="95"/>
        <v>93.568575358321141</v>
      </c>
      <c r="CW128" s="20">
        <f t="shared" si="67"/>
        <v>875.04568541574281</v>
      </c>
      <c r="CX128" s="59">
        <f t="shared" si="68"/>
        <v>1168.3790187490761</v>
      </c>
      <c r="CY128" s="59">
        <f ca="1">AVERAGE(OFFSET($CX$3,0,0,'Données projet'!$E$13+1,1))-AVERAGE(OFFSET($H$3,0,0,'Données projet'!$E$13+1,1))</f>
        <v>500.13646131618248</v>
      </c>
      <c r="CZ128" s="59">
        <f t="shared" si="96"/>
        <v>417.58036817539306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28.050653796702683</v>
      </c>
      <c r="DG128" s="21">
        <f>EXP(-LN(2)/25)*DG127+(1-EXP(-LN(2)/25))/(LN(2)/25)*Calculateur!DB128*Calculateur!DD128*VLOOKUP('Données projet'!$B$13,Paramètres!$A$1:$I$89,3,0)*0.475*44/12</f>
        <v>8.4219077080914229</v>
      </c>
      <c r="DH128" s="21">
        <f>EXP(-LN(2)/2)*DH127+(1-EXP(-LN(2)/2))/(LN(2)/2)*DB128*DE128*VLOOKUP('Données projet'!$B$13,Paramètres!$A$1:$I$89,3,0)*0.475*44/12</f>
        <v>4.1349076376795987E-7</v>
      </c>
      <c r="DI128" s="22">
        <f t="shared" si="69"/>
        <v>36.472561918284875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268.00000000000011</v>
      </c>
      <c r="O129" s="13">
        <f>N129*VLOOKUP('Données projet'!$B$9,Paramètres!$A$1:$I$89,3,0)*VLOOKUP('Données projet'!$B$9,Paramètres!$A$1:$I$89,5,0)</f>
        <v>242.48640000000009</v>
      </c>
      <c r="P129" s="13">
        <f t="shared" si="87"/>
        <v>58.974170235372476</v>
      </c>
      <c r="Q129" s="20">
        <f t="shared" si="107"/>
        <v>525.04382649327385</v>
      </c>
      <c r="R129" s="59">
        <f t="shared" si="55"/>
        <v>818.37715982660711</v>
      </c>
      <c r="S129" s="59">
        <f ca="1">AVERAGE(OFFSET($R$3,0,0,'Données projet'!$E$9+1,1))-AVERAGE(OFFSET($H$3,0,0,'Données projet'!$E$9+1,1))</f>
        <v>371.7282125501186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51.808243421737842</v>
      </c>
      <c r="AA129" s="21">
        <f>EXP(-LN(2)/25)*AA128+(1-EXP(-LN(2)/25))/(LN(2)/25)*Calculateur!V129*Calculateur!X129*VLOOKUP('Données projet'!$B$9,Paramètres!$A$1:$I$89,3,0)*0.475*44/12</f>
        <v>2.0942921322486865</v>
      </c>
      <c r="AB129" s="21">
        <f>EXP(-LN(2)/2)*AB128+(1-EXP(-LN(2)/2))/(LN(2)/2)*V129*Y129*VLOOKUP('Données projet'!$B$9,Paramètres!$A$1:$I$89,3,0)*0.475*44/12</f>
        <v>0.13388921633380102</v>
      </c>
      <c r="AC129" s="22">
        <f t="shared" si="57"/>
        <v>54.03642477032033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305.00000000000017</v>
      </c>
      <c r="AJ129" s="13">
        <f>AI129*VLOOKUP('Données projet'!$B$10,Paramètres!$A$1:$I$89,3,0)*VLOOKUP('Données projet'!$B$10,Paramètres!$A$1:$I$89,5,0)</f>
        <v>204.59400000000011</v>
      </c>
      <c r="AK129" s="13">
        <f t="shared" si="89"/>
        <v>50.75245156043249</v>
      </c>
      <c r="AL129" s="20">
        <f t="shared" si="58"/>
        <v>444.72840313442015</v>
      </c>
      <c r="AM129" s="59">
        <f t="shared" si="59"/>
        <v>738.06173646775346</v>
      </c>
      <c r="AN129" s="59">
        <f ca="1">AVERAGE(OFFSET($AM$3,0,0,'Données projet'!$E$10+1,1))-AVERAGE(OFFSET($H$3,0,0,'Données projet'!$E$10+1,1))</f>
        <v>269.67260882504996</v>
      </c>
      <c r="AO129" s="59">
        <f t="shared" si="90"/>
        <v>272.13858200810074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11.798041169391775</v>
      </c>
      <c r="AV129" s="21">
        <f>EXP(-LN(2)/25)*AV128+(1-EXP(-LN(2)/25))/(LN(2)/25)*Calculateur!AQ129*Calculateur!AS129*VLOOKUP('Données projet'!$B$10,Paramètres!$A$1:$I$89,3,0)*0.475*44/12</f>
        <v>0.46622279710863573</v>
      </c>
      <c r="AW129" s="21">
        <f>EXP(-LN(2)/2)*AW128+(1-EXP(-LN(2)/2))/(LN(2)/2)*AQ129*AT129*VLOOKUP('Données projet'!$B$10,Paramètres!$A$1:$I$89,3,0)*0.475*44/12</f>
        <v>3.2966017247080165E-9</v>
      </c>
      <c r="AX129" s="21">
        <f t="shared" si="60"/>
        <v>12.264263969797012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453.99999999999977</v>
      </c>
      <c r="BE129" s="13">
        <f>BD129*VLOOKUP('Données projet'!$B$11,Paramètres!$A$1:$I$89,3,0)*VLOOKUP('Données projet'!$B$11,Paramètres!$A$1:$I$89,5,0)</f>
        <v>253.78599999999986</v>
      </c>
      <c r="BF129" s="13">
        <f t="shared" si="91"/>
        <v>61.395945216950906</v>
      </c>
      <c r="BG129" s="20">
        <f t="shared" si="61"/>
        <v>548.94188791952263</v>
      </c>
      <c r="BH129" s="59">
        <f t="shared" si="62"/>
        <v>842.275221252856</v>
      </c>
      <c r="BI129" s="59">
        <f ca="1">AVERAGE(OFFSET($BH$3,0,0,'Données projet'!$E$11+1,1))-AVERAGE(OFFSET($H$3,0,0,'Données projet'!$E$11+1,1))</f>
        <v>330.33728077846268</v>
      </c>
      <c r="BJ129" s="59">
        <f t="shared" si="92"/>
        <v>358.38872754175208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16.202152542226965</v>
      </c>
      <c r="BQ129" s="21">
        <f>EXP(-LN(2)/25)*BQ128+(1-EXP(-LN(2)/25))/(LN(2)/25)*Calculateur!BL129*Calculateur!BN129*VLOOKUP('Données projet'!$B$11,Paramètres!$A$1:$I$89,3,0)*0.475*44/12</f>
        <v>5.2690262502021064</v>
      </c>
      <c r="BR129" s="21">
        <f>EXP(-LN(2)/2)*BR128+(1-EXP(-LN(2)/2))/(LN(2)/2)*BL129*BO129*VLOOKUP('Données projet'!$B$11,Paramètres!$A$1:$I$89,3,0)*0.475*44/12</f>
        <v>5.9490124239720869E-9</v>
      </c>
      <c r="BS129" s="22">
        <f t="shared" si="63"/>
        <v>21.471178798378084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290.99999999999994</v>
      </c>
      <c r="BZ129" s="13">
        <f>BY129*VLOOKUP('Données projet'!$B$12,Paramètres!$A$1:$I$89,3,0)*VLOOKUP('Données projet'!$B$12,Paramètres!$A$1:$I$89,5,0)</f>
        <v>276.91559999999993</v>
      </c>
      <c r="CA129" s="13">
        <f t="shared" si="93"/>
        <v>66.314766879144742</v>
      </c>
      <c r="CB129" s="20">
        <f t="shared" si="64"/>
        <v>597.79288898117682</v>
      </c>
      <c r="CC129" s="59">
        <f t="shared" si="65"/>
        <v>891.12622231451019</v>
      </c>
      <c r="CD129" s="59">
        <f ca="1">AVERAGE(OFFSET($CC$3,0,0,'Données projet'!$E$12+1,1))-AVERAGE(OFFSET($H$3,0,0,'Données projet'!$E$12+1,1))</f>
        <v>367.39143258674738</v>
      </c>
      <c r="CE129" s="59">
        <f t="shared" si="94"/>
        <v>376.02790658970292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14.987116832412058</v>
      </c>
      <c r="CL129" s="21">
        <f>EXP(-LN(2)/25)*CL128+(1-EXP(-LN(2)/25))/(LN(2)/25)*Calculateur!CG129*Calculateur!CI129*VLOOKUP('Données projet'!$B$12,Paramètres!$A$1:$I$89,3,0)*0.475*44/12</f>
        <v>0.57938029657549472</v>
      </c>
      <c r="CM129" s="21">
        <f>EXP(-LN(2)/2)*CM128+(1-EXP(-LN(2)/2))/(LN(2)/2)*CG129*CJ129*VLOOKUP('Données projet'!$B$12,Paramètres!$A$1:$I$89,3,0)*0.475*44/12</f>
        <v>5.4065663543596363E-9</v>
      </c>
      <c r="CN129" s="22">
        <f t="shared" si="66"/>
        <v>15.566497134394119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925.00000000000034</v>
      </c>
      <c r="CU129" s="17">
        <f>CT129*VLOOKUP('Données projet'!$B$13,Paramètres!$A$1:$I$89,3,0)*VLOOKUP('Données projet'!$B$13,Paramètres!$A$1:$I$89,5,0)</f>
        <v>408.85000000000014</v>
      </c>
      <c r="CV129" s="13">
        <f t="shared" si="95"/>
        <v>93.568575358321141</v>
      </c>
      <c r="CW129" s="20">
        <f t="shared" si="67"/>
        <v>875.04568541574281</v>
      </c>
      <c r="CX129" s="59">
        <f t="shared" si="68"/>
        <v>1168.3790187490761</v>
      </c>
      <c r="CY129" s="59">
        <f ca="1">AVERAGE(OFFSET($CX$3,0,0,'Données projet'!$E$13+1,1))-AVERAGE(OFFSET($H$3,0,0,'Données projet'!$E$13+1,1))</f>
        <v>500.13646131618248</v>
      </c>
      <c r="CZ129" s="59">
        <f t="shared" si="96"/>
        <v>417.58036817539306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27.500597584958765</v>
      </c>
      <c r="DG129" s="21">
        <f>EXP(-LN(2)/25)*DG128+(1-EXP(-LN(2)/25))/(LN(2)/25)*Calculateur!DB129*Calculateur!DD129*VLOOKUP('Données projet'!$B$13,Paramètres!$A$1:$I$89,3,0)*0.475*44/12</f>
        <v>8.1916101989247849</v>
      </c>
      <c r="DH129" s="21">
        <f>EXP(-LN(2)/2)*DH128+(1-EXP(-LN(2)/2))/(LN(2)/2)*DB129*DE129*VLOOKUP('Données projet'!$B$13,Paramètres!$A$1:$I$89,3,0)*0.475*44/12</f>
        <v>2.9238212301832921E-7</v>
      </c>
      <c r="DI129" s="22">
        <f t="shared" si="69"/>
        <v>35.692208076265672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268.00000000000011</v>
      </c>
      <c r="O130" s="13">
        <f>N130*VLOOKUP('Données projet'!$B$9,Paramètres!$A$1:$I$89,3,0)*VLOOKUP('Données projet'!$B$9,Paramètres!$A$1:$I$89,5,0)</f>
        <v>242.48640000000009</v>
      </c>
      <c r="P130" s="13">
        <f t="shared" si="87"/>
        <v>58.974170235372476</v>
      </c>
      <c r="Q130" s="20">
        <f t="shared" si="107"/>
        <v>525.04382649327385</v>
      </c>
      <c r="R130" s="59">
        <f t="shared" si="55"/>
        <v>818.37715982660711</v>
      </c>
      <c r="S130" s="59">
        <f ca="1">AVERAGE(OFFSET($R$3,0,0,'Données projet'!$E$9+1,1))-AVERAGE(OFFSET($H$3,0,0,'Données projet'!$E$9+1,1))</f>
        <v>371.7282125501186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50.792315368145822</v>
      </c>
      <c r="AA130" s="21">
        <f>EXP(-LN(2)/25)*AA129+(1-EXP(-LN(2)/25))/(LN(2)/25)*Calculateur!V130*Calculateur!X130*VLOOKUP('Données projet'!$B$9,Paramètres!$A$1:$I$89,3,0)*0.475*44/12</f>
        <v>2.0370236037583096</v>
      </c>
      <c r="AB130" s="21">
        <f>EXP(-LN(2)/2)*AB129+(1-EXP(-LN(2)/2))/(LN(2)/2)*V130*Y130*VLOOKUP('Données projet'!$B$9,Paramètres!$A$1:$I$89,3,0)*0.475*44/12</f>
        <v>9.4673972797383363E-2</v>
      </c>
      <c r="AC130" s="22">
        <f t="shared" si="57"/>
        <v>52.924012944701509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305.00000000000017</v>
      </c>
      <c r="AJ130" s="13">
        <f>AI130*VLOOKUP('Données projet'!$B$10,Paramètres!$A$1:$I$89,3,0)*VLOOKUP('Données projet'!$B$10,Paramètres!$A$1:$I$89,5,0)</f>
        <v>204.59400000000011</v>
      </c>
      <c r="AK130" s="13">
        <f t="shared" si="89"/>
        <v>50.75245156043249</v>
      </c>
      <c r="AL130" s="20">
        <f t="shared" si="58"/>
        <v>444.72840313442015</v>
      </c>
      <c r="AM130" s="59">
        <f t="shared" si="59"/>
        <v>738.06173646775346</v>
      </c>
      <c r="AN130" s="59">
        <f ca="1">AVERAGE(OFFSET($AM$3,0,0,'Données projet'!$E$10+1,1))-AVERAGE(OFFSET($H$3,0,0,'Données projet'!$E$10+1,1))</f>
        <v>269.67260882504996</v>
      </c>
      <c r="AO130" s="59">
        <f t="shared" si="90"/>
        <v>272.13858200810074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11.56668877815456</v>
      </c>
      <c r="AV130" s="21">
        <f>EXP(-LN(2)/25)*AV129+(1-EXP(-LN(2)/25))/(LN(2)/25)*Calculateur!AQ130*Calculateur!AS130*VLOOKUP('Données projet'!$B$10,Paramètres!$A$1:$I$89,3,0)*0.475*44/12</f>
        <v>0.45347391020410877</v>
      </c>
      <c r="AW130" s="21">
        <f>EXP(-LN(2)/2)*AW129+(1-EXP(-LN(2)/2))/(LN(2)/2)*AQ130*AT130*VLOOKUP('Données projet'!$B$10,Paramètres!$A$1:$I$89,3,0)*0.475*44/12</f>
        <v>2.3310494344123066E-9</v>
      </c>
      <c r="AX130" s="21">
        <f t="shared" si="60"/>
        <v>12.020162690689718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453.99999999999977</v>
      </c>
      <c r="BE130" s="13">
        <f>BD130*VLOOKUP('Données projet'!$B$11,Paramètres!$A$1:$I$89,3,0)*VLOOKUP('Données projet'!$B$11,Paramètres!$A$1:$I$89,5,0)</f>
        <v>253.78599999999986</v>
      </c>
      <c r="BF130" s="13">
        <f t="shared" si="91"/>
        <v>61.395945216950906</v>
      </c>
      <c r="BG130" s="20">
        <f t="shared" si="61"/>
        <v>548.94188791952263</v>
      </c>
      <c r="BH130" s="59">
        <f t="shared" si="62"/>
        <v>842.275221252856</v>
      </c>
      <c r="BI130" s="59">
        <f ca="1">AVERAGE(OFFSET($BH$3,0,0,'Données projet'!$E$11+1,1))-AVERAGE(OFFSET($H$3,0,0,'Données projet'!$E$11+1,1))</f>
        <v>330.33728077846268</v>
      </c>
      <c r="BJ130" s="59">
        <f t="shared" si="92"/>
        <v>358.38872754175208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15.884438213211146</v>
      </c>
      <c r="BQ130" s="21">
        <f>EXP(-LN(2)/25)*BQ129+(1-EXP(-LN(2)/25))/(LN(2)/25)*Calculateur!BL130*Calculateur!BN130*VLOOKUP('Données projet'!$B$11,Paramètres!$A$1:$I$89,3,0)*0.475*44/12</f>
        <v>5.124944450304282</v>
      </c>
      <c r="BR130" s="21">
        <f>EXP(-LN(2)/2)*BR129+(1-EXP(-LN(2)/2))/(LN(2)/2)*BL130*BO130*VLOOKUP('Données projet'!$B$11,Paramètres!$A$1:$I$89,3,0)*0.475*44/12</f>
        <v>4.2065870263536831E-9</v>
      </c>
      <c r="BS130" s="22">
        <f t="shared" si="63"/>
        <v>21.009382667722015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290.99999999999994</v>
      </c>
      <c r="BZ130" s="13">
        <f>BY130*VLOOKUP('Données projet'!$B$12,Paramètres!$A$1:$I$89,3,0)*VLOOKUP('Données projet'!$B$12,Paramètres!$A$1:$I$89,5,0)</f>
        <v>276.91559999999993</v>
      </c>
      <c r="CA130" s="13">
        <f t="shared" si="93"/>
        <v>66.314766879144742</v>
      </c>
      <c r="CB130" s="20">
        <f t="shared" si="64"/>
        <v>597.79288898117682</v>
      </c>
      <c r="CC130" s="59">
        <f t="shared" si="65"/>
        <v>891.12622231451019</v>
      </c>
      <c r="CD130" s="59">
        <f ca="1">AVERAGE(OFFSET($CC$3,0,0,'Données projet'!$E$12+1,1))-AVERAGE(OFFSET($H$3,0,0,'Données projet'!$E$12+1,1))</f>
        <v>367.39143258674738</v>
      </c>
      <c r="CE130" s="59">
        <f t="shared" si="94"/>
        <v>376.02790658970292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14.693228612567102</v>
      </c>
      <c r="CL130" s="21">
        <f>EXP(-LN(2)/25)*CL129+(1-EXP(-LN(2)/25))/(LN(2)/25)*Calculateur!CG130*Calculateur!CI130*VLOOKUP('Données projet'!$B$12,Paramètres!$A$1:$I$89,3,0)*0.475*44/12</f>
        <v>0.56353711189735223</v>
      </c>
      <c r="CM130" s="21">
        <f>EXP(-LN(2)/2)*CM129+(1-EXP(-LN(2)/2))/(LN(2)/2)*CG130*CJ130*VLOOKUP('Données projet'!$B$12,Paramètres!$A$1:$I$89,3,0)*0.475*44/12</f>
        <v>3.8230197321027292E-9</v>
      </c>
      <c r="CN130" s="22">
        <f t="shared" si="66"/>
        <v>15.256765728287474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925.00000000000034</v>
      </c>
      <c r="CU130" s="17">
        <f>CT130*VLOOKUP('Données projet'!$B$13,Paramètres!$A$1:$I$89,3,0)*VLOOKUP('Données projet'!$B$13,Paramètres!$A$1:$I$89,5,0)</f>
        <v>408.85000000000014</v>
      </c>
      <c r="CV130" s="13">
        <f t="shared" si="95"/>
        <v>93.568575358321141</v>
      </c>
      <c r="CW130" s="20">
        <f t="shared" si="67"/>
        <v>875.04568541574281</v>
      </c>
      <c r="CX130" s="59">
        <f t="shared" si="68"/>
        <v>1168.3790187490761</v>
      </c>
      <c r="CY130" s="59">
        <f ca="1">AVERAGE(OFFSET($CX$3,0,0,'Données projet'!$E$13+1,1))-AVERAGE(OFFSET($H$3,0,0,'Données projet'!$E$13+1,1))</f>
        <v>500.13646131618248</v>
      </c>
      <c r="CZ130" s="59">
        <f t="shared" si="96"/>
        <v>417.58036817539306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26.961327640025985</v>
      </c>
      <c r="DG130" s="21">
        <f>EXP(-LN(2)/25)*DG129+(1-EXP(-LN(2)/25))/(LN(2)/25)*Calculateur!DB130*Calculateur!DD130*VLOOKUP('Données projet'!$B$13,Paramètres!$A$1:$I$89,3,0)*0.475*44/12</f>
        <v>7.9676101872571286</v>
      </c>
      <c r="DH130" s="21">
        <f>EXP(-LN(2)/2)*DH129+(1-EXP(-LN(2)/2))/(LN(2)/2)*DB130*DE130*VLOOKUP('Données projet'!$B$13,Paramètres!$A$1:$I$89,3,0)*0.475*44/12</f>
        <v>2.0674538188397994E-7</v>
      </c>
      <c r="DI130" s="22">
        <f t="shared" si="69"/>
        <v>34.928938034028498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268.00000000000011</v>
      </c>
      <c r="O131" s="13">
        <f>N131*VLOOKUP('Données projet'!$B$9,Paramètres!$A$1:$I$89,3,0)*VLOOKUP('Données projet'!$B$9,Paramètres!$A$1:$I$89,5,0)</f>
        <v>242.48640000000009</v>
      </c>
      <c r="P131" s="13">
        <f t="shared" si="87"/>
        <v>58.974170235372476</v>
      </c>
      <c r="Q131" s="20">
        <f t="shared" ref="Q131:Q153" si="108">(O131+P131)*0.475*44/12</f>
        <v>525.04382649327385</v>
      </c>
      <c r="R131" s="59">
        <f t="shared" ref="R131:R194" si="109">Q131+(I131+J131)*44/12</f>
        <v>818.37715982660711</v>
      </c>
      <c r="S131" s="59">
        <f ca="1">AVERAGE(OFFSET($R$3,0,0,'Données projet'!$E$9+1,1))-AVERAGE(OFFSET($H$3,0,0,'Données projet'!$E$9+1,1))</f>
        <v>371.7282125501186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49.796309044029812</v>
      </c>
      <c r="AA131" s="21">
        <f>EXP(-LN(2)/25)*AA130+(1-EXP(-LN(2)/25))/(LN(2)/25)*Calculateur!V131*Calculateur!X131*VLOOKUP('Données projet'!$B$9,Paramètres!$A$1:$I$89,3,0)*0.475*44/12</f>
        <v>1.981321086191123</v>
      </c>
      <c r="AB131" s="21">
        <f>EXP(-LN(2)/2)*AB130+(1-EXP(-LN(2)/2))/(LN(2)/2)*V131*Y131*VLOOKUP('Données projet'!$B$9,Paramètres!$A$1:$I$89,3,0)*0.475*44/12</f>
        <v>6.694460816690051E-2</v>
      </c>
      <c r="AC131" s="22">
        <f t="shared" si="57"/>
        <v>51.844574738387834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305.00000000000017</v>
      </c>
      <c r="AJ131" s="13">
        <f>AI131*VLOOKUP('Données projet'!$B$10,Paramètres!$A$1:$I$89,3,0)*VLOOKUP('Données projet'!$B$10,Paramètres!$A$1:$I$89,5,0)</f>
        <v>204.59400000000011</v>
      </c>
      <c r="AK131" s="13">
        <f t="shared" si="89"/>
        <v>50.75245156043249</v>
      </c>
      <c r="AL131" s="20">
        <f t="shared" si="58"/>
        <v>444.72840313442015</v>
      </c>
      <c r="AM131" s="59">
        <f t="shared" si="59"/>
        <v>738.06173646775346</v>
      </c>
      <c r="AN131" s="59">
        <f ca="1">AVERAGE(OFFSET($AM$3,0,0,'Données projet'!$E$10+1,1))-AVERAGE(OFFSET($H$3,0,0,'Données projet'!$E$10+1,1))</f>
        <v>269.67260882504996</v>
      </c>
      <c r="AO131" s="59">
        <f t="shared" si="90"/>
        <v>272.13858200810074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11.339873066198482</v>
      </c>
      <c r="AV131" s="21">
        <f>EXP(-LN(2)/25)*AV130+(1-EXP(-LN(2)/25))/(LN(2)/25)*Calculateur!AQ131*Calculateur!AS131*VLOOKUP('Données projet'!$B$10,Paramètres!$A$1:$I$89,3,0)*0.475*44/12</f>
        <v>0.44107364228242091</v>
      </c>
      <c r="AW131" s="21">
        <f>EXP(-LN(2)/2)*AW130+(1-EXP(-LN(2)/2))/(LN(2)/2)*AQ131*AT131*VLOOKUP('Données projet'!$B$10,Paramètres!$A$1:$I$89,3,0)*0.475*44/12</f>
        <v>1.6483008623540083E-9</v>
      </c>
      <c r="AX131" s="21">
        <f t="shared" si="60"/>
        <v>11.780946710129204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453.99999999999977</v>
      </c>
      <c r="BE131" s="13">
        <f>BD131*VLOOKUP('Données projet'!$B$11,Paramètres!$A$1:$I$89,3,0)*VLOOKUP('Données projet'!$B$11,Paramètres!$A$1:$I$89,5,0)</f>
        <v>253.78599999999986</v>
      </c>
      <c r="BF131" s="13">
        <f t="shared" si="91"/>
        <v>61.395945216950906</v>
      </c>
      <c r="BG131" s="20">
        <f t="shared" si="61"/>
        <v>548.94188791952263</v>
      </c>
      <c r="BH131" s="59">
        <f t="shared" si="62"/>
        <v>842.275221252856</v>
      </c>
      <c r="BI131" s="59">
        <f ca="1">AVERAGE(OFFSET($BH$3,0,0,'Données projet'!$E$11+1,1))-AVERAGE(OFFSET($H$3,0,0,'Données projet'!$E$11+1,1))</f>
        <v>330.33728077846268</v>
      </c>
      <c r="BJ131" s="59">
        <f t="shared" si="92"/>
        <v>358.38872754175208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15.572954068400721</v>
      </c>
      <c r="BQ131" s="21">
        <f>EXP(-LN(2)/25)*BQ130+(1-EXP(-LN(2)/25))/(LN(2)/25)*Calculateur!BL131*Calculateur!BN131*VLOOKUP('Données projet'!$B$11,Paramètres!$A$1:$I$89,3,0)*0.475*44/12</f>
        <v>4.9848025748015958</v>
      </c>
      <c r="BR131" s="21">
        <f>EXP(-LN(2)/2)*BR130+(1-EXP(-LN(2)/2))/(LN(2)/2)*BL131*BO131*VLOOKUP('Données projet'!$B$11,Paramètres!$A$1:$I$89,3,0)*0.475*44/12</f>
        <v>2.9745062119860435E-9</v>
      </c>
      <c r="BS131" s="22">
        <f t="shared" si="63"/>
        <v>20.557756646176824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290.99999999999994</v>
      </c>
      <c r="BZ131" s="13">
        <f>BY131*VLOOKUP('Données projet'!$B$12,Paramètres!$A$1:$I$89,3,0)*VLOOKUP('Données projet'!$B$12,Paramètres!$A$1:$I$89,5,0)</f>
        <v>276.91559999999993</v>
      </c>
      <c r="CA131" s="13">
        <f t="shared" si="93"/>
        <v>66.314766879144742</v>
      </c>
      <c r="CB131" s="20">
        <f t="shared" si="64"/>
        <v>597.79288898117682</v>
      </c>
      <c r="CC131" s="59">
        <f t="shared" si="65"/>
        <v>891.12622231451019</v>
      </c>
      <c r="CD131" s="59">
        <f ca="1">AVERAGE(OFFSET($CC$3,0,0,'Données projet'!$E$12+1,1))-AVERAGE(OFFSET($H$3,0,0,'Données projet'!$E$12+1,1))</f>
        <v>367.39143258674738</v>
      </c>
      <c r="CE131" s="59">
        <f t="shared" si="94"/>
        <v>376.02790658970292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14.405103361459192</v>
      </c>
      <c r="CL131" s="21">
        <f>EXP(-LN(2)/25)*CL130+(1-EXP(-LN(2)/25))/(LN(2)/25)*Calculateur!CG131*Calculateur!CI131*VLOOKUP('Données projet'!$B$12,Paramètres!$A$1:$I$89,3,0)*0.475*44/12</f>
        <v>0.54812715993739036</v>
      </c>
      <c r="CM131" s="21">
        <f>EXP(-LN(2)/2)*CM130+(1-EXP(-LN(2)/2))/(LN(2)/2)*CG131*CJ131*VLOOKUP('Données projet'!$B$12,Paramètres!$A$1:$I$89,3,0)*0.475*44/12</f>
        <v>2.7032831771798182E-9</v>
      </c>
      <c r="CN131" s="22">
        <f t="shared" si="66"/>
        <v>14.953230524099865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925.00000000000034</v>
      </c>
      <c r="CU131" s="17">
        <f>CT131*VLOOKUP('Données projet'!$B$13,Paramètres!$A$1:$I$89,3,0)*VLOOKUP('Données projet'!$B$13,Paramètres!$A$1:$I$89,5,0)</f>
        <v>408.85000000000014</v>
      </c>
      <c r="CV131" s="13">
        <f t="shared" si="95"/>
        <v>93.568575358321141</v>
      </c>
      <c r="CW131" s="20">
        <f t="shared" si="67"/>
        <v>875.04568541574281</v>
      </c>
      <c r="CX131" s="59">
        <f t="shared" si="68"/>
        <v>1168.3790187490761</v>
      </c>
      <c r="CY131" s="59">
        <f ca="1">AVERAGE(OFFSET($CX$3,0,0,'Données projet'!$E$13+1,1))-AVERAGE(OFFSET($H$3,0,0,'Données projet'!$E$13+1,1))</f>
        <v>500.13646131618248</v>
      </c>
      <c r="CZ131" s="59">
        <f t="shared" si="96"/>
        <v>417.58036817539306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26.432632449791146</v>
      </c>
      <c r="DG131" s="21">
        <f>EXP(-LN(2)/25)*DG130+(1-EXP(-LN(2)/25))/(LN(2)/25)*Calculateur!DB131*Calculateur!DD131*VLOOKUP('Données projet'!$B$13,Paramètres!$A$1:$I$89,3,0)*0.475*44/12</f>
        <v>7.7497354676881729</v>
      </c>
      <c r="DH131" s="21">
        <f>EXP(-LN(2)/2)*DH130+(1-EXP(-LN(2)/2))/(LN(2)/2)*DB131*DE131*VLOOKUP('Données projet'!$B$13,Paramètres!$A$1:$I$89,3,0)*0.475*44/12</f>
        <v>1.4619106150916461E-7</v>
      </c>
      <c r="DI131" s="22">
        <f t="shared" si="69"/>
        <v>34.182368063670381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268.00000000000011</v>
      </c>
      <c r="O132" s="13">
        <f>N132*VLOOKUP('Données projet'!$B$9,Paramètres!$A$1:$I$89,3,0)*VLOOKUP('Données projet'!$B$9,Paramètres!$A$1:$I$89,5,0)</f>
        <v>242.48640000000009</v>
      </c>
      <c r="P132" s="13">
        <f t="shared" si="87"/>
        <v>58.974170235372476</v>
      </c>
      <c r="Q132" s="20">
        <f t="shared" si="108"/>
        <v>525.04382649327385</v>
      </c>
      <c r="R132" s="59">
        <f t="shared" si="109"/>
        <v>818.37715982660711</v>
      </c>
      <c r="S132" s="59">
        <f ca="1">AVERAGE(OFFSET($R$3,0,0,'Données projet'!$E$9+1,1))-AVERAGE(OFFSET($H$3,0,0,'Données projet'!$E$9+1,1))</f>
        <v>371.7282125501186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48.819833796425847</v>
      </c>
      <c r="AA132" s="21">
        <f>EXP(-LN(2)/25)*AA131+(1-EXP(-LN(2)/25))/(LN(2)/25)*Calculateur!V132*Calculateur!X132*VLOOKUP('Données projet'!$B$9,Paramètres!$A$1:$I$89,3,0)*0.475*44/12</f>
        <v>1.9271417568960791</v>
      </c>
      <c r="AB132" s="21">
        <f>EXP(-LN(2)/2)*AB131+(1-EXP(-LN(2)/2))/(LN(2)/2)*V132*Y132*VLOOKUP('Données projet'!$B$9,Paramètres!$A$1:$I$89,3,0)*0.475*44/12</f>
        <v>4.7336986398691681E-2</v>
      </c>
      <c r="AC132" s="22">
        <f t="shared" ref="AC132:AC153" si="111">SUM(Z132:AB132)</f>
        <v>50.794312539720615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305.00000000000017</v>
      </c>
      <c r="AJ132" s="13">
        <f>AI132*VLOOKUP('Données projet'!$B$10,Paramètres!$A$1:$I$89,3,0)*VLOOKUP('Données projet'!$B$10,Paramètres!$A$1:$I$89,5,0)</f>
        <v>204.59400000000011</v>
      </c>
      <c r="AK132" s="13">
        <f t="shared" si="89"/>
        <v>50.75245156043249</v>
      </c>
      <c r="AL132" s="20">
        <f t="shared" ref="AL132:AL153" si="112">(AJ132+AK132)*0.475*44/12</f>
        <v>444.72840313442015</v>
      </c>
      <c r="AM132" s="59">
        <f t="shared" ref="AM132:AM195" si="113">AL132+(AD132+AE132)*44/12</f>
        <v>738.06173646775346</v>
      </c>
      <c r="AN132" s="59">
        <f ca="1">AVERAGE(OFFSET($AM$3,0,0,'Données projet'!$E$10+1,1))-AVERAGE(OFFSET($H$3,0,0,'Données projet'!$E$10+1,1))</f>
        <v>269.67260882504996</v>
      </c>
      <c r="AO132" s="59">
        <f t="shared" si="90"/>
        <v>272.13858200810074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11.117505072009939</v>
      </c>
      <c r="AV132" s="21">
        <f>EXP(-LN(2)/25)*AV131+(1-EXP(-LN(2)/25))/(LN(2)/25)*Calculateur!AQ132*Calculateur!AS132*VLOOKUP('Données projet'!$B$10,Paramètres!$A$1:$I$89,3,0)*0.475*44/12</f>
        <v>0.42901246033915336</v>
      </c>
      <c r="AW132" s="21">
        <f>EXP(-LN(2)/2)*AW131+(1-EXP(-LN(2)/2))/(LN(2)/2)*AQ132*AT132*VLOOKUP('Données projet'!$B$10,Paramètres!$A$1:$I$89,3,0)*0.475*44/12</f>
        <v>1.1655247172061533E-9</v>
      </c>
      <c r="AX132" s="21">
        <f t="shared" ref="AX132:AX153" si="114">SUM(AU132:AW132)</f>
        <v>11.546517533514617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453.99999999999977</v>
      </c>
      <c r="BE132" s="13">
        <f>BD132*VLOOKUP('Données projet'!$B$11,Paramètres!$A$1:$I$89,3,0)*VLOOKUP('Données projet'!$B$11,Paramètres!$A$1:$I$89,5,0)</f>
        <v>253.78599999999986</v>
      </c>
      <c r="BF132" s="13">
        <f t="shared" si="91"/>
        <v>61.395945216950906</v>
      </c>
      <c r="BG132" s="20">
        <f t="shared" ref="BG132:BG153" si="115">(BE132+BF132)*0.475*44/12</f>
        <v>548.94188791952263</v>
      </c>
      <c r="BH132" s="59">
        <f t="shared" ref="BH132:BH195" si="116">BG132+(AY132+AZ132)*44/12</f>
        <v>842.275221252856</v>
      </c>
      <c r="BI132" s="59">
        <f ca="1">AVERAGE(OFFSET($BH$3,0,0,'Données projet'!$E$11+1,1))-AVERAGE(OFFSET($H$3,0,0,'Données projet'!$E$11+1,1))</f>
        <v>330.33728077846268</v>
      </c>
      <c r="BJ132" s="59">
        <f t="shared" si="92"/>
        <v>358.38872754175208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15.267577937683459</v>
      </c>
      <c r="BQ132" s="21">
        <f>EXP(-LN(2)/25)*BQ131+(1-EXP(-LN(2)/25))/(LN(2)/25)*Calculateur!BL132*Calculateur!BN132*VLOOKUP('Données projet'!$B$11,Paramètres!$A$1:$I$89,3,0)*0.475*44/12</f>
        <v>4.848492886254272</v>
      </c>
      <c r="BR132" s="21">
        <f>EXP(-LN(2)/2)*BR131+(1-EXP(-LN(2)/2))/(LN(2)/2)*BL132*BO132*VLOOKUP('Données projet'!$B$11,Paramètres!$A$1:$I$89,3,0)*0.475*44/12</f>
        <v>2.1032935131768415E-9</v>
      </c>
      <c r="BS132" s="22">
        <f t="shared" ref="BS132:BS153" si="117">SUM(BP132:BR132)</f>
        <v>20.116070826041025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290.99999999999994</v>
      </c>
      <c r="BZ132" s="13">
        <f>BY132*VLOOKUP('Données projet'!$B$12,Paramètres!$A$1:$I$89,3,0)*VLOOKUP('Données projet'!$B$12,Paramètres!$A$1:$I$89,5,0)</f>
        <v>276.91559999999993</v>
      </c>
      <c r="CA132" s="13">
        <f t="shared" si="93"/>
        <v>66.314766879144742</v>
      </c>
      <c r="CB132" s="20">
        <f t="shared" ref="CB132:CB153" si="118">(BZ132+CA132)*0.475*44/12</f>
        <v>597.79288898117682</v>
      </c>
      <c r="CC132" s="59">
        <f t="shared" ref="CC132:CC195" si="119">CB132+(BT132+BU132)*44/12</f>
        <v>891.12622231451019</v>
      </c>
      <c r="CD132" s="59">
        <f ca="1">AVERAGE(OFFSET($CC$3,0,0,'Données projet'!$E$12+1,1))-AVERAGE(OFFSET($H$3,0,0,'Données projet'!$E$12+1,1))</f>
        <v>367.39143258674738</v>
      </c>
      <c r="CE132" s="59">
        <f t="shared" si="94"/>
        <v>376.02790658970292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14.122628070786458</v>
      </c>
      <c r="CL132" s="21">
        <f>EXP(-LN(2)/25)*CL131+(1-EXP(-LN(2)/25))/(LN(2)/25)*Calculateur!CG132*Calculateur!CI132*VLOOKUP('Données projet'!$B$12,Paramètres!$A$1:$I$89,3,0)*0.475*44/12</f>
        <v>0.53313859392414786</v>
      </c>
      <c r="CM132" s="21">
        <f>EXP(-LN(2)/2)*CM131+(1-EXP(-LN(2)/2))/(LN(2)/2)*CG132*CJ132*VLOOKUP('Données projet'!$B$12,Paramètres!$A$1:$I$89,3,0)*0.475*44/12</f>
        <v>1.9115098660513646E-9</v>
      </c>
      <c r="CN132" s="22">
        <f t="shared" ref="CN132:CN153" si="120">SUM(CK132:CM132)</f>
        <v>14.655766666622116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925.00000000000034</v>
      </c>
      <c r="CU132" s="17">
        <f>CT132*VLOOKUP('Données projet'!$B$13,Paramètres!$A$1:$I$89,3,0)*VLOOKUP('Données projet'!$B$13,Paramètres!$A$1:$I$89,5,0)</f>
        <v>408.85000000000014</v>
      </c>
      <c r="CV132" s="13">
        <f t="shared" si="95"/>
        <v>93.568575358321141</v>
      </c>
      <c r="CW132" s="20">
        <f t="shared" ref="CW132:CW153" si="121">(CU132+CV132)*0.475*44/12</f>
        <v>875.04568541574281</v>
      </c>
      <c r="CX132" s="59">
        <f t="shared" ref="CX132:CX195" si="122">CW132+(CO132+CP132)*44/12</f>
        <v>1168.3790187490761</v>
      </c>
      <c r="CY132" s="59">
        <f ca="1">AVERAGE(OFFSET($CX$3,0,0,'Données projet'!$E$13+1,1))-AVERAGE(OFFSET($H$3,0,0,'Données projet'!$E$13+1,1))</f>
        <v>500.13646131618248</v>
      </c>
      <c r="CZ132" s="59">
        <f t="shared" si="96"/>
        <v>417.58036817539306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25.914304649764592</v>
      </c>
      <c r="DG132" s="21">
        <f>EXP(-LN(2)/25)*DG131+(1-EXP(-LN(2)/25))/(LN(2)/25)*Calculateur!DB132*Calculateur!DD132*VLOOKUP('Données projet'!$B$13,Paramètres!$A$1:$I$89,3,0)*0.475*44/12</f>
        <v>7.5378185437833638</v>
      </c>
      <c r="DH132" s="21">
        <f>EXP(-LN(2)/2)*DH131+(1-EXP(-LN(2)/2))/(LN(2)/2)*DB132*DE132*VLOOKUP('Données projet'!$B$13,Paramètres!$A$1:$I$89,3,0)*0.475*44/12</f>
        <v>1.0337269094198997E-7</v>
      </c>
      <c r="DI132" s="22">
        <f t="shared" ref="DI132:DI153" si="123">SUM(DF132:DH132)</f>
        <v>33.452123296920647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268.00000000000011</v>
      </c>
      <c r="O133" s="13">
        <f>N133*VLOOKUP('Données projet'!$B$9,Paramètres!$A$1:$I$89,3,0)*VLOOKUP('Données projet'!$B$9,Paramètres!$A$1:$I$89,5,0)</f>
        <v>242.48640000000009</v>
      </c>
      <c r="P133" s="13">
        <f t="shared" ref="P133:P196" si="141">EXP(-1.0587+0.8836*LN(O133)+0.284)</f>
        <v>58.974170235372476</v>
      </c>
      <c r="Q133" s="20">
        <f t="shared" si="108"/>
        <v>525.04382649327385</v>
      </c>
      <c r="R133" s="59">
        <f t="shared" si="109"/>
        <v>818.37715982660711</v>
      </c>
      <c r="S133" s="59">
        <f ca="1">AVERAGE(OFFSET($R$3,0,0,'Données projet'!$E$9+1,1))-AVERAGE(OFFSET($H$3,0,0,'Données projet'!$E$9+1,1))</f>
        <v>371.7282125501186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47.8625066328363</v>
      </c>
      <c r="AA133" s="21">
        <f>EXP(-LN(2)/25)*AA132+(1-EXP(-LN(2)/25))/(LN(2)/25)*Calculateur!V133*Calculateur!X133*VLOOKUP('Données projet'!$B$9,Paramètres!$A$1:$I$89,3,0)*0.475*44/12</f>
        <v>1.8744439642097754</v>
      </c>
      <c r="AB133" s="21">
        <f>EXP(-LN(2)/2)*AB132+(1-EXP(-LN(2)/2))/(LN(2)/2)*V133*Y133*VLOOKUP('Données projet'!$B$9,Paramètres!$A$1:$I$89,3,0)*0.475*44/12</f>
        <v>3.3472304083450255E-2</v>
      </c>
      <c r="AC133" s="22">
        <f t="shared" si="111"/>
        <v>49.770422901129528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305.00000000000017</v>
      </c>
      <c r="AJ133" s="13">
        <f>AI133*VLOOKUP('Données projet'!$B$10,Paramètres!$A$1:$I$89,3,0)*VLOOKUP('Données projet'!$B$10,Paramètres!$A$1:$I$89,5,0)</f>
        <v>204.59400000000011</v>
      </c>
      <c r="AK133" s="13">
        <f t="shared" ref="AK133:AK153" si="143">EXP(-1.0587+0.8836*LN(AJ133)+0.284)</f>
        <v>50.75245156043249</v>
      </c>
      <c r="AL133" s="20">
        <f t="shared" si="112"/>
        <v>444.72840313442015</v>
      </c>
      <c r="AM133" s="59">
        <f t="shared" si="113"/>
        <v>738.06173646775346</v>
      </c>
      <c r="AN133" s="59">
        <f ca="1">AVERAGE(OFFSET($AM$3,0,0,'Données projet'!$E$10+1,1))-AVERAGE(OFFSET($H$3,0,0,'Données projet'!$E$10+1,1))</f>
        <v>269.67260882504996</v>
      </c>
      <c r="AO133" s="59">
        <f t="shared" ref="AO133:AO196" si="144">$AO$3</f>
        <v>272.13858200810074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10.89949757855635</v>
      </c>
      <c r="AV133" s="21">
        <f>EXP(-LN(2)/25)*AV132+(1-EXP(-LN(2)/25))/(LN(2)/25)*Calculateur!AQ133*Calculateur!AS133*VLOOKUP('Données projet'!$B$10,Paramètres!$A$1:$I$89,3,0)*0.475*44/12</f>
        <v>0.41728109205039443</v>
      </c>
      <c r="AW133" s="21">
        <f>EXP(-LN(2)/2)*AW132+(1-EXP(-LN(2)/2))/(LN(2)/2)*AQ133*AT133*VLOOKUP('Données projet'!$B$10,Paramètres!$A$1:$I$89,3,0)*0.475*44/12</f>
        <v>8.2415043117700413E-10</v>
      </c>
      <c r="AX133" s="21">
        <f t="shared" si="114"/>
        <v>11.316778671430894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453.99999999999977</v>
      </c>
      <c r="BE133" s="13">
        <f>BD133*VLOOKUP('Données projet'!$B$11,Paramètres!$A$1:$I$89,3,0)*VLOOKUP('Données projet'!$B$11,Paramètres!$A$1:$I$89,5,0)</f>
        <v>253.78599999999986</v>
      </c>
      <c r="BF133" s="13">
        <f t="shared" ref="BF133:BF153" si="145">EXP(-1.0587+0.8836*LN(BE133)+0.284)</f>
        <v>61.395945216950906</v>
      </c>
      <c r="BG133" s="20">
        <f t="shared" si="115"/>
        <v>548.94188791952263</v>
      </c>
      <c r="BH133" s="59">
        <f t="shared" si="116"/>
        <v>842.275221252856</v>
      </c>
      <c r="BI133" s="59">
        <f ca="1">AVERAGE(OFFSET($BH$3,0,0,'Données projet'!$E$11+1,1))-AVERAGE(OFFSET($H$3,0,0,'Données projet'!$E$11+1,1))</f>
        <v>330.33728077846268</v>
      </c>
      <c r="BJ133" s="59">
        <f t="shared" ref="BJ133:BJ196" si="146">$BJ$3</f>
        <v>358.38872754175208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14.968190046628514</v>
      </c>
      <c r="BQ133" s="21">
        <f>EXP(-LN(2)/25)*BQ132+(1-EXP(-LN(2)/25))/(LN(2)/25)*Calculateur!BL133*Calculateur!BN133*VLOOKUP('Données projet'!$B$11,Paramètres!$A$1:$I$89,3,0)*0.475*44/12</f>
        <v>4.7159105933084895</v>
      </c>
      <c r="BR133" s="21">
        <f>EXP(-LN(2)/2)*BR132+(1-EXP(-LN(2)/2))/(LN(2)/2)*BL133*BO133*VLOOKUP('Données projet'!$B$11,Paramètres!$A$1:$I$89,3,0)*0.475*44/12</f>
        <v>1.4872531059930217E-9</v>
      </c>
      <c r="BS133" s="22">
        <f t="shared" si="117"/>
        <v>19.684100641424259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290.99999999999994</v>
      </c>
      <c r="BZ133" s="13">
        <f>BY133*VLOOKUP('Données projet'!$B$12,Paramètres!$A$1:$I$89,3,0)*VLOOKUP('Données projet'!$B$12,Paramètres!$A$1:$I$89,5,0)</f>
        <v>276.91559999999993</v>
      </c>
      <c r="CA133" s="13">
        <f t="shared" ref="CA133:CA153" si="147">EXP(-1.0587+0.8836*LN(BZ133)+0.284)</f>
        <v>66.314766879144742</v>
      </c>
      <c r="CB133" s="20">
        <f t="shared" si="118"/>
        <v>597.79288898117682</v>
      </c>
      <c r="CC133" s="59">
        <f t="shared" si="119"/>
        <v>891.12622231451019</v>
      </c>
      <c r="CD133" s="59">
        <f ca="1">AVERAGE(OFFSET($CC$3,0,0,'Données projet'!$E$12+1,1))-AVERAGE(OFFSET($H$3,0,0,'Données projet'!$E$12+1,1))</f>
        <v>367.39143258674738</v>
      </c>
      <c r="CE133" s="59">
        <f t="shared" ref="CE133:CE196" si="148">$CE$3</f>
        <v>376.02790658970292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13.845691948270902</v>
      </c>
      <c r="CL133" s="21">
        <f>EXP(-LN(2)/25)*CL132+(1-EXP(-LN(2)/25))/(LN(2)/25)*Calculateur!CG133*Calculateur!CI133*VLOOKUP('Données projet'!$B$12,Paramètres!$A$1:$I$89,3,0)*0.475*44/12</f>
        <v>0.51855989103675193</v>
      </c>
      <c r="CM133" s="21">
        <f>EXP(-LN(2)/2)*CM132+(1-EXP(-LN(2)/2))/(LN(2)/2)*CG133*CJ133*VLOOKUP('Données projet'!$B$12,Paramètres!$A$1:$I$89,3,0)*0.475*44/12</f>
        <v>1.3516415885899091E-9</v>
      </c>
      <c r="CN133" s="22">
        <f t="shared" si="120"/>
        <v>14.364251840659296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925.00000000000034</v>
      </c>
      <c r="CU133" s="17">
        <f>CT133*VLOOKUP('Données projet'!$B$13,Paramètres!$A$1:$I$89,3,0)*VLOOKUP('Données projet'!$B$13,Paramètres!$A$1:$I$89,5,0)</f>
        <v>408.85000000000014</v>
      </c>
      <c r="CV133" s="13">
        <f t="shared" ref="CV133:CV153" si="149">EXP(-1.0587+0.8836*LN(CU133)+0.284)</f>
        <v>93.568575358321141</v>
      </c>
      <c r="CW133" s="20">
        <f t="shared" si="121"/>
        <v>875.04568541574281</v>
      </c>
      <c r="CX133" s="59">
        <f t="shared" si="122"/>
        <v>1168.3790187490761</v>
      </c>
      <c r="CY133" s="59">
        <f ca="1">AVERAGE(OFFSET($CX$3,0,0,'Données projet'!$E$13+1,1))-AVERAGE(OFFSET($H$3,0,0,'Données projet'!$E$13+1,1))</f>
        <v>500.13646131618248</v>
      </c>
      <c r="CZ133" s="59">
        <f t="shared" ref="CZ133:CZ196" si="150">$CZ$3</f>
        <v>417.58036817539306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25.406140941747815</v>
      </c>
      <c r="DG133" s="21">
        <f>EXP(-LN(2)/25)*DG132+(1-EXP(-LN(2)/25))/(LN(2)/25)*Calculateur!DB133*Calculateur!DD133*VLOOKUP('Données projet'!$B$13,Paramètres!$A$1:$I$89,3,0)*0.475*44/12</f>
        <v>7.3316964993069584</v>
      </c>
      <c r="DH133" s="21">
        <f>EXP(-LN(2)/2)*DH132+(1-EXP(-LN(2)/2))/(LN(2)/2)*DB133*DE133*VLOOKUP('Données projet'!$B$13,Paramètres!$A$1:$I$89,3,0)*0.475*44/12</f>
        <v>7.3095530754582303E-8</v>
      </c>
      <c r="DI133" s="22">
        <f t="shared" si="123"/>
        <v>32.7378375141503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268.00000000000011</v>
      </c>
      <c r="O134" s="13">
        <f>N134*VLOOKUP('Données projet'!$B$9,Paramètres!$A$1:$I$89,3,0)*VLOOKUP('Données projet'!$B$9,Paramètres!$A$1:$I$89,5,0)</f>
        <v>242.48640000000009</v>
      </c>
      <c r="P134" s="13">
        <f t="shared" si="141"/>
        <v>58.974170235372476</v>
      </c>
      <c r="Q134" s="20">
        <f t="shared" si="108"/>
        <v>525.04382649327385</v>
      </c>
      <c r="R134" s="59">
        <f t="shared" si="109"/>
        <v>818.37715982660711</v>
      </c>
      <c r="S134" s="59">
        <f ca="1">AVERAGE(OFFSET($R$3,0,0,'Données projet'!$E$9+1,1))-AVERAGE(OFFSET($H$3,0,0,'Données projet'!$E$9+1,1))</f>
        <v>371.7282125501186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46.923952071012835</v>
      </c>
      <c r="AA134" s="21">
        <f>EXP(-LN(2)/25)*AA133+(1-EXP(-LN(2)/25))/(LN(2)/25)*Calculateur!V134*Calculateur!X134*VLOOKUP('Données projet'!$B$9,Paramètres!$A$1:$I$89,3,0)*0.475*44/12</f>
        <v>1.823187195435735</v>
      </c>
      <c r="AB134" s="21">
        <f>EXP(-LN(2)/2)*AB133+(1-EXP(-LN(2)/2))/(LN(2)/2)*V134*Y134*VLOOKUP('Données projet'!$B$9,Paramètres!$A$1:$I$89,3,0)*0.475*44/12</f>
        <v>2.3668493199345841E-2</v>
      </c>
      <c r="AC134" s="22">
        <f t="shared" si="111"/>
        <v>48.770807759647916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305.00000000000017</v>
      </c>
      <c r="AJ134" s="13">
        <f>AI134*VLOOKUP('Données projet'!$B$10,Paramètres!$A$1:$I$89,3,0)*VLOOKUP('Données projet'!$B$10,Paramètres!$A$1:$I$89,5,0)</f>
        <v>204.59400000000011</v>
      </c>
      <c r="AK134" s="13">
        <f t="shared" si="143"/>
        <v>50.75245156043249</v>
      </c>
      <c r="AL134" s="20">
        <f t="shared" si="112"/>
        <v>444.72840313442015</v>
      </c>
      <c r="AM134" s="59">
        <f t="shared" si="113"/>
        <v>738.06173646775346</v>
      </c>
      <c r="AN134" s="59">
        <f ca="1">AVERAGE(OFFSET($AM$3,0,0,'Données projet'!$E$10+1,1))-AVERAGE(OFFSET($H$3,0,0,'Données projet'!$E$10+1,1))</f>
        <v>269.67260882504996</v>
      </c>
      <c r="AO134" s="59">
        <f t="shared" si="144"/>
        <v>272.13858200810074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10.685765079077944</v>
      </c>
      <c r="AV134" s="21">
        <f>EXP(-LN(2)/25)*AV133+(1-EXP(-LN(2)/25))/(LN(2)/25)*Calculateur!AQ134*Calculateur!AS134*VLOOKUP('Données projet'!$B$10,Paramètres!$A$1:$I$89,3,0)*0.475*44/12</f>
        <v>0.40587051864441748</v>
      </c>
      <c r="AW134" s="21">
        <f>EXP(-LN(2)/2)*AW133+(1-EXP(-LN(2)/2))/(LN(2)/2)*AQ134*AT134*VLOOKUP('Données projet'!$B$10,Paramètres!$A$1:$I$89,3,0)*0.475*44/12</f>
        <v>5.8276235860307664E-10</v>
      </c>
      <c r="AX134" s="21">
        <f t="shared" si="114"/>
        <v>11.091635598305125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453.99999999999977</v>
      </c>
      <c r="BE134" s="13">
        <f>BD134*VLOOKUP('Données projet'!$B$11,Paramètres!$A$1:$I$89,3,0)*VLOOKUP('Données projet'!$B$11,Paramètres!$A$1:$I$89,5,0)</f>
        <v>253.78599999999986</v>
      </c>
      <c r="BF134" s="13">
        <f t="shared" si="145"/>
        <v>61.395945216950906</v>
      </c>
      <c r="BG134" s="20">
        <f t="shared" si="115"/>
        <v>548.94188791952263</v>
      </c>
      <c r="BH134" s="59">
        <f t="shared" si="116"/>
        <v>842.275221252856</v>
      </c>
      <c r="BI134" s="59">
        <f ca="1">AVERAGE(OFFSET($BH$3,0,0,'Données projet'!$E$11+1,1))-AVERAGE(OFFSET($H$3,0,0,'Données projet'!$E$11+1,1))</f>
        <v>330.33728077846268</v>
      </c>
      <c r="BJ134" s="59">
        <f t="shared" si="146"/>
        <v>358.38872754175208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14.674672969508576</v>
      </c>
      <c r="BQ134" s="21">
        <f>EXP(-LN(2)/25)*BQ133+(1-EXP(-LN(2)/25))/(LN(2)/25)*Calculateur!BL134*Calculateur!BN134*VLOOKUP('Données projet'!$B$11,Paramètres!$A$1:$I$89,3,0)*0.475*44/12</f>
        <v>4.5869537701355094</v>
      </c>
      <c r="BR134" s="21">
        <f>EXP(-LN(2)/2)*BR133+(1-EXP(-LN(2)/2))/(LN(2)/2)*BL134*BO134*VLOOKUP('Données projet'!$B$11,Paramètres!$A$1:$I$89,3,0)*0.475*44/12</f>
        <v>1.0516467565884208E-9</v>
      </c>
      <c r="BS134" s="22">
        <f t="shared" si="117"/>
        <v>19.261626740695732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290.99999999999994</v>
      </c>
      <c r="BZ134" s="13">
        <f>BY134*VLOOKUP('Données projet'!$B$12,Paramètres!$A$1:$I$89,3,0)*VLOOKUP('Données projet'!$B$12,Paramètres!$A$1:$I$89,5,0)</f>
        <v>276.91559999999993</v>
      </c>
      <c r="CA134" s="13">
        <f t="shared" si="147"/>
        <v>66.314766879144742</v>
      </c>
      <c r="CB134" s="20">
        <f t="shared" si="118"/>
        <v>597.79288898117682</v>
      </c>
      <c r="CC134" s="59">
        <f t="shared" si="119"/>
        <v>891.12622231451019</v>
      </c>
      <c r="CD134" s="59">
        <f ca="1">AVERAGE(OFFSET($CC$3,0,0,'Données projet'!$E$12+1,1))-AVERAGE(OFFSET($H$3,0,0,'Données projet'!$E$12+1,1))</f>
        <v>367.39143258674738</v>
      </c>
      <c r="CE134" s="59">
        <f t="shared" si="148"/>
        <v>376.02790658970292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13.574186374203521</v>
      </c>
      <c r="CL134" s="21">
        <f>EXP(-LN(2)/25)*CL133+(1-EXP(-LN(2)/25))/(LN(2)/25)*Calculateur!CG134*Calculateur!CI134*VLOOKUP('Données projet'!$B$12,Paramètres!$A$1:$I$89,3,0)*0.475*44/12</f>
        <v>0.50437984354647247</v>
      </c>
      <c r="CM134" s="21">
        <f>EXP(-LN(2)/2)*CM133+(1-EXP(-LN(2)/2))/(LN(2)/2)*CG134*CJ134*VLOOKUP('Données projet'!$B$12,Paramètres!$A$1:$I$89,3,0)*0.475*44/12</f>
        <v>9.5575493302568231E-10</v>
      </c>
      <c r="CN134" s="22">
        <f t="shared" si="120"/>
        <v>14.078566218705747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925.00000000000034</v>
      </c>
      <c r="CU134" s="17">
        <f>CT134*VLOOKUP('Données projet'!$B$13,Paramètres!$A$1:$I$89,3,0)*VLOOKUP('Données projet'!$B$13,Paramètres!$A$1:$I$89,5,0)</f>
        <v>408.85000000000014</v>
      </c>
      <c r="CV134" s="13">
        <f t="shared" si="149"/>
        <v>93.568575358321141</v>
      </c>
      <c r="CW134" s="20">
        <f t="shared" si="121"/>
        <v>875.04568541574281</v>
      </c>
      <c r="CX134" s="59">
        <f t="shared" si="122"/>
        <v>1168.3790187490761</v>
      </c>
      <c r="CY134" s="59">
        <f ca="1">AVERAGE(OFFSET($CX$3,0,0,'Données projet'!$E$13+1,1))-AVERAGE(OFFSET($H$3,0,0,'Données projet'!$E$13+1,1))</f>
        <v>500.13646131618248</v>
      </c>
      <c r="CZ134" s="59">
        <f t="shared" si="150"/>
        <v>417.58036817539306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24.90794201409599</v>
      </c>
      <c r="DG134" s="21">
        <f>EXP(-LN(2)/25)*DG133+(1-EXP(-LN(2)/25))/(LN(2)/25)*Calculateur!DB134*Calculateur!DD134*VLOOKUP('Données projet'!$B$13,Paramètres!$A$1:$I$89,3,0)*0.475*44/12</f>
        <v>7.131210872976248</v>
      </c>
      <c r="DH134" s="21">
        <f>EXP(-LN(2)/2)*DH133+(1-EXP(-LN(2)/2))/(LN(2)/2)*DB134*DE134*VLOOKUP('Données projet'!$B$13,Paramètres!$A$1:$I$89,3,0)*0.475*44/12</f>
        <v>5.1686345470994984E-8</v>
      </c>
      <c r="DI134" s="22">
        <f t="shared" si="123"/>
        <v>32.039152938758583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268.00000000000011</v>
      </c>
      <c r="O135" s="13">
        <f>N135*VLOOKUP('Données projet'!$B$9,Paramètres!$A$1:$I$89,3,0)*VLOOKUP('Données projet'!$B$9,Paramètres!$A$1:$I$89,5,0)</f>
        <v>242.48640000000009</v>
      </c>
      <c r="P135" s="13">
        <f t="shared" si="141"/>
        <v>58.974170235372476</v>
      </c>
      <c r="Q135" s="20">
        <f t="shared" si="108"/>
        <v>525.04382649327385</v>
      </c>
      <c r="R135" s="59">
        <f t="shared" si="109"/>
        <v>818.37715982660711</v>
      </c>
      <c r="S135" s="59">
        <f ca="1">AVERAGE(OFFSET($R$3,0,0,'Données projet'!$E$9+1,1))-AVERAGE(OFFSET($H$3,0,0,'Données projet'!$E$9+1,1))</f>
        <v>371.7282125501186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46.003801991684966</v>
      </c>
      <c r="AA135" s="21">
        <f>EXP(-LN(2)/25)*AA134+(1-EXP(-LN(2)/25))/(LN(2)/25)*Calculateur!V135*Calculateur!X135*VLOOKUP('Données projet'!$B$9,Paramètres!$A$1:$I$89,3,0)*0.475*44/12</f>
        <v>1.7733320456992971</v>
      </c>
      <c r="AB135" s="21">
        <f>EXP(-LN(2)/2)*AB134+(1-EXP(-LN(2)/2))/(LN(2)/2)*V135*Y135*VLOOKUP('Données projet'!$B$9,Paramètres!$A$1:$I$89,3,0)*0.475*44/12</f>
        <v>1.6736152041725127E-2</v>
      </c>
      <c r="AC135" s="22">
        <f t="shared" si="111"/>
        <v>47.793870189425988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305.00000000000017</v>
      </c>
      <c r="AJ135" s="13">
        <f>AI135*VLOOKUP('Données projet'!$B$10,Paramètres!$A$1:$I$89,3,0)*VLOOKUP('Données projet'!$B$10,Paramètres!$A$1:$I$89,5,0)</f>
        <v>204.59400000000011</v>
      </c>
      <c r="AK135" s="13">
        <f t="shared" si="143"/>
        <v>50.75245156043249</v>
      </c>
      <c r="AL135" s="20">
        <f t="shared" si="112"/>
        <v>444.72840313442015</v>
      </c>
      <c r="AM135" s="59">
        <f t="shared" si="113"/>
        <v>738.06173646775346</v>
      </c>
      <c r="AN135" s="59">
        <f ca="1">AVERAGE(OFFSET($AM$3,0,0,'Données projet'!$E$10+1,1))-AVERAGE(OFFSET($H$3,0,0,'Données projet'!$E$10+1,1))</f>
        <v>269.67260882504996</v>
      </c>
      <c r="AO135" s="59">
        <f t="shared" si="144"/>
        <v>272.13858200810074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10.476223743550356</v>
      </c>
      <c r="AV135" s="21">
        <f>EXP(-LN(2)/25)*AV134+(1-EXP(-LN(2)/25))/(LN(2)/25)*Calculateur!AQ135*Calculateur!AS135*VLOOKUP('Données projet'!$B$10,Paramètres!$A$1:$I$89,3,0)*0.475*44/12</f>
        <v>0.39477196796828296</v>
      </c>
      <c r="AW135" s="21">
        <f>EXP(-LN(2)/2)*AW134+(1-EXP(-LN(2)/2))/(LN(2)/2)*AQ135*AT135*VLOOKUP('Données projet'!$B$10,Paramètres!$A$1:$I$89,3,0)*0.475*44/12</f>
        <v>4.1207521558850206E-10</v>
      </c>
      <c r="AX135" s="21">
        <f t="shared" si="114"/>
        <v>10.870995711930716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453.99999999999977</v>
      </c>
      <c r="BE135" s="13">
        <f>BD135*VLOOKUP('Données projet'!$B$11,Paramètres!$A$1:$I$89,3,0)*VLOOKUP('Données projet'!$B$11,Paramètres!$A$1:$I$89,5,0)</f>
        <v>253.78599999999986</v>
      </c>
      <c r="BF135" s="13">
        <f t="shared" si="145"/>
        <v>61.395945216950906</v>
      </c>
      <c r="BG135" s="20">
        <f t="shared" si="115"/>
        <v>548.94188791952263</v>
      </c>
      <c r="BH135" s="59">
        <f t="shared" si="116"/>
        <v>842.275221252856</v>
      </c>
      <c r="BI135" s="59">
        <f ca="1">AVERAGE(OFFSET($BH$3,0,0,'Données projet'!$E$11+1,1))-AVERAGE(OFFSET($H$3,0,0,'Données projet'!$E$11+1,1))</f>
        <v>330.33728077846268</v>
      </c>
      <c r="BJ135" s="59">
        <f t="shared" si="146"/>
        <v>358.38872754175208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14.386911583243219</v>
      </c>
      <c r="BQ135" s="21">
        <f>EXP(-LN(2)/25)*BQ134+(1-EXP(-LN(2)/25))/(LN(2)/25)*Calculateur!BL135*Calculateur!BN135*VLOOKUP('Données projet'!$B$11,Paramètres!$A$1:$I$89,3,0)*0.475*44/12</f>
        <v>4.4615232780737388</v>
      </c>
      <c r="BR135" s="21">
        <f>EXP(-LN(2)/2)*BR134+(1-EXP(-LN(2)/2))/(LN(2)/2)*BL135*BO135*VLOOKUP('Données projet'!$B$11,Paramètres!$A$1:$I$89,3,0)*0.475*44/12</f>
        <v>7.4362655299651086E-10</v>
      </c>
      <c r="BS135" s="22">
        <f t="shared" si="117"/>
        <v>18.848434862060582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290.99999999999994</v>
      </c>
      <c r="BZ135" s="13">
        <f>BY135*VLOOKUP('Données projet'!$B$12,Paramètres!$A$1:$I$89,3,0)*VLOOKUP('Données projet'!$B$12,Paramètres!$A$1:$I$89,5,0)</f>
        <v>276.91559999999993</v>
      </c>
      <c r="CA135" s="13">
        <f t="shared" si="147"/>
        <v>66.314766879144742</v>
      </c>
      <c r="CB135" s="20">
        <f t="shared" si="118"/>
        <v>597.79288898117682</v>
      </c>
      <c r="CC135" s="59">
        <f t="shared" si="119"/>
        <v>891.12622231451019</v>
      </c>
      <c r="CD135" s="59">
        <f ca="1">AVERAGE(OFFSET($CC$3,0,0,'Données projet'!$E$12+1,1))-AVERAGE(OFFSET($H$3,0,0,'Données projet'!$E$12+1,1))</f>
        <v>367.39143258674738</v>
      </c>
      <c r="CE135" s="59">
        <f t="shared" si="148"/>
        <v>376.02790658970292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13.308004858841551</v>
      </c>
      <c r="CL135" s="21">
        <f>EXP(-LN(2)/25)*CL134+(1-EXP(-LN(2)/25))/(LN(2)/25)*Calculateur!CG135*Calculateur!CI135*VLOOKUP('Données projet'!$B$12,Paramètres!$A$1:$I$89,3,0)*0.475*44/12</f>
        <v>0.49058755020051098</v>
      </c>
      <c r="CM135" s="21">
        <f>EXP(-LN(2)/2)*CM134+(1-EXP(-LN(2)/2))/(LN(2)/2)*CG135*CJ135*VLOOKUP('Données projet'!$B$12,Paramètres!$A$1:$I$89,3,0)*0.475*44/12</f>
        <v>6.7582079429495454E-10</v>
      </c>
      <c r="CN135" s="22">
        <f t="shared" si="120"/>
        <v>13.798592409717882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925.00000000000034</v>
      </c>
      <c r="CU135" s="17">
        <f>CT135*VLOOKUP('Données projet'!$B$13,Paramètres!$A$1:$I$89,3,0)*VLOOKUP('Données projet'!$B$13,Paramètres!$A$1:$I$89,5,0)</f>
        <v>408.85000000000014</v>
      </c>
      <c r="CV135" s="13">
        <f t="shared" si="149"/>
        <v>93.568575358321141</v>
      </c>
      <c r="CW135" s="20">
        <f t="shared" si="121"/>
        <v>875.04568541574281</v>
      </c>
      <c r="CX135" s="59">
        <f t="shared" si="122"/>
        <v>1168.3790187490761</v>
      </c>
      <c r="CY135" s="59">
        <f ca="1">AVERAGE(OFFSET($CX$3,0,0,'Données projet'!$E$13+1,1))-AVERAGE(OFFSET($H$3,0,0,'Données projet'!$E$13+1,1))</f>
        <v>500.13646131618248</v>
      </c>
      <c r="CZ135" s="59">
        <f t="shared" si="150"/>
        <v>417.58036817539306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24.419512463544077</v>
      </c>
      <c r="DG135" s="21">
        <f>EXP(-LN(2)/25)*DG134+(1-EXP(-LN(2)/25))/(LN(2)/25)*Calculateur!DB135*Calculateur!DD135*VLOOKUP('Données projet'!$B$13,Paramètres!$A$1:$I$89,3,0)*0.475*44/12</f>
        <v>6.9362075366406311</v>
      </c>
      <c r="DH135" s="21">
        <f>EXP(-LN(2)/2)*DH134+(1-EXP(-LN(2)/2))/(LN(2)/2)*DB135*DE135*VLOOKUP('Données projet'!$B$13,Paramètres!$A$1:$I$89,3,0)*0.475*44/12</f>
        <v>3.6547765377291151E-8</v>
      </c>
      <c r="DI135" s="22">
        <f t="shared" si="123"/>
        <v>31.355720036732471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268.00000000000011</v>
      </c>
      <c r="O136" s="13">
        <f>N136*VLOOKUP('Données projet'!$B$9,Paramètres!$A$1:$I$89,3,0)*VLOOKUP('Données projet'!$B$9,Paramètres!$A$1:$I$89,5,0)</f>
        <v>242.48640000000009</v>
      </c>
      <c r="P136" s="13">
        <f t="shared" si="141"/>
        <v>58.974170235372476</v>
      </c>
      <c r="Q136" s="20">
        <f t="shared" si="108"/>
        <v>525.04382649327385</v>
      </c>
      <c r="R136" s="59">
        <f t="shared" si="109"/>
        <v>818.37715982660711</v>
      </c>
      <c r="S136" s="59">
        <f ca="1">AVERAGE(OFFSET($R$3,0,0,'Données projet'!$E$9+1,1))-AVERAGE(OFFSET($H$3,0,0,'Données projet'!$E$9+1,1))</f>
        <v>371.7282125501186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45.101695494176589</v>
      </c>
      <c r="AA136" s="21">
        <f>EXP(-LN(2)/25)*AA135+(1-EXP(-LN(2)/25))/(LN(2)/25)*Calculateur!V136*Calculateur!X136*VLOOKUP('Données projet'!$B$9,Paramètres!$A$1:$I$89,3,0)*0.475*44/12</f>
        <v>1.7248401876541706</v>
      </c>
      <c r="AB136" s="21">
        <f>EXP(-LN(2)/2)*AB135+(1-EXP(-LN(2)/2))/(LN(2)/2)*V136*Y136*VLOOKUP('Données projet'!$B$9,Paramètres!$A$1:$I$89,3,0)*0.475*44/12</f>
        <v>1.183424659967292E-2</v>
      </c>
      <c r="AC136" s="22">
        <f t="shared" si="111"/>
        <v>46.838369928430438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305.00000000000017</v>
      </c>
      <c r="AJ136" s="13">
        <f>AI136*VLOOKUP('Données projet'!$B$10,Paramètres!$A$1:$I$89,3,0)*VLOOKUP('Données projet'!$B$10,Paramètres!$A$1:$I$89,5,0)</f>
        <v>204.59400000000011</v>
      </c>
      <c r="AK136" s="13">
        <f t="shared" si="143"/>
        <v>50.75245156043249</v>
      </c>
      <c r="AL136" s="20">
        <f t="shared" si="112"/>
        <v>444.72840313442015</v>
      </c>
      <c r="AM136" s="59">
        <f t="shared" si="113"/>
        <v>738.06173646775346</v>
      </c>
      <c r="AN136" s="59">
        <f ca="1">AVERAGE(OFFSET($AM$3,0,0,'Données projet'!$E$10+1,1))-AVERAGE(OFFSET($H$3,0,0,'Données projet'!$E$10+1,1))</f>
        <v>269.67260882504996</v>
      </c>
      <c r="AO136" s="59">
        <f t="shared" si="144"/>
        <v>272.13858200810074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10.27079138580487</v>
      </c>
      <c r="AV136" s="21">
        <f>EXP(-LN(2)/25)*AV135+(1-EXP(-LN(2)/25))/(LN(2)/25)*Calculateur!AQ136*Calculateur!AS136*VLOOKUP('Données projet'!$B$10,Paramètres!$A$1:$I$89,3,0)*0.475*44/12</f>
        <v>0.3839769077440347</v>
      </c>
      <c r="AW136" s="21">
        <f>EXP(-LN(2)/2)*AW135+(1-EXP(-LN(2)/2))/(LN(2)/2)*AQ136*AT136*VLOOKUP('Données projet'!$B$10,Paramètres!$A$1:$I$89,3,0)*0.475*44/12</f>
        <v>2.9138117930153832E-10</v>
      </c>
      <c r="AX136" s="21">
        <f t="shared" si="114"/>
        <v>10.654768293840286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453.99999999999977</v>
      </c>
      <c r="BE136" s="13">
        <f>BD136*VLOOKUP('Données projet'!$B$11,Paramètres!$A$1:$I$89,3,0)*VLOOKUP('Données projet'!$B$11,Paramètres!$A$1:$I$89,5,0)</f>
        <v>253.78599999999986</v>
      </c>
      <c r="BF136" s="13">
        <f t="shared" si="145"/>
        <v>61.395945216950906</v>
      </c>
      <c r="BG136" s="20">
        <f t="shared" si="115"/>
        <v>548.94188791952263</v>
      </c>
      <c r="BH136" s="59">
        <f t="shared" si="116"/>
        <v>842.275221252856</v>
      </c>
      <c r="BI136" s="59">
        <f ca="1">AVERAGE(OFFSET($BH$3,0,0,'Données projet'!$E$11+1,1))-AVERAGE(OFFSET($H$3,0,0,'Données projet'!$E$11+1,1))</f>
        <v>330.33728077846268</v>
      </c>
      <c r="BJ136" s="59">
        <f t="shared" si="146"/>
        <v>358.38872754175208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14.104793022245412</v>
      </c>
      <c r="BQ136" s="21">
        <f>EXP(-LN(2)/25)*BQ135+(1-EXP(-LN(2)/25))/(LN(2)/25)*Calculateur!BL136*Calculateur!BN136*VLOOKUP('Données projet'!$B$11,Paramètres!$A$1:$I$89,3,0)*0.475*44/12</f>
        <v>4.3395226894135002</v>
      </c>
      <c r="BR136" s="21">
        <f>EXP(-LN(2)/2)*BR135+(1-EXP(-LN(2)/2))/(LN(2)/2)*BL136*BO136*VLOOKUP('Données projet'!$B$11,Paramètres!$A$1:$I$89,3,0)*0.475*44/12</f>
        <v>5.2582337829421038E-10</v>
      </c>
      <c r="BS136" s="22">
        <f t="shared" si="117"/>
        <v>18.444315712184736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290.99999999999994</v>
      </c>
      <c r="BZ136" s="13">
        <f>BY136*VLOOKUP('Données projet'!$B$12,Paramètres!$A$1:$I$89,3,0)*VLOOKUP('Données projet'!$B$12,Paramètres!$A$1:$I$89,5,0)</f>
        <v>276.91559999999993</v>
      </c>
      <c r="CA136" s="13">
        <f t="shared" si="147"/>
        <v>66.314766879144742</v>
      </c>
      <c r="CB136" s="20">
        <f t="shared" si="118"/>
        <v>597.79288898117682</v>
      </c>
      <c r="CC136" s="59">
        <f t="shared" si="119"/>
        <v>891.12622231451019</v>
      </c>
      <c r="CD136" s="59">
        <f ca="1">AVERAGE(OFFSET($CC$3,0,0,'Données projet'!$E$12+1,1))-AVERAGE(OFFSET($H$3,0,0,'Données projet'!$E$12+1,1))</f>
        <v>367.39143258674738</v>
      </c>
      <c r="CE136" s="59">
        <f t="shared" si="148"/>
        <v>376.02790658970292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13.047043000641137</v>
      </c>
      <c r="CL136" s="21">
        <f>EXP(-LN(2)/25)*CL135+(1-EXP(-LN(2)/25))/(LN(2)/25)*Calculateur!CG136*Calculateur!CI136*VLOOKUP('Données projet'!$B$12,Paramètres!$A$1:$I$89,3,0)*0.475*44/12</f>
        <v>0.47717240784139997</v>
      </c>
      <c r="CM136" s="21">
        <f>EXP(-LN(2)/2)*CM135+(1-EXP(-LN(2)/2))/(LN(2)/2)*CG136*CJ136*VLOOKUP('Données projet'!$B$12,Paramètres!$A$1:$I$89,3,0)*0.475*44/12</f>
        <v>4.7787746651284115E-10</v>
      </c>
      <c r="CN136" s="22">
        <f t="shared" si="120"/>
        <v>13.524215408960414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925.00000000000034</v>
      </c>
      <c r="CU136" s="17">
        <f>CT136*VLOOKUP('Données projet'!$B$13,Paramètres!$A$1:$I$89,3,0)*VLOOKUP('Données projet'!$B$13,Paramètres!$A$1:$I$89,5,0)</f>
        <v>408.85000000000014</v>
      </c>
      <c r="CV136" s="13">
        <f t="shared" si="149"/>
        <v>93.568575358321141</v>
      </c>
      <c r="CW136" s="20">
        <f t="shared" si="121"/>
        <v>875.04568541574281</v>
      </c>
      <c r="CX136" s="59">
        <f t="shared" si="122"/>
        <v>1168.3790187490761</v>
      </c>
      <c r="CY136" s="59">
        <f ca="1">AVERAGE(OFFSET($CX$3,0,0,'Données projet'!$E$13+1,1))-AVERAGE(OFFSET($H$3,0,0,'Données projet'!$E$13+1,1))</f>
        <v>500.13646131618248</v>
      </c>
      <c r="CZ136" s="59">
        <f t="shared" si="150"/>
        <v>417.58036817539306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23.940660718565876</v>
      </c>
      <c r="DG136" s="21">
        <f>EXP(-LN(2)/25)*DG135+(1-EXP(-LN(2)/25))/(LN(2)/25)*Calculateur!DB136*Calculateur!DD136*VLOOKUP('Données projet'!$B$13,Paramètres!$A$1:$I$89,3,0)*0.475*44/12</f>
        <v>6.7465365767918914</v>
      </c>
      <c r="DH136" s="21">
        <f>EXP(-LN(2)/2)*DH135+(1-EXP(-LN(2)/2))/(LN(2)/2)*DB136*DE136*VLOOKUP('Données projet'!$B$13,Paramètres!$A$1:$I$89,3,0)*0.475*44/12</f>
        <v>2.5843172735497492E-8</v>
      </c>
      <c r="DI136" s="22">
        <f t="shared" si="123"/>
        <v>30.687197321200941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268.00000000000011</v>
      </c>
      <c r="O137" s="13">
        <f>N137*VLOOKUP('Données projet'!$B$9,Paramètres!$A$1:$I$89,3,0)*VLOOKUP('Données projet'!$B$9,Paramètres!$A$1:$I$89,5,0)</f>
        <v>242.48640000000009</v>
      </c>
      <c r="P137" s="13">
        <f t="shared" si="141"/>
        <v>58.974170235372476</v>
      </c>
      <c r="Q137" s="20">
        <f t="shared" si="108"/>
        <v>525.04382649327385</v>
      </c>
      <c r="R137" s="59">
        <f t="shared" si="109"/>
        <v>818.37715982660711</v>
      </c>
      <c r="S137" s="59">
        <f ca="1">AVERAGE(OFFSET($R$3,0,0,'Données projet'!$E$9+1,1))-AVERAGE(OFFSET($H$3,0,0,'Données projet'!$E$9+1,1))</f>
        <v>371.7282125501186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44.217278754853716</v>
      </c>
      <c r="AA137" s="21">
        <f>EXP(-LN(2)/25)*AA136+(1-EXP(-LN(2)/25))/(LN(2)/25)*Calculateur!V137*Calculateur!X137*VLOOKUP('Données projet'!$B$9,Paramètres!$A$1:$I$89,3,0)*0.475*44/12</f>
        <v>1.6776743420173641</v>
      </c>
      <c r="AB137" s="21">
        <f>EXP(-LN(2)/2)*AB136+(1-EXP(-LN(2)/2))/(LN(2)/2)*V137*Y137*VLOOKUP('Données projet'!$B$9,Paramètres!$A$1:$I$89,3,0)*0.475*44/12</f>
        <v>8.3680760208625637E-3</v>
      </c>
      <c r="AC137" s="22">
        <f t="shared" si="111"/>
        <v>45.903321172891943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305.00000000000017</v>
      </c>
      <c r="AJ137" s="13">
        <f>AI137*VLOOKUP('Données projet'!$B$10,Paramètres!$A$1:$I$89,3,0)*VLOOKUP('Données projet'!$B$10,Paramètres!$A$1:$I$89,5,0)</f>
        <v>204.59400000000011</v>
      </c>
      <c r="AK137" s="13">
        <f t="shared" si="143"/>
        <v>50.75245156043249</v>
      </c>
      <c r="AL137" s="20">
        <f t="shared" si="112"/>
        <v>444.72840313442015</v>
      </c>
      <c r="AM137" s="59">
        <f t="shared" si="113"/>
        <v>738.06173646775346</v>
      </c>
      <c r="AN137" s="59">
        <f ca="1">AVERAGE(OFFSET($AM$3,0,0,'Données projet'!$E$10+1,1))-AVERAGE(OFFSET($H$3,0,0,'Données projet'!$E$10+1,1))</f>
        <v>269.67260882504996</v>
      </c>
      <c r="AO137" s="59">
        <f t="shared" si="144"/>
        <v>272.13858200810074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10.069387431293407</v>
      </c>
      <c r="AV137" s="21">
        <f>EXP(-LN(2)/25)*AV136+(1-EXP(-LN(2)/25))/(LN(2)/25)*Calculateur!AQ137*Calculateur!AS137*VLOOKUP('Données projet'!$B$10,Paramètres!$A$1:$I$89,3,0)*0.475*44/12</f>
        <v>0.37347703900930607</v>
      </c>
      <c r="AW137" s="21">
        <f>EXP(-LN(2)/2)*AW136+(1-EXP(-LN(2)/2))/(LN(2)/2)*AQ137*AT137*VLOOKUP('Données projet'!$B$10,Paramètres!$A$1:$I$89,3,0)*0.475*44/12</f>
        <v>2.0603760779425103E-10</v>
      </c>
      <c r="AX137" s="21">
        <f t="shared" si="114"/>
        <v>10.44286447050875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453.99999999999977</v>
      </c>
      <c r="BE137" s="13">
        <f>BD137*VLOOKUP('Données projet'!$B$11,Paramètres!$A$1:$I$89,3,0)*VLOOKUP('Données projet'!$B$11,Paramètres!$A$1:$I$89,5,0)</f>
        <v>253.78599999999986</v>
      </c>
      <c r="BF137" s="13">
        <f t="shared" si="145"/>
        <v>61.395945216950906</v>
      </c>
      <c r="BG137" s="20">
        <f t="shared" si="115"/>
        <v>548.94188791952263</v>
      </c>
      <c r="BH137" s="59">
        <f t="shared" si="116"/>
        <v>842.275221252856</v>
      </c>
      <c r="BI137" s="59">
        <f ca="1">AVERAGE(OFFSET($BH$3,0,0,'Données projet'!$E$11+1,1))-AVERAGE(OFFSET($H$3,0,0,'Données projet'!$E$11+1,1))</f>
        <v>330.33728077846268</v>
      </c>
      <c r="BJ137" s="59">
        <f t="shared" si="146"/>
        <v>358.38872754175208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13.828206634153439</v>
      </c>
      <c r="BQ137" s="21">
        <f>EXP(-LN(2)/25)*BQ136+(1-EXP(-LN(2)/25))/(LN(2)/25)*Calculateur!BL137*Calculateur!BN137*VLOOKUP('Données projet'!$B$11,Paramètres!$A$1:$I$89,3,0)*0.475*44/12</f>
        <v>4.2208582132659078</v>
      </c>
      <c r="BR137" s="21">
        <f>EXP(-LN(2)/2)*BR136+(1-EXP(-LN(2)/2))/(LN(2)/2)*BL137*BO137*VLOOKUP('Données projet'!$B$11,Paramètres!$A$1:$I$89,3,0)*0.475*44/12</f>
        <v>3.7181327649825543E-10</v>
      </c>
      <c r="BS137" s="22">
        <f t="shared" si="117"/>
        <v>18.049064847791158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290.99999999999994</v>
      </c>
      <c r="BZ137" s="13">
        <f>BY137*VLOOKUP('Données projet'!$B$12,Paramètres!$A$1:$I$89,3,0)*VLOOKUP('Données projet'!$B$12,Paramètres!$A$1:$I$89,5,0)</f>
        <v>276.91559999999993</v>
      </c>
      <c r="CA137" s="13">
        <f t="shared" si="147"/>
        <v>66.314766879144742</v>
      </c>
      <c r="CB137" s="20">
        <f t="shared" si="118"/>
        <v>597.79288898117682</v>
      </c>
      <c r="CC137" s="59">
        <f t="shared" si="119"/>
        <v>891.12622231451019</v>
      </c>
      <c r="CD137" s="59">
        <f ca="1">AVERAGE(OFFSET($CC$3,0,0,'Données projet'!$E$12+1,1))-AVERAGE(OFFSET($H$3,0,0,'Données projet'!$E$12+1,1))</f>
        <v>367.39143258674738</v>
      </c>
      <c r="CE137" s="59">
        <f t="shared" si="148"/>
        <v>376.02790658970292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12.791198445309016</v>
      </c>
      <c r="CL137" s="21">
        <f>EXP(-LN(2)/25)*CL136+(1-EXP(-LN(2)/25))/(LN(2)/25)*Calculateur!CG137*Calculateur!CI137*VLOOKUP('Données projet'!$B$12,Paramètres!$A$1:$I$89,3,0)*0.475*44/12</f>
        <v>0.46412410325557057</v>
      </c>
      <c r="CM137" s="21">
        <f>EXP(-LN(2)/2)*CM136+(1-EXP(-LN(2)/2))/(LN(2)/2)*CG137*CJ137*VLOOKUP('Données projet'!$B$12,Paramètres!$A$1:$I$89,3,0)*0.475*44/12</f>
        <v>3.3791039714747727E-10</v>
      </c>
      <c r="CN137" s="22">
        <f t="shared" si="120"/>
        <v>13.255322548902498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925.00000000000034</v>
      </c>
      <c r="CU137" s="17">
        <f>CT137*VLOOKUP('Données projet'!$B$13,Paramètres!$A$1:$I$89,3,0)*VLOOKUP('Données projet'!$B$13,Paramètres!$A$1:$I$89,5,0)</f>
        <v>408.85000000000014</v>
      </c>
      <c r="CV137" s="13">
        <f t="shared" si="149"/>
        <v>93.568575358321141</v>
      </c>
      <c r="CW137" s="20">
        <f t="shared" si="121"/>
        <v>875.04568541574281</v>
      </c>
      <c r="CX137" s="59">
        <f t="shared" si="122"/>
        <v>1168.3790187490761</v>
      </c>
      <c r="CY137" s="59">
        <f ca="1">AVERAGE(OFFSET($CX$3,0,0,'Données projet'!$E$13+1,1))-AVERAGE(OFFSET($H$3,0,0,'Données projet'!$E$13+1,1))</f>
        <v>500.13646131618248</v>
      </c>
      <c r="CZ137" s="59">
        <f t="shared" si="150"/>
        <v>417.58036817539306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23.471198964235974</v>
      </c>
      <c r="DG137" s="21">
        <f>EXP(-LN(2)/25)*DG136+(1-EXP(-LN(2)/25))/(LN(2)/25)*Calculateur!DB137*Calculateur!DD137*VLOOKUP('Données projet'!$B$13,Paramètres!$A$1:$I$89,3,0)*0.475*44/12</f>
        <v>6.5620521793145778</v>
      </c>
      <c r="DH137" s="21">
        <f>EXP(-LN(2)/2)*DH136+(1-EXP(-LN(2)/2))/(LN(2)/2)*DB137*DE137*VLOOKUP('Données projet'!$B$13,Paramètres!$A$1:$I$89,3,0)*0.475*44/12</f>
        <v>1.8273882688645576E-8</v>
      </c>
      <c r="DI137" s="22">
        <f t="shared" si="123"/>
        <v>30.033251161824435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268.00000000000011</v>
      </c>
      <c r="O138" s="13">
        <f>N138*VLOOKUP('Données projet'!$B$9,Paramètres!$A$1:$I$89,3,0)*VLOOKUP('Données projet'!$B$9,Paramètres!$A$1:$I$89,5,0)</f>
        <v>242.48640000000009</v>
      </c>
      <c r="P138" s="13">
        <f t="shared" si="141"/>
        <v>58.974170235372476</v>
      </c>
      <c r="Q138" s="20">
        <f t="shared" si="108"/>
        <v>525.04382649327385</v>
      </c>
      <c r="R138" s="59">
        <f t="shared" si="109"/>
        <v>818.37715982660711</v>
      </c>
      <c r="S138" s="59">
        <f ca="1">AVERAGE(OFFSET($R$3,0,0,'Données projet'!$E$9+1,1))-AVERAGE(OFFSET($H$3,0,0,'Données projet'!$E$9+1,1))</f>
        <v>371.7282125501186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43.350204888348024</v>
      </c>
      <c r="AA138" s="21">
        <f>EXP(-LN(2)/25)*AA137+(1-EXP(-LN(2)/25))/(LN(2)/25)*Calculateur!V138*Calculateur!X138*VLOOKUP('Données projet'!$B$9,Paramètres!$A$1:$I$89,3,0)*0.475*44/12</f>
        <v>1.6317982489098399</v>
      </c>
      <c r="AB138" s="21">
        <f>EXP(-LN(2)/2)*AB137+(1-EXP(-LN(2)/2))/(LN(2)/2)*V138*Y138*VLOOKUP('Données projet'!$B$9,Paramètres!$A$1:$I$89,3,0)*0.475*44/12</f>
        <v>5.9171232998364602E-3</v>
      </c>
      <c r="AC138" s="22">
        <f t="shared" si="111"/>
        <v>44.987920260557701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305.00000000000017</v>
      </c>
      <c r="AJ138" s="13">
        <f>AI138*VLOOKUP('Données projet'!$B$10,Paramètres!$A$1:$I$89,3,0)*VLOOKUP('Données projet'!$B$10,Paramètres!$A$1:$I$89,5,0)</f>
        <v>204.59400000000011</v>
      </c>
      <c r="AK138" s="13">
        <f t="shared" si="143"/>
        <v>50.75245156043249</v>
      </c>
      <c r="AL138" s="20">
        <f t="shared" si="112"/>
        <v>444.72840313442015</v>
      </c>
      <c r="AM138" s="59">
        <f t="shared" si="113"/>
        <v>738.06173646775346</v>
      </c>
      <c r="AN138" s="59">
        <f ca="1">AVERAGE(OFFSET($AM$3,0,0,'Données projet'!$E$10+1,1))-AVERAGE(OFFSET($H$3,0,0,'Données projet'!$E$10+1,1))</f>
        <v>269.67260882504996</v>
      </c>
      <c r="AO138" s="59">
        <f t="shared" si="144"/>
        <v>272.13858200810074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9.8719328854856325</v>
      </c>
      <c r="AV138" s="21">
        <f>EXP(-LN(2)/25)*AV137+(1-EXP(-LN(2)/25))/(LN(2)/25)*Calculateur!AQ138*Calculateur!AS138*VLOOKUP('Données projet'!$B$10,Paramètres!$A$1:$I$89,3,0)*0.475*44/12</f>
        <v>0.36326428973729269</v>
      </c>
      <c r="AW138" s="21">
        <f>EXP(-LN(2)/2)*AW137+(1-EXP(-LN(2)/2))/(LN(2)/2)*AQ138*AT138*VLOOKUP('Données projet'!$B$10,Paramètres!$A$1:$I$89,3,0)*0.475*44/12</f>
        <v>1.4569058965076916E-10</v>
      </c>
      <c r="AX138" s="21">
        <f t="shared" si="114"/>
        <v>10.235197175368617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453.99999999999977</v>
      </c>
      <c r="BE138" s="13">
        <f>BD138*VLOOKUP('Données projet'!$B$11,Paramètres!$A$1:$I$89,3,0)*VLOOKUP('Données projet'!$B$11,Paramètres!$A$1:$I$89,5,0)</f>
        <v>253.78599999999986</v>
      </c>
      <c r="BF138" s="13">
        <f t="shared" si="145"/>
        <v>61.395945216950906</v>
      </c>
      <c r="BG138" s="20">
        <f t="shared" si="115"/>
        <v>548.94188791952263</v>
      </c>
      <c r="BH138" s="59">
        <f t="shared" si="116"/>
        <v>842.275221252856</v>
      </c>
      <c r="BI138" s="59">
        <f ca="1">AVERAGE(OFFSET($BH$3,0,0,'Données projet'!$E$11+1,1))-AVERAGE(OFFSET($H$3,0,0,'Données projet'!$E$11+1,1))</f>
        <v>330.33728077846268</v>
      </c>
      <c r="BJ138" s="59">
        <f t="shared" si="146"/>
        <v>358.38872754175208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13.557043936430912</v>
      </c>
      <c r="BQ138" s="21">
        <f>EXP(-LN(2)/25)*BQ137+(1-EXP(-LN(2)/25))/(LN(2)/25)*Calculateur!BL138*Calculateur!BN138*VLOOKUP('Données projet'!$B$11,Paramètres!$A$1:$I$89,3,0)*0.475*44/12</f>
        <v>4.1054386234588653</v>
      </c>
      <c r="BR138" s="21">
        <f>EXP(-LN(2)/2)*BR137+(1-EXP(-LN(2)/2))/(LN(2)/2)*BL138*BO138*VLOOKUP('Données projet'!$B$11,Paramètres!$A$1:$I$89,3,0)*0.475*44/12</f>
        <v>2.6291168914710519E-10</v>
      </c>
      <c r="BS138" s="22">
        <f t="shared" si="117"/>
        <v>17.662482560152689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290.99999999999994</v>
      </c>
      <c r="BZ138" s="13">
        <f>BY138*VLOOKUP('Données projet'!$B$12,Paramètres!$A$1:$I$89,3,0)*VLOOKUP('Données projet'!$B$12,Paramètres!$A$1:$I$89,5,0)</f>
        <v>276.91559999999993</v>
      </c>
      <c r="CA138" s="13">
        <f t="shared" si="147"/>
        <v>66.314766879144742</v>
      </c>
      <c r="CB138" s="20">
        <f t="shared" si="118"/>
        <v>597.79288898117682</v>
      </c>
      <c r="CC138" s="59">
        <f t="shared" si="119"/>
        <v>891.12622231451019</v>
      </c>
      <c r="CD138" s="59">
        <f ca="1">AVERAGE(OFFSET($CC$3,0,0,'Données projet'!$E$12+1,1))-AVERAGE(OFFSET($H$3,0,0,'Données projet'!$E$12+1,1))</f>
        <v>367.39143258674738</v>
      </c>
      <c r="CE138" s="59">
        <f t="shared" si="148"/>
        <v>376.02790658970292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12.540370845657188</v>
      </c>
      <c r="CL138" s="21">
        <f>EXP(-LN(2)/25)*CL137+(1-EXP(-LN(2)/25))/(LN(2)/25)*Calculateur!CG138*Calculateur!CI138*VLOOKUP('Données projet'!$B$12,Paramètres!$A$1:$I$89,3,0)*0.475*44/12</f>
        <v>0.45143260524482115</v>
      </c>
      <c r="CM138" s="21">
        <f>EXP(-LN(2)/2)*CM137+(1-EXP(-LN(2)/2))/(LN(2)/2)*CG138*CJ138*VLOOKUP('Données projet'!$B$12,Paramètres!$A$1:$I$89,3,0)*0.475*44/12</f>
        <v>2.3893873325642058E-10</v>
      </c>
      <c r="CN138" s="22">
        <f t="shared" si="120"/>
        <v>12.991803451140949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925.00000000000034</v>
      </c>
      <c r="CU138" s="17">
        <f>CT138*VLOOKUP('Données projet'!$B$13,Paramètres!$A$1:$I$89,3,0)*VLOOKUP('Données projet'!$B$13,Paramètres!$A$1:$I$89,5,0)</f>
        <v>408.85000000000014</v>
      </c>
      <c r="CV138" s="13">
        <f t="shared" si="149"/>
        <v>93.568575358321141</v>
      </c>
      <c r="CW138" s="20">
        <f t="shared" si="121"/>
        <v>875.04568541574281</v>
      </c>
      <c r="CX138" s="59">
        <f t="shared" si="122"/>
        <v>1168.3790187490761</v>
      </c>
      <c r="CY138" s="59">
        <f ca="1">AVERAGE(OFFSET($CX$3,0,0,'Données projet'!$E$13+1,1))-AVERAGE(OFFSET($H$3,0,0,'Données projet'!$E$13+1,1))</f>
        <v>500.13646131618248</v>
      </c>
      <c r="CZ138" s="59">
        <f t="shared" si="150"/>
        <v>417.58036817539306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23.010943068565087</v>
      </c>
      <c r="DG138" s="21">
        <f>EXP(-LN(2)/25)*DG137+(1-EXP(-LN(2)/25))/(LN(2)/25)*Calculateur!DB138*Calculateur!DD138*VLOOKUP('Données projet'!$B$13,Paramètres!$A$1:$I$89,3,0)*0.475*44/12</f>
        <v>6.3826125173878943</v>
      </c>
      <c r="DH138" s="21">
        <f>EXP(-LN(2)/2)*DH137+(1-EXP(-LN(2)/2))/(LN(2)/2)*DB138*DE138*VLOOKUP('Données projet'!$B$13,Paramètres!$A$1:$I$89,3,0)*0.475*44/12</f>
        <v>1.2921586367748746E-8</v>
      </c>
      <c r="DI138" s="22">
        <f t="shared" si="123"/>
        <v>29.393555598874567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268.00000000000011</v>
      </c>
      <c r="O139" s="13">
        <f>N139*VLOOKUP('Données projet'!$B$9,Paramètres!$A$1:$I$89,3,0)*VLOOKUP('Données projet'!$B$9,Paramètres!$A$1:$I$89,5,0)</f>
        <v>242.48640000000009</v>
      </c>
      <c r="P139" s="13">
        <f t="shared" si="141"/>
        <v>58.974170235372476</v>
      </c>
      <c r="Q139" s="20">
        <f t="shared" si="108"/>
        <v>525.04382649327385</v>
      </c>
      <c r="R139" s="59">
        <f t="shared" si="109"/>
        <v>818.37715982660711</v>
      </c>
      <c r="S139" s="59">
        <f ca="1">AVERAGE(OFFSET($R$3,0,0,'Données projet'!$E$9+1,1))-AVERAGE(OFFSET($H$3,0,0,'Données projet'!$E$9+1,1))</f>
        <v>371.7282125501186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42.500133811501669</v>
      </c>
      <c r="AA139" s="21">
        <f>EXP(-LN(2)/25)*AA138+(1-EXP(-LN(2)/25))/(LN(2)/25)*Calculateur!V139*Calculateur!X139*VLOOKUP('Données projet'!$B$9,Paramètres!$A$1:$I$89,3,0)*0.475*44/12</f>
        <v>1.58717663998086</v>
      </c>
      <c r="AB139" s="21">
        <f>EXP(-LN(2)/2)*AB138+(1-EXP(-LN(2)/2))/(LN(2)/2)*V139*Y139*VLOOKUP('Données projet'!$B$9,Paramètres!$A$1:$I$89,3,0)*0.475*44/12</f>
        <v>4.1840380104312819E-3</v>
      </c>
      <c r="AC139" s="22">
        <f t="shared" si="111"/>
        <v>44.091494489492959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305.00000000000017</v>
      </c>
      <c r="AJ139" s="13">
        <f>AI139*VLOOKUP('Données projet'!$B$10,Paramètres!$A$1:$I$89,3,0)*VLOOKUP('Données projet'!$B$10,Paramètres!$A$1:$I$89,5,0)</f>
        <v>204.59400000000011</v>
      </c>
      <c r="AK139" s="13">
        <f t="shared" si="143"/>
        <v>50.75245156043249</v>
      </c>
      <c r="AL139" s="20">
        <f t="shared" si="112"/>
        <v>444.72840313442015</v>
      </c>
      <c r="AM139" s="59">
        <f t="shared" si="113"/>
        <v>738.06173646775346</v>
      </c>
      <c r="AN139" s="59">
        <f ca="1">AVERAGE(OFFSET($AM$3,0,0,'Données projet'!$E$10+1,1))-AVERAGE(OFFSET($H$3,0,0,'Données projet'!$E$10+1,1))</f>
        <v>269.67260882504996</v>
      </c>
      <c r="AO139" s="59">
        <f t="shared" si="144"/>
        <v>272.13858200810074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9.6783503028857663</v>
      </c>
      <c r="AV139" s="21">
        <f>EXP(-LN(2)/25)*AV138+(1-EXP(-LN(2)/25))/(LN(2)/25)*Calculateur!AQ139*Calculateur!AS139*VLOOKUP('Données projet'!$B$10,Paramètres!$A$1:$I$89,3,0)*0.475*44/12</f>
        <v>0.35333080863118765</v>
      </c>
      <c r="AW139" s="21">
        <f>EXP(-LN(2)/2)*AW138+(1-EXP(-LN(2)/2))/(LN(2)/2)*AQ139*AT139*VLOOKUP('Données projet'!$B$10,Paramètres!$A$1:$I$89,3,0)*0.475*44/12</f>
        <v>1.0301880389712552E-10</v>
      </c>
      <c r="AX139" s="21">
        <f t="shared" si="114"/>
        <v>10.031681111619973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453.99999999999977</v>
      </c>
      <c r="BE139" s="13">
        <f>BD139*VLOOKUP('Données projet'!$B$11,Paramètres!$A$1:$I$89,3,0)*VLOOKUP('Données projet'!$B$11,Paramètres!$A$1:$I$89,5,0)</f>
        <v>253.78599999999986</v>
      </c>
      <c r="BF139" s="13">
        <f t="shared" si="145"/>
        <v>61.395945216950906</v>
      </c>
      <c r="BG139" s="20">
        <f t="shared" si="115"/>
        <v>548.94188791952263</v>
      </c>
      <c r="BH139" s="59">
        <f t="shared" si="116"/>
        <v>842.275221252856</v>
      </c>
      <c r="BI139" s="59">
        <f ca="1">AVERAGE(OFFSET($BH$3,0,0,'Données projet'!$E$11+1,1))-AVERAGE(OFFSET($H$3,0,0,'Données projet'!$E$11+1,1))</f>
        <v>330.33728077846268</v>
      </c>
      <c r="BJ139" s="59">
        <f t="shared" si="146"/>
        <v>358.38872754175208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13.291198573817809</v>
      </c>
      <c r="BQ139" s="21">
        <f>EXP(-LN(2)/25)*BQ138+(1-EXP(-LN(2)/25))/(LN(2)/25)*Calculateur!BL139*Calculateur!BN139*VLOOKUP('Données projet'!$B$11,Paramètres!$A$1:$I$89,3,0)*0.475*44/12</f>
        <v>3.9931751884047486</v>
      </c>
      <c r="BR139" s="21">
        <f>EXP(-LN(2)/2)*BR138+(1-EXP(-LN(2)/2))/(LN(2)/2)*BL139*BO139*VLOOKUP('Données projet'!$B$11,Paramètres!$A$1:$I$89,3,0)*0.475*44/12</f>
        <v>1.8590663824912772E-10</v>
      </c>
      <c r="BS139" s="22">
        <f t="shared" si="117"/>
        <v>17.284373762408464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290.99999999999994</v>
      </c>
      <c r="BZ139" s="13">
        <f>BY139*VLOOKUP('Données projet'!$B$12,Paramètres!$A$1:$I$89,3,0)*VLOOKUP('Données projet'!$B$12,Paramètres!$A$1:$I$89,5,0)</f>
        <v>276.91559999999993</v>
      </c>
      <c r="CA139" s="13">
        <f t="shared" si="147"/>
        <v>66.314766879144742</v>
      </c>
      <c r="CB139" s="20">
        <f t="shared" si="118"/>
        <v>597.79288898117682</v>
      </c>
      <c r="CC139" s="59">
        <f t="shared" si="119"/>
        <v>891.12622231451019</v>
      </c>
      <c r="CD139" s="59">
        <f ca="1">AVERAGE(OFFSET($CC$3,0,0,'Données projet'!$E$12+1,1))-AVERAGE(OFFSET($H$3,0,0,'Données projet'!$E$12+1,1))</f>
        <v>367.39143258674738</v>
      </c>
      <c r="CE139" s="59">
        <f t="shared" si="148"/>
        <v>376.02790658970292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12.294461822244804</v>
      </c>
      <c r="CL139" s="21">
        <f>EXP(-LN(2)/25)*CL138+(1-EXP(-LN(2)/25))/(LN(2)/25)*Calculateur!CG139*Calculateur!CI139*VLOOKUP('Données projet'!$B$12,Paramètres!$A$1:$I$89,3,0)*0.475*44/12</f>
        <v>0.43908815691459258</v>
      </c>
      <c r="CM139" s="21">
        <f>EXP(-LN(2)/2)*CM138+(1-EXP(-LN(2)/2))/(LN(2)/2)*CG139*CJ139*VLOOKUP('Données projet'!$B$12,Paramètres!$A$1:$I$89,3,0)*0.475*44/12</f>
        <v>1.6895519857373864E-10</v>
      </c>
      <c r="CN139" s="22">
        <f t="shared" si="120"/>
        <v>12.733549979328352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925.00000000000034</v>
      </c>
      <c r="CU139" s="17">
        <f>CT139*VLOOKUP('Données projet'!$B$13,Paramètres!$A$1:$I$89,3,0)*VLOOKUP('Données projet'!$B$13,Paramètres!$A$1:$I$89,5,0)</f>
        <v>408.85000000000014</v>
      </c>
      <c r="CV139" s="13">
        <f t="shared" si="149"/>
        <v>93.568575358321141</v>
      </c>
      <c r="CW139" s="20">
        <f t="shared" si="121"/>
        <v>875.04568541574281</v>
      </c>
      <c r="CX139" s="59">
        <f t="shared" si="122"/>
        <v>1168.3790187490761</v>
      </c>
      <c r="CY139" s="59">
        <f ca="1">AVERAGE(OFFSET($CX$3,0,0,'Données projet'!$E$13+1,1))-AVERAGE(OFFSET($H$3,0,0,'Données projet'!$E$13+1,1))</f>
        <v>500.13646131618248</v>
      </c>
      <c r="CZ139" s="59">
        <f t="shared" si="150"/>
        <v>417.58036817539306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22.559712510279926</v>
      </c>
      <c r="DG139" s="21">
        <f>EXP(-LN(2)/25)*DG138+(1-EXP(-LN(2)/25))/(LN(2)/25)*Calculateur!DB139*Calculateur!DD139*VLOOKUP('Données projet'!$B$13,Paramètres!$A$1:$I$89,3,0)*0.475*44/12</f>
        <v>6.2080796424529181</v>
      </c>
      <c r="DH139" s="21">
        <f>EXP(-LN(2)/2)*DH138+(1-EXP(-LN(2)/2))/(LN(2)/2)*DB139*DE139*VLOOKUP('Données projet'!$B$13,Paramètres!$A$1:$I$89,3,0)*0.475*44/12</f>
        <v>9.1369413443227878E-9</v>
      </c>
      <c r="DI139" s="22">
        <f t="shared" si="123"/>
        <v>28.767792161869785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268.00000000000011</v>
      </c>
      <c r="O140" s="13">
        <f>N140*VLOOKUP('Données projet'!$B$9,Paramètres!$A$1:$I$89,3,0)*VLOOKUP('Données projet'!$B$9,Paramètres!$A$1:$I$89,5,0)</f>
        <v>242.48640000000009</v>
      </c>
      <c r="P140" s="13">
        <f t="shared" si="141"/>
        <v>58.974170235372476</v>
      </c>
      <c r="Q140" s="20">
        <f t="shared" si="108"/>
        <v>525.04382649327385</v>
      </c>
      <c r="R140" s="59">
        <f t="shared" si="109"/>
        <v>818.37715982660711</v>
      </c>
      <c r="S140" s="59">
        <f ca="1">AVERAGE(OFFSET($R$3,0,0,'Données projet'!$E$9+1,1))-AVERAGE(OFFSET($H$3,0,0,'Données projet'!$E$9+1,1))</f>
        <v>371.7282125501186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41.66673210998011</v>
      </c>
      <c r="AA140" s="21">
        <f>EXP(-LN(2)/25)*AA139+(1-EXP(-LN(2)/25))/(LN(2)/25)*Calculateur!V140*Calculateur!X140*VLOOKUP('Données projet'!$B$9,Paramètres!$A$1:$I$89,3,0)*0.475*44/12</f>
        <v>1.5437752112945915</v>
      </c>
      <c r="AB140" s="21">
        <f>EXP(-LN(2)/2)*AB139+(1-EXP(-LN(2)/2))/(LN(2)/2)*V140*Y140*VLOOKUP('Données projet'!$B$9,Paramètres!$A$1:$I$89,3,0)*0.475*44/12</f>
        <v>2.9585616499182301E-3</v>
      </c>
      <c r="AC140" s="22">
        <f t="shared" si="111"/>
        <v>43.213465882924623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305.00000000000017</v>
      </c>
      <c r="AJ140" s="13">
        <f>AI140*VLOOKUP('Données projet'!$B$10,Paramètres!$A$1:$I$89,3,0)*VLOOKUP('Données projet'!$B$10,Paramètres!$A$1:$I$89,5,0)</f>
        <v>204.59400000000011</v>
      </c>
      <c r="AK140" s="13">
        <f t="shared" si="143"/>
        <v>50.75245156043249</v>
      </c>
      <c r="AL140" s="20">
        <f t="shared" si="112"/>
        <v>444.72840313442015</v>
      </c>
      <c r="AM140" s="59">
        <f t="shared" si="113"/>
        <v>738.06173646775346</v>
      </c>
      <c r="AN140" s="59">
        <f ca="1">AVERAGE(OFFSET($AM$3,0,0,'Données projet'!$E$10+1,1))-AVERAGE(OFFSET($H$3,0,0,'Données projet'!$E$10+1,1))</f>
        <v>269.67260882504996</v>
      </c>
      <c r="AO140" s="59">
        <f t="shared" si="144"/>
        <v>272.13858200810074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9.4885637566569674</v>
      </c>
      <c r="AV140" s="21">
        <f>EXP(-LN(2)/25)*AV139+(1-EXP(-LN(2)/25))/(LN(2)/25)*Calculateur!AQ140*Calculateur!AS140*VLOOKUP('Données projet'!$B$10,Paramètres!$A$1:$I$89,3,0)*0.475*44/12</f>
        <v>0.34366895908830813</v>
      </c>
      <c r="AW140" s="21">
        <f>EXP(-LN(2)/2)*AW139+(1-EXP(-LN(2)/2))/(LN(2)/2)*AQ140*AT140*VLOOKUP('Données projet'!$B$10,Paramètres!$A$1:$I$89,3,0)*0.475*44/12</f>
        <v>7.284529482538458E-11</v>
      </c>
      <c r="AX140" s="21">
        <f t="shared" si="114"/>
        <v>9.8322327158181206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453.99999999999977</v>
      </c>
      <c r="BE140" s="13">
        <f>BD140*VLOOKUP('Données projet'!$B$11,Paramètres!$A$1:$I$89,3,0)*VLOOKUP('Données projet'!$B$11,Paramètres!$A$1:$I$89,5,0)</f>
        <v>253.78599999999986</v>
      </c>
      <c r="BF140" s="13">
        <f t="shared" si="145"/>
        <v>61.395945216950906</v>
      </c>
      <c r="BG140" s="20">
        <f t="shared" si="115"/>
        <v>548.94188791952263</v>
      </c>
      <c r="BH140" s="59">
        <f t="shared" si="116"/>
        <v>842.275221252856</v>
      </c>
      <c r="BI140" s="59">
        <f ca="1">AVERAGE(OFFSET($BH$3,0,0,'Données projet'!$E$11+1,1))-AVERAGE(OFFSET($H$3,0,0,'Données projet'!$E$11+1,1))</f>
        <v>330.33728077846268</v>
      </c>
      <c r="BJ140" s="59">
        <f t="shared" si="146"/>
        <v>358.38872754175208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13.030566276615888</v>
      </c>
      <c r="BQ140" s="21">
        <f>EXP(-LN(2)/25)*BQ139+(1-EXP(-LN(2)/25))/(LN(2)/25)*Calculateur!BL140*Calculateur!BN140*VLOOKUP('Données projet'!$B$11,Paramètres!$A$1:$I$89,3,0)*0.475*44/12</f>
        <v>3.8839816028858642</v>
      </c>
      <c r="BR140" s="21">
        <f>EXP(-LN(2)/2)*BR139+(1-EXP(-LN(2)/2))/(LN(2)/2)*BL140*BO140*VLOOKUP('Données projet'!$B$11,Paramètres!$A$1:$I$89,3,0)*0.475*44/12</f>
        <v>1.314558445735526E-10</v>
      </c>
      <c r="BS140" s="22">
        <f t="shared" si="117"/>
        <v>16.914547879633211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290.99999999999994</v>
      </c>
      <c r="BZ140" s="13">
        <f>BY140*VLOOKUP('Données projet'!$B$12,Paramètres!$A$1:$I$89,3,0)*VLOOKUP('Données projet'!$B$12,Paramètres!$A$1:$I$89,5,0)</f>
        <v>276.91559999999993</v>
      </c>
      <c r="CA140" s="13">
        <f t="shared" si="147"/>
        <v>66.314766879144742</v>
      </c>
      <c r="CB140" s="20">
        <f t="shared" si="118"/>
        <v>597.79288898117682</v>
      </c>
      <c r="CC140" s="59">
        <f t="shared" si="119"/>
        <v>891.12622231451019</v>
      </c>
      <c r="CD140" s="59">
        <f ca="1">AVERAGE(OFFSET($CC$3,0,0,'Données projet'!$E$12+1,1))-AVERAGE(OFFSET($H$3,0,0,'Données projet'!$E$12+1,1))</f>
        <v>367.39143258674738</v>
      </c>
      <c r="CE140" s="59">
        <f t="shared" si="148"/>
        <v>376.02790658970292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12.053374924791841</v>
      </c>
      <c r="CL140" s="21">
        <f>EXP(-LN(2)/25)*CL139+(1-EXP(-LN(2)/25))/(LN(2)/25)*Calculateur!CG140*Calculateur!CI140*VLOOKUP('Données projet'!$B$12,Paramètres!$A$1:$I$89,3,0)*0.475*44/12</f>
        <v>0.42708126817312042</v>
      </c>
      <c r="CM140" s="21">
        <f>EXP(-LN(2)/2)*CM139+(1-EXP(-LN(2)/2))/(LN(2)/2)*CG140*CJ140*VLOOKUP('Données projet'!$B$12,Paramètres!$A$1:$I$89,3,0)*0.475*44/12</f>
        <v>1.1946936662821029E-10</v>
      </c>
      <c r="CN140" s="22">
        <f t="shared" si="120"/>
        <v>12.48045619308443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925.00000000000034</v>
      </c>
      <c r="CU140" s="17">
        <f>CT140*VLOOKUP('Données projet'!$B$13,Paramètres!$A$1:$I$89,3,0)*VLOOKUP('Données projet'!$B$13,Paramètres!$A$1:$I$89,5,0)</f>
        <v>408.85000000000014</v>
      </c>
      <c r="CV140" s="13">
        <f t="shared" si="149"/>
        <v>93.568575358321141</v>
      </c>
      <c r="CW140" s="20">
        <f t="shared" si="121"/>
        <v>875.04568541574281</v>
      </c>
      <c r="CX140" s="59">
        <f t="shared" si="122"/>
        <v>1168.3790187490761</v>
      </c>
      <c r="CY140" s="59">
        <f ca="1">AVERAGE(OFFSET($CX$3,0,0,'Données projet'!$E$13+1,1))-AVERAGE(OFFSET($H$3,0,0,'Données projet'!$E$13+1,1))</f>
        <v>500.13646131618248</v>
      </c>
      <c r="CZ140" s="59">
        <f t="shared" si="150"/>
        <v>417.58036817539306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22.117330308019273</v>
      </c>
      <c r="DG140" s="21">
        <f>EXP(-LN(2)/25)*DG139+(1-EXP(-LN(2)/25))/(LN(2)/25)*Calculateur!DB140*Calculateur!DD140*VLOOKUP('Données projet'!$B$13,Paramètres!$A$1:$I$89,3,0)*0.475*44/12</f>
        <v>6.0383193781613231</v>
      </c>
      <c r="DH140" s="21">
        <f>EXP(-LN(2)/2)*DH139+(1-EXP(-LN(2)/2))/(LN(2)/2)*DB140*DE140*VLOOKUP('Données projet'!$B$13,Paramètres!$A$1:$I$89,3,0)*0.475*44/12</f>
        <v>6.460793183874373E-9</v>
      </c>
      <c r="DI140" s="22">
        <f t="shared" si="123"/>
        <v>28.15564969264139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268.00000000000011</v>
      </c>
      <c r="O141" s="13">
        <f>N141*VLOOKUP('Données projet'!$B$9,Paramètres!$A$1:$I$89,3,0)*VLOOKUP('Données projet'!$B$9,Paramètres!$A$1:$I$89,5,0)</f>
        <v>242.48640000000009</v>
      </c>
      <c r="P141" s="13">
        <f t="shared" si="141"/>
        <v>58.974170235372476</v>
      </c>
      <c r="Q141" s="20">
        <f t="shared" si="108"/>
        <v>525.04382649327385</v>
      </c>
      <c r="R141" s="59">
        <f t="shared" si="109"/>
        <v>818.37715982660711</v>
      </c>
      <c r="S141" s="59">
        <f ca="1">AVERAGE(OFFSET($R$3,0,0,'Données projet'!$E$9+1,1))-AVERAGE(OFFSET($H$3,0,0,'Données projet'!$E$9+1,1))</f>
        <v>371.7282125501186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40.84967290750054</v>
      </c>
      <c r="AA141" s="21">
        <f>EXP(-LN(2)/25)*AA140+(1-EXP(-LN(2)/25))/(LN(2)/25)*Calculateur!V141*Calculateur!X141*VLOOKUP('Données projet'!$B$9,Paramètres!$A$1:$I$89,3,0)*0.475*44/12</f>
        <v>1.5015605969581309</v>
      </c>
      <c r="AB141" s="21">
        <f>EXP(-LN(2)/2)*AB140+(1-EXP(-LN(2)/2))/(LN(2)/2)*V141*Y141*VLOOKUP('Données projet'!$B$9,Paramètres!$A$1:$I$89,3,0)*0.475*44/12</f>
        <v>2.0920190052156409E-3</v>
      </c>
      <c r="AC141" s="22">
        <f t="shared" si="111"/>
        <v>42.353325523463887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305.00000000000017</v>
      </c>
      <c r="AJ141" s="13">
        <f>AI141*VLOOKUP('Données projet'!$B$10,Paramètres!$A$1:$I$89,3,0)*VLOOKUP('Données projet'!$B$10,Paramètres!$A$1:$I$89,5,0)</f>
        <v>204.59400000000011</v>
      </c>
      <c r="AK141" s="13">
        <f t="shared" si="143"/>
        <v>50.75245156043249</v>
      </c>
      <c r="AL141" s="20">
        <f t="shared" si="112"/>
        <v>444.72840313442015</v>
      </c>
      <c r="AM141" s="59">
        <f t="shared" si="113"/>
        <v>738.06173646775346</v>
      </c>
      <c r="AN141" s="59">
        <f ca="1">AVERAGE(OFFSET($AM$3,0,0,'Données projet'!$E$10+1,1))-AVERAGE(OFFSET($H$3,0,0,'Données projet'!$E$10+1,1))</f>
        <v>269.67260882504996</v>
      </c>
      <c r="AO141" s="59">
        <f t="shared" si="144"/>
        <v>272.13858200810074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9.3024988088413529</v>
      </c>
      <c r="AV141" s="21">
        <f>EXP(-LN(2)/25)*AV140+(1-EXP(-LN(2)/25))/(LN(2)/25)*Calculateur!AQ141*Calculateur!AS141*VLOOKUP('Données projet'!$B$10,Paramètres!$A$1:$I$89,3,0)*0.475*44/12</f>
        <v>0.33427131332927323</v>
      </c>
      <c r="AW141" s="21">
        <f>EXP(-LN(2)/2)*AW140+(1-EXP(-LN(2)/2))/(LN(2)/2)*AQ141*AT141*VLOOKUP('Données projet'!$B$10,Paramètres!$A$1:$I$89,3,0)*0.475*44/12</f>
        <v>5.1509401948562758E-11</v>
      </c>
      <c r="AX141" s="21">
        <f t="shared" si="114"/>
        <v>9.6367701222221349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453.99999999999977</v>
      </c>
      <c r="BE141" s="13">
        <f>BD141*VLOOKUP('Données projet'!$B$11,Paramètres!$A$1:$I$89,3,0)*VLOOKUP('Données projet'!$B$11,Paramètres!$A$1:$I$89,5,0)</f>
        <v>253.78599999999986</v>
      </c>
      <c r="BF141" s="13">
        <f t="shared" si="145"/>
        <v>61.395945216950906</v>
      </c>
      <c r="BG141" s="20">
        <f t="shared" si="115"/>
        <v>548.94188791952263</v>
      </c>
      <c r="BH141" s="59">
        <f t="shared" si="116"/>
        <v>842.275221252856</v>
      </c>
      <c r="BI141" s="59">
        <f ca="1">AVERAGE(OFFSET($BH$3,0,0,'Données projet'!$E$11+1,1))-AVERAGE(OFFSET($H$3,0,0,'Données projet'!$E$11+1,1))</f>
        <v>330.33728077846268</v>
      </c>
      <c r="BJ141" s="59">
        <f t="shared" si="146"/>
        <v>358.38872754175208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12.775044819792093</v>
      </c>
      <c r="BQ141" s="21">
        <f>EXP(-LN(2)/25)*BQ140+(1-EXP(-LN(2)/25))/(LN(2)/25)*Calculateur!BL141*Calculateur!BN141*VLOOKUP('Données projet'!$B$11,Paramètres!$A$1:$I$89,3,0)*0.475*44/12</f>
        <v>3.7777739217052346</v>
      </c>
      <c r="BR141" s="21">
        <f>EXP(-LN(2)/2)*BR140+(1-EXP(-LN(2)/2))/(LN(2)/2)*BL141*BO141*VLOOKUP('Données projet'!$B$11,Paramètres!$A$1:$I$89,3,0)*0.475*44/12</f>
        <v>9.2953319124563858E-11</v>
      </c>
      <c r="BS141" s="22">
        <f t="shared" si="117"/>
        <v>16.552818741590279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290.99999999999994</v>
      </c>
      <c r="BZ141" s="13">
        <f>BY141*VLOOKUP('Données projet'!$B$12,Paramètres!$A$1:$I$89,3,0)*VLOOKUP('Données projet'!$B$12,Paramètres!$A$1:$I$89,5,0)</f>
        <v>276.91559999999993</v>
      </c>
      <c r="CA141" s="13">
        <f t="shared" si="147"/>
        <v>66.314766879144742</v>
      </c>
      <c r="CB141" s="20">
        <f t="shared" si="118"/>
        <v>597.79288898117682</v>
      </c>
      <c r="CC141" s="59">
        <f t="shared" si="119"/>
        <v>891.12622231451019</v>
      </c>
      <c r="CD141" s="59">
        <f ca="1">AVERAGE(OFFSET($CC$3,0,0,'Données projet'!$E$12+1,1))-AVERAGE(OFFSET($H$3,0,0,'Données projet'!$E$12+1,1))</f>
        <v>367.39143258674738</v>
      </c>
      <c r="CE141" s="59">
        <f t="shared" si="148"/>
        <v>376.02790658970292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11.817015594349444</v>
      </c>
      <c r="CL141" s="21">
        <f>EXP(-LN(2)/25)*CL140+(1-EXP(-LN(2)/25))/(LN(2)/25)*Calculateur!CG141*Calculateur!CI141*VLOOKUP('Données projet'!$B$12,Paramètres!$A$1:$I$89,3,0)*0.475*44/12</f>
        <v>0.41540270843569865</v>
      </c>
      <c r="CM141" s="21">
        <f>EXP(-LN(2)/2)*CM140+(1-EXP(-LN(2)/2))/(LN(2)/2)*CG141*CJ141*VLOOKUP('Données projet'!$B$12,Paramètres!$A$1:$I$89,3,0)*0.475*44/12</f>
        <v>8.4477599286869318E-11</v>
      </c>
      <c r="CN141" s="22">
        <f t="shared" si="120"/>
        <v>12.23241830286962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925.00000000000034</v>
      </c>
      <c r="CU141" s="17">
        <f>CT141*VLOOKUP('Données projet'!$B$13,Paramètres!$A$1:$I$89,3,0)*VLOOKUP('Données projet'!$B$13,Paramètres!$A$1:$I$89,5,0)</f>
        <v>408.85000000000014</v>
      </c>
      <c r="CV141" s="13">
        <f t="shared" si="149"/>
        <v>93.568575358321141</v>
      </c>
      <c r="CW141" s="20">
        <f t="shared" si="121"/>
        <v>875.04568541574281</v>
      </c>
      <c r="CX141" s="59">
        <f t="shared" si="122"/>
        <v>1168.3790187490761</v>
      </c>
      <c r="CY141" s="59">
        <f ca="1">AVERAGE(OFFSET($CX$3,0,0,'Données projet'!$E$13+1,1))-AVERAGE(OFFSET($H$3,0,0,'Données projet'!$E$13+1,1))</f>
        <v>500.13646131618248</v>
      </c>
      <c r="CZ141" s="59">
        <f t="shared" si="150"/>
        <v>417.58036817539306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21.683622950918451</v>
      </c>
      <c r="DG141" s="21">
        <f>EXP(-LN(2)/25)*DG140+(1-EXP(-LN(2)/25))/(LN(2)/25)*Calculateur!DB141*Calculateur!DD141*VLOOKUP('Données projet'!$B$13,Paramètres!$A$1:$I$89,3,0)*0.475*44/12</f>
        <v>5.8732012172240866</v>
      </c>
      <c r="DH141" s="21">
        <f>EXP(-LN(2)/2)*DH140+(1-EXP(-LN(2)/2))/(LN(2)/2)*DB141*DE141*VLOOKUP('Données projet'!$B$13,Paramètres!$A$1:$I$89,3,0)*0.475*44/12</f>
        <v>4.5684706721613939E-9</v>
      </c>
      <c r="DI141" s="22">
        <f t="shared" si="123"/>
        <v>27.556824172711007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268.00000000000011</v>
      </c>
      <c r="O142" s="13">
        <f>N142*VLOOKUP('Données projet'!$B$9,Paramètres!$A$1:$I$89,3,0)*VLOOKUP('Données projet'!$B$9,Paramètres!$A$1:$I$89,5,0)</f>
        <v>242.48640000000009</v>
      </c>
      <c r="P142" s="13">
        <f t="shared" si="141"/>
        <v>58.974170235372476</v>
      </c>
      <c r="Q142" s="20">
        <f t="shared" si="108"/>
        <v>525.04382649327385</v>
      </c>
      <c r="R142" s="59">
        <f t="shared" si="109"/>
        <v>818.37715982660711</v>
      </c>
      <c r="S142" s="59">
        <f ca="1">AVERAGE(OFFSET($R$3,0,0,'Données projet'!$E$9+1,1))-AVERAGE(OFFSET($H$3,0,0,'Données projet'!$E$9+1,1))</f>
        <v>371.7282125501186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40.048635737624693</v>
      </c>
      <c r="AA142" s="21">
        <f>EXP(-LN(2)/25)*AA141+(1-EXP(-LN(2)/25))/(LN(2)/25)*Calculateur!V142*Calculateur!X142*VLOOKUP('Données projet'!$B$9,Paramètres!$A$1:$I$89,3,0)*0.475*44/12</f>
        <v>1.4605003434706709</v>
      </c>
      <c r="AB142" s="21">
        <f>EXP(-LN(2)/2)*AB141+(1-EXP(-LN(2)/2))/(LN(2)/2)*V142*Y142*VLOOKUP('Données projet'!$B$9,Paramètres!$A$1:$I$89,3,0)*0.475*44/12</f>
        <v>1.479280824959115E-3</v>
      </c>
      <c r="AC142" s="22">
        <f t="shared" si="111"/>
        <v>41.510615361920323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305.00000000000017</v>
      </c>
      <c r="AJ142" s="13">
        <f>AI142*VLOOKUP('Données projet'!$B$10,Paramètres!$A$1:$I$89,3,0)*VLOOKUP('Données projet'!$B$10,Paramètres!$A$1:$I$89,5,0)</f>
        <v>204.59400000000011</v>
      </c>
      <c r="AK142" s="13">
        <f t="shared" si="143"/>
        <v>50.75245156043249</v>
      </c>
      <c r="AL142" s="20">
        <f t="shared" si="112"/>
        <v>444.72840313442015</v>
      </c>
      <c r="AM142" s="59">
        <f t="shared" si="113"/>
        <v>738.06173646775346</v>
      </c>
      <c r="AN142" s="59">
        <f ca="1">AVERAGE(OFFSET($AM$3,0,0,'Données projet'!$E$10+1,1))-AVERAGE(OFFSET($H$3,0,0,'Données projet'!$E$10+1,1))</f>
        <v>269.67260882504996</v>
      </c>
      <c r="AO142" s="59">
        <f t="shared" si="144"/>
        <v>272.13858200810074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9.1200824811639905</v>
      </c>
      <c r="AV142" s="21">
        <f>EXP(-LN(2)/25)*AV141+(1-EXP(-LN(2)/25))/(LN(2)/25)*Calculateur!AQ142*Calculateur!AS142*VLOOKUP('Données projet'!$B$10,Paramètres!$A$1:$I$89,3,0)*0.475*44/12</f>
        <v>0.3251306466877199</v>
      </c>
      <c r="AW142" s="21">
        <f>EXP(-LN(2)/2)*AW141+(1-EXP(-LN(2)/2))/(LN(2)/2)*AQ142*AT142*VLOOKUP('Données projet'!$B$10,Paramètres!$A$1:$I$89,3,0)*0.475*44/12</f>
        <v>3.642264741269229E-11</v>
      </c>
      <c r="AX142" s="21">
        <f t="shared" si="114"/>
        <v>9.4452131278881328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453.99999999999977</v>
      </c>
      <c r="BE142" s="13">
        <f>BD142*VLOOKUP('Données projet'!$B$11,Paramètres!$A$1:$I$89,3,0)*VLOOKUP('Données projet'!$B$11,Paramètres!$A$1:$I$89,5,0)</f>
        <v>253.78599999999986</v>
      </c>
      <c r="BF142" s="13">
        <f t="shared" si="145"/>
        <v>61.395945216950906</v>
      </c>
      <c r="BG142" s="20">
        <f t="shared" si="115"/>
        <v>548.94188791952263</v>
      </c>
      <c r="BH142" s="59">
        <f t="shared" si="116"/>
        <v>842.275221252856</v>
      </c>
      <c r="BI142" s="59">
        <f ca="1">AVERAGE(OFFSET($BH$3,0,0,'Données projet'!$E$11+1,1))-AVERAGE(OFFSET($H$3,0,0,'Données projet'!$E$11+1,1))</f>
        <v>330.33728077846268</v>
      </c>
      <c r="BJ142" s="59">
        <f t="shared" si="146"/>
        <v>358.38872754175208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12.524533982883913</v>
      </c>
      <c r="BQ142" s="21">
        <f>EXP(-LN(2)/25)*BQ141+(1-EXP(-LN(2)/25))/(LN(2)/25)*Calculateur!BL142*Calculateur!BN142*VLOOKUP('Données projet'!$B$11,Paramètres!$A$1:$I$89,3,0)*0.475*44/12</f>
        <v>3.6744704951517089</v>
      </c>
      <c r="BR142" s="21">
        <f>EXP(-LN(2)/2)*BR141+(1-EXP(-LN(2)/2))/(LN(2)/2)*BL142*BO142*VLOOKUP('Données projet'!$B$11,Paramètres!$A$1:$I$89,3,0)*0.475*44/12</f>
        <v>6.5727922286776298E-11</v>
      </c>
      <c r="BS142" s="22">
        <f t="shared" si="117"/>
        <v>16.199004478101351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290.99999999999994</v>
      </c>
      <c r="BZ142" s="13">
        <f>BY142*VLOOKUP('Données projet'!$B$12,Paramètres!$A$1:$I$89,3,0)*VLOOKUP('Données projet'!$B$12,Paramètres!$A$1:$I$89,5,0)</f>
        <v>276.91559999999993</v>
      </c>
      <c r="CA142" s="13">
        <f t="shared" si="147"/>
        <v>66.314766879144742</v>
      </c>
      <c r="CB142" s="20">
        <f t="shared" si="118"/>
        <v>597.79288898117682</v>
      </c>
      <c r="CC142" s="59">
        <f t="shared" si="119"/>
        <v>891.12622231451019</v>
      </c>
      <c r="CD142" s="59">
        <f ca="1">AVERAGE(OFFSET($CC$3,0,0,'Données projet'!$E$12+1,1))-AVERAGE(OFFSET($H$3,0,0,'Données projet'!$E$12+1,1))</f>
        <v>367.39143258674738</v>
      </c>
      <c r="CE142" s="59">
        <f t="shared" si="148"/>
        <v>376.02790658970292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11.585291126212066</v>
      </c>
      <c r="CL142" s="21">
        <f>EXP(-LN(2)/25)*CL141+(1-EXP(-LN(2)/25))/(LN(2)/25)*Calculateur!CG142*Calculateur!CI142*VLOOKUP('Données projet'!$B$12,Paramètres!$A$1:$I$89,3,0)*0.475*44/12</f>
        <v>0.40404349952844543</v>
      </c>
      <c r="CM142" s="21">
        <f>EXP(-LN(2)/2)*CM141+(1-EXP(-LN(2)/2))/(LN(2)/2)*CG142*CJ142*VLOOKUP('Données projet'!$B$12,Paramètres!$A$1:$I$89,3,0)*0.475*44/12</f>
        <v>5.9734683314105144E-11</v>
      </c>
      <c r="CN142" s="22">
        <f t="shared" si="120"/>
        <v>11.989334625800247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925.00000000000034</v>
      </c>
      <c r="CU142" s="17">
        <f>CT142*VLOOKUP('Données projet'!$B$13,Paramètres!$A$1:$I$89,3,0)*VLOOKUP('Données projet'!$B$13,Paramètres!$A$1:$I$89,5,0)</f>
        <v>408.85000000000014</v>
      </c>
      <c r="CV142" s="13">
        <f t="shared" si="149"/>
        <v>93.568575358321141</v>
      </c>
      <c r="CW142" s="20">
        <f t="shared" si="121"/>
        <v>875.04568541574281</v>
      </c>
      <c r="CX142" s="59">
        <f t="shared" si="122"/>
        <v>1168.3790187490761</v>
      </c>
      <c r="CY142" s="59">
        <f ca="1">AVERAGE(OFFSET($CX$3,0,0,'Données projet'!$E$13+1,1))-AVERAGE(OFFSET($H$3,0,0,'Données projet'!$E$13+1,1))</f>
        <v>500.13646131618248</v>
      </c>
      <c r="CZ142" s="59">
        <f t="shared" si="150"/>
        <v>417.58036817539306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21.258420330555012</v>
      </c>
      <c r="DG142" s="21">
        <f>EXP(-LN(2)/25)*DG141+(1-EXP(-LN(2)/25))/(LN(2)/25)*Calculateur!DB142*Calculateur!DD142*VLOOKUP('Données projet'!$B$13,Paramètres!$A$1:$I$89,3,0)*0.475*44/12</f>
        <v>5.7125982210808655</v>
      </c>
      <c r="DH142" s="21">
        <f>EXP(-LN(2)/2)*DH141+(1-EXP(-LN(2)/2))/(LN(2)/2)*DB142*DE142*VLOOKUP('Données projet'!$B$13,Paramètres!$A$1:$I$89,3,0)*0.475*44/12</f>
        <v>3.2303965919371865E-9</v>
      </c>
      <c r="DI142" s="22">
        <f t="shared" si="123"/>
        <v>26.971018554866276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268.00000000000011</v>
      </c>
      <c r="O143" s="13">
        <f>N143*VLOOKUP('Données projet'!$B$9,Paramètres!$A$1:$I$89,3,0)*VLOOKUP('Données projet'!$B$9,Paramètres!$A$1:$I$89,5,0)</f>
        <v>242.48640000000009</v>
      </c>
      <c r="P143" s="13">
        <f t="shared" si="141"/>
        <v>58.974170235372476</v>
      </c>
      <c r="Q143" s="20">
        <f t="shared" si="108"/>
        <v>525.04382649327385</v>
      </c>
      <c r="R143" s="59">
        <f t="shared" si="109"/>
        <v>818.37715982660711</v>
      </c>
      <c r="S143" s="59">
        <f ca="1">AVERAGE(OFFSET($R$3,0,0,'Données projet'!$E$9+1,1))-AVERAGE(OFFSET($H$3,0,0,'Données projet'!$E$9+1,1))</f>
        <v>371.7282125501186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39.263306418065682</v>
      </c>
      <c r="AA143" s="21">
        <f>EXP(-LN(2)/25)*AA142+(1-EXP(-LN(2)/25))/(LN(2)/25)*Calculateur!V143*Calculateur!X143*VLOOKUP('Données projet'!$B$9,Paramètres!$A$1:$I$89,3,0)*0.475*44/12</f>
        <v>1.4205628847740903</v>
      </c>
      <c r="AB143" s="21">
        <f>EXP(-LN(2)/2)*AB142+(1-EXP(-LN(2)/2))/(LN(2)/2)*V143*Y143*VLOOKUP('Données projet'!$B$9,Paramètres!$A$1:$I$89,3,0)*0.475*44/12</f>
        <v>1.0460095026078205E-3</v>
      </c>
      <c r="AC143" s="22">
        <f t="shared" si="111"/>
        <v>40.684915312342383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305.00000000000017</v>
      </c>
      <c r="AJ143" s="13">
        <f>AI143*VLOOKUP('Données projet'!$B$10,Paramètres!$A$1:$I$89,3,0)*VLOOKUP('Données projet'!$B$10,Paramètres!$A$1:$I$89,5,0)</f>
        <v>204.59400000000011</v>
      </c>
      <c r="AK143" s="13">
        <f t="shared" si="143"/>
        <v>50.75245156043249</v>
      </c>
      <c r="AL143" s="20">
        <f t="shared" si="112"/>
        <v>444.72840313442015</v>
      </c>
      <c r="AM143" s="59">
        <f t="shared" si="113"/>
        <v>738.06173646775346</v>
      </c>
      <c r="AN143" s="59">
        <f ca="1">AVERAGE(OFFSET($AM$3,0,0,'Données projet'!$E$10+1,1))-AVERAGE(OFFSET($H$3,0,0,'Données projet'!$E$10+1,1))</f>
        <v>269.67260882504996</v>
      </c>
      <c r="AO143" s="59">
        <f t="shared" si="144"/>
        <v>272.13858200810074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8.9412432264094068</v>
      </c>
      <c r="AV143" s="21">
        <f>EXP(-LN(2)/25)*AV142+(1-EXP(-LN(2)/25))/(LN(2)/25)*Calculateur!AQ143*Calculateur!AS143*VLOOKUP('Données projet'!$B$10,Paramètres!$A$1:$I$89,3,0)*0.475*44/12</f>
        <v>0.31623993205616657</v>
      </c>
      <c r="AW143" s="21">
        <f>EXP(-LN(2)/2)*AW142+(1-EXP(-LN(2)/2))/(LN(2)/2)*AQ143*AT143*VLOOKUP('Données projet'!$B$10,Paramètres!$A$1:$I$89,3,0)*0.475*44/12</f>
        <v>2.5754700974281379E-11</v>
      </c>
      <c r="AX143" s="21">
        <f t="shared" si="114"/>
        <v>9.2574831584913291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453.99999999999977</v>
      </c>
      <c r="BE143" s="13">
        <f>BD143*VLOOKUP('Données projet'!$B$11,Paramètres!$A$1:$I$89,3,0)*VLOOKUP('Données projet'!$B$11,Paramètres!$A$1:$I$89,5,0)</f>
        <v>253.78599999999986</v>
      </c>
      <c r="BF143" s="13">
        <f t="shared" si="145"/>
        <v>61.395945216950906</v>
      </c>
      <c r="BG143" s="20">
        <f t="shared" si="115"/>
        <v>548.94188791952263</v>
      </c>
      <c r="BH143" s="59">
        <f t="shared" si="116"/>
        <v>842.275221252856</v>
      </c>
      <c r="BI143" s="59">
        <f ca="1">AVERAGE(OFFSET($BH$3,0,0,'Données projet'!$E$11+1,1))-AVERAGE(OFFSET($H$3,0,0,'Données projet'!$E$11+1,1))</f>
        <v>330.33728077846268</v>
      </c>
      <c r="BJ143" s="59">
        <f t="shared" si="146"/>
        <v>358.38872754175208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12.27893551069098</v>
      </c>
      <c r="BQ143" s="21">
        <f>EXP(-LN(2)/25)*BQ142+(1-EXP(-LN(2)/25))/(LN(2)/25)*Calculateur!BL143*Calculateur!BN143*VLOOKUP('Données projet'!$B$11,Paramètres!$A$1:$I$89,3,0)*0.475*44/12</f>
        <v>3.57399190622978</v>
      </c>
      <c r="BR143" s="21">
        <f>EXP(-LN(2)/2)*BR142+(1-EXP(-LN(2)/2))/(LN(2)/2)*BL143*BO143*VLOOKUP('Données projet'!$B$11,Paramètres!$A$1:$I$89,3,0)*0.475*44/12</f>
        <v>4.6476659562281929E-11</v>
      </c>
      <c r="BS143" s="22">
        <f t="shared" si="117"/>
        <v>15.852927416967237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290.99999999999994</v>
      </c>
      <c r="BZ143" s="13">
        <f>BY143*VLOOKUP('Données projet'!$B$12,Paramètres!$A$1:$I$89,3,0)*VLOOKUP('Données projet'!$B$12,Paramètres!$A$1:$I$89,5,0)</f>
        <v>276.91559999999993</v>
      </c>
      <c r="CA143" s="13">
        <f t="shared" si="147"/>
        <v>66.314766879144742</v>
      </c>
      <c r="CB143" s="20">
        <f t="shared" si="118"/>
        <v>597.79288898117682</v>
      </c>
      <c r="CC143" s="59">
        <f t="shared" si="119"/>
        <v>891.12622231451019</v>
      </c>
      <c r="CD143" s="59">
        <f ca="1">AVERAGE(OFFSET($CC$3,0,0,'Données projet'!$E$12+1,1))-AVERAGE(OFFSET($H$3,0,0,'Données projet'!$E$12+1,1))</f>
        <v>367.39143258674738</v>
      </c>
      <c r="CE143" s="59">
        <f t="shared" si="148"/>
        <v>376.02790658970292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11.358110633556892</v>
      </c>
      <c r="CL143" s="21">
        <f>EXP(-LN(2)/25)*CL142+(1-EXP(-LN(2)/25))/(LN(2)/25)*Calculateur!CG143*Calculateur!CI143*VLOOKUP('Données projet'!$B$12,Paramètres!$A$1:$I$89,3,0)*0.475*44/12</f>
        <v>0.39299490878611593</v>
      </c>
      <c r="CM143" s="21">
        <f>EXP(-LN(2)/2)*CM142+(1-EXP(-LN(2)/2))/(LN(2)/2)*CG143*CJ143*VLOOKUP('Données projet'!$B$12,Paramètres!$A$1:$I$89,3,0)*0.475*44/12</f>
        <v>4.2238799643434659E-11</v>
      </c>
      <c r="CN143" s="22">
        <f t="shared" si="120"/>
        <v>11.751105542385247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925.00000000000034</v>
      </c>
      <c r="CU143" s="17">
        <f>CT143*VLOOKUP('Données projet'!$B$13,Paramètres!$A$1:$I$89,3,0)*VLOOKUP('Données projet'!$B$13,Paramètres!$A$1:$I$89,5,0)</f>
        <v>408.85000000000014</v>
      </c>
      <c r="CV143" s="13">
        <f t="shared" si="149"/>
        <v>93.568575358321141</v>
      </c>
      <c r="CW143" s="20">
        <f t="shared" si="121"/>
        <v>875.04568541574281</v>
      </c>
      <c r="CX143" s="59">
        <f t="shared" si="122"/>
        <v>1168.3790187490761</v>
      </c>
      <c r="CY143" s="59">
        <f ca="1">AVERAGE(OFFSET($CX$3,0,0,'Données projet'!$E$13+1,1))-AVERAGE(OFFSET($H$3,0,0,'Données projet'!$E$13+1,1))</f>
        <v>500.13646131618248</v>
      </c>
      <c r="CZ143" s="59">
        <f t="shared" si="150"/>
        <v>417.58036817539306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20.841555674228907</v>
      </c>
      <c r="DG143" s="21">
        <f>EXP(-LN(2)/25)*DG142+(1-EXP(-LN(2)/25))/(LN(2)/25)*Calculateur!DB143*Calculateur!DD143*VLOOKUP('Données projet'!$B$13,Paramètres!$A$1:$I$89,3,0)*0.475*44/12</f>
        <v>5.5563869223129254</v>
      </c>
      <c r="DH143" s="21">
        <f>EXP(-LN(2)/2)*DH142+(1-EXP(-LN(2)/2))/(LN(2)/2)*DB143*DE143*VLOOKUP('Données projet'!$B$13,Paramètres!$A$1:$I$89,3,0)*0.475*44/12</f>
        <v>2.284235336080697E-9</v>
      </c>
      <c r="DI143" s="22">
        <f t="shared" si="123"/>
        <v>26.397942598826067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268.00000000000011</v>
      </c>
      <c r="O144" s="13">
        <f>N144*VLOOKUP('Données projet'!$B$9,Paramètres!$A$1:$I$89,3,0)*VLOOKUP('Données projet'!$B$9,Paramètres!$A$1:$I$89,5,0)</f>
        <v>242.48640000000009</v>
      </c>
      <c r="P144" s="13">
        <f t="shared" si="141"/>
        <v>58.974170235372476</v>
      </c>
      <c r="Q144" s="20">
        <f t="shared" si="108"/>
        <v>525.04382649327385</v>
      </c>
      <c r="R144" s="59">
        <f t="shared" si="109"/>
        <v>818.37715982660711</v>
      </c>
      <c r="S144" s="59">
        <f ca="1">AVERAGE(OFFSET($R$3,0,0,'Données projet'!$E$9+1,1))-AVERAGE(OFFSET($H$3,0,0,'Données projet'!$E$9+1,1))</f>
        <v>371.7282125501186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38.493376927459636</v>
      </c>
      <c r="AA144" s="21">
        <f>EXP(-LN(2)/25)*AA143+(1-EXP(-LN(2)/25))/(LN(2)/25)*Calculateur!V144*Calculateur!X144*VLOOKUP('Données projet'!$B$9,Paramètres!$A$1:$I$89,3,0)*0.475*44/12</f>
        <v>1.3817175179857875</v>
      </c>
      <c r="AB144" s="21">
        <f>EXP(-LN(2)/2)*AB143+(1-EXP(-LN(2)/2))/(LN(2)/2)*V144*Y144*VLOOKUP('Données projet'!$B$9,Paramètres!$A$1:$I$89,3,0)*0.475*44/12</f>
        <v>7.3964041247955752E-4</v>
      </c>
      <c r="AC144" s="22">
        <f t="shared" si="111"/>
        <v>39.875834085857896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305.00000000000017</v>
      </c>
      <c r="AJ144" s="13">
        <f>AI144*VLOOKUP('Données projet'!$B$10,Paramètres!$A$1:$I$89,3,0)*VLOOKUP('Données projet'!$B$10,Paramètres!$A$1:$I$89,5,0)</f>
        <v>204.59400000000011</v>
      </c>
      <c r="AK144" s="13">
        <f t="shared" si="143"/>
        <v>50.75245156043249</v>
      </c>
      <c r="AL144" s="20">
        <f t="shared" si="112"/>
        <v>444.72840313442015</v>
      </c>
      <c r="AM144" s="59">
        <f t="shared" si="113"/>
        <v>738.06173646775346</v>
      </c>
      <c r="AN144" s="59">
        <f ca="1">AVERAGE(OFFSET($AM$3,0,0,'Données projet'!$E$10+1,1))-AVERAGE(OFFSET($H$3,0,0,'Données projet'!$E$10+1,1))</f>
        <v>269.67260882504996</v>
      </c>
      <c r="AO144" s="59">
        <f t="shared" si="144"/>
        <v>272.13858200810074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8.7659109003593869</v>
      </c>
      <c r="AV144" s="21">
        <f>EXP(-LN(2)/25)*AV143+(1-EXP(-LN(2)/25))/(LN(2)/25)*Calculateur!AQ144*Calculateur!AS144*VLOOKUP('Données projet'!$B$10,Paramètres!$A$1:$I$89,3,0)*0.475*44/12</f>
        <v>0.30759233448375545</v>
      </c>
      <c r="AW144" s="21">
        <f>EXP(-LN(2)/2)*AW143+(1-EXP(-LN(2)/2))/(LN(2)/2)*AQ144*AT144*VLOOKUP('Données projet'!$B$10,Paramètres!$A$1:$I$89,3,0)*0.475*44/12</f>
        <v>1.8211323706346145E-11</v>
      </c>
      <c r="AX144" s="21">
        <f t="shared" si="114"/>
        <v>9.073503234861354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453.99999999999977</v>
      </c>
      <c r="BE144" s="13">
        <f>BD144*VLOOKUP('Données projet'!$B$11,Paramètres!$A$1:$I$89,3,0)*VLOOKUP('Données projet'!$B$11,Paramètres!$A$1:$I$89,5,0)</f>
        <v>253.78599999999986</v>
      </c>
      <c r="BF144" s="13">
        <f t="shared" si="145"/>
        <v>61.395945216950906</v>
      </c>
      <c r="BG144" s="20">
        <f t="shared" si="115"/>
        <v>548.94188791952263</v>
      </c>
      <c r="BH144" s="59">
        <f t="shared" si="116"/>
        <v>842.275221252856</v>
      </c>
      <c r="BI144" s="59">
        <f ca="1">AVERAGE(OFFSET($BH$3,0,0,'Données projet'!$E$11+1,1))-AVERAGE(OFFSET($H$3,0,0,'Données projet'!$E$11+1,1))</f>
        <v>330.33728077846268</v>
      </c>
      <c r="BJ144" s="59">
        <f t="shared" si="146"/>
        <v>358.38872754175208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12.038153074737473</v>
      </c>
      <c r="BQ144" s="21">
        <f>EXP(-LN(2)/25)*BQ143+(1-EXP(-LN(2)/25))/(LN(2)/25)*Calculateur!BL144*Calculateur!BN144*VLOOKUP('Données projet'!$B$11,Paramètres!$A$1:$I$89,3,0)*0.475*44/12</f>
        <v>3.4762609096058608</v>
      </c>
      <c r="BR144" s="21">
        <f>EXP(-LN(2)/2)*BR143+(1-EXP(-LN(2)/2))/(LN(2)/2)*BL144*BO144*VLOOKUP('Données projet'!$B$11,Paramètres!$A$1:$I$89,3,0)*0.475*44/12</f>
        <v>3.2863961143388149E-11</v>
      </c>
      <c r="BS144" s="22">
        <f t="shared" si="117"/>
        <v>15.514413984376198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290.99999999999994</v>
      </c>
      <c r="BZ144" s="13">
        <f>BY144*VLOOKUP('Données projet'!$B$12,Paramètres!$A$1:$I$89,3,0)*VLOOKUP('Données projet'!$B$12,Paramètres!$A$1:$I$89,5,0)</f>
        <v>276.91559999999993</v>
      </c>
      <c r="CA144" s="13">
        <f t="shared" si="147"/>
        <v>66.314766879144742</v>
      </c>
      <c r="CB144" s="20">
        <f t="shared" si="118"/>
        <v>597.79288898117682</v>
      </c>
      <c r="CC144" s="59">
        <f t="shared" si="119"/>
        <v>891.12622231451019</v>
      </c>
      <c r="CD144" s="59">
        <f ca="1">AVERAGE(OFFSET($CC$3,0,0,'Données projet'!$E$12+1,1))-AVERAGE(OFFSET($H$3,0,0,'Données projet'!$E$12+1,1))</f>
        <v>367.39143258674738</v>
      </c>
      <c r="CE144" s="59">
        <f t="shared" si="148"/>
        <v>376.02790658970292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11.135385011796268</v>
      </c>
      <c r="CL144" s="21">
        <f>EXP(-LN(2)/25)*CL143+(1-EXP(-LN(2)/25))/(LN(2)/25)*Calculateur!CG144*Calculateur!CI144*VLOOKUP('Données projet'!$B$12,Paramètres!$A$1:$I$89,3,0)*0.475*44/12</f>
        <v>0.38224844233865551</v>
      </c>
      <c r="CM144" s="21">
        <f>EXP(-LN(2)/2)*CM143+(1-EXP(-LN(2)/2))/(LN(2)/2)*CG144*CJ144*VLOOKUP('Données projet'!$B$12,Paramètres!$A$1:$I$89,3,0)*0.475*44/12</f>
        <v>2.9867341657052572E-11</v>
      </c>
      <c r="CN144" s="22">
        <f t="shared" si="120"/>
        <v>11.517633454164791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925.00000000000034</v>
      </c>
      <c r="CU144" s="17">
        <f>CT144*VLOOKUP('Données projet'!$B$13,Paramètres!$A$1:$I$89,3,0)*VLOOKUP('Données projet'!$B$13,Paramètres!$A$1:$I$89,5,0)</f>
        <v>408.85000000000014</v>
      </c>
      <c r="CV144" s="13">
        <f t="shared" si="149"/>
        <v>93.568575358321141</v>
      </c>
      <c r="CW144" s="20">
        <f t="shared" si="121"/>
        <v>875.04568541574281</v>
      </c>
      <c r="CX144" s="59">
        <f t="shared" si="122"/>
        <v>1168.3790187490761</v>
      </c>
      <c r="CY144" s="59">
        <f ca="1">AVERAGE(OFFSET($CX$3,0,0,'Données projet'!$E$13+1,1))-AVERAGE(OFFSET($H$3,0,0,'Données projet'!$E$13+1,1))</f>
        <v>500.13646131618248</v>
      </c>
      <c r="CZ144" s="59">
        <f t="shared" si="150"/>
        <v>417.58036817539306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20.432865479551026</v>
      </c>
      <c r="DG144" s="21">
        <f>EXP(-LN(2)/25)*DG143+(1-EXP(-LN(2)/25))/(LN(2)/25)*Calculateur!DB144*Calculateur!DD144*VLOOKUP('Données projet'!$B$13,Paramètres!$A$1:$I$89,3,0)*0.475*44/12</f>
        <v>5.4044472297245898</v>
      </c>
      <c r="DH144" s="21">
        <f>EXP(-LN(2)/2)*DH143+(1-EXP(-LN(2)/2))/(LN(2)/2)*DB144*DE144*VLOOKUP('Données projet'!$B$13,Paramètres!$A$1:$I$89,3,0)*0.475*44/12</f>
        <v>1.6151982959685933E-9</v>
      </c>
      <c r="DI144" s="22">
        <f t="shared" si="123"/>
        <v>25.837312710890814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268.00000000000011</v>
      </c>
      <c r="O145" s="13">
        <f>N145*VLOOKUP('Données projet'!$B$9,Paramètres!$A$1:$I$89,3,0)*VLOOKUP('Données projet'!$B$9,Paramètres!$A$1:$I$89,5,0)</f>
        <v>242.48640000000009</v>
      </c>
      <c r="P145" s="13">
        <f t="shared" si="141"/>
        <v>58.974170235372476</v>
      </c>
      <c r="Q145" s="20">
        <f t="shared" si="108"/>
        <v>525.04382649327385</v>
      </c>
      <c r="R145" s="59">
        <f t="shared" si="109"/>
        <v>818.37715982660711</v>
      </c>
      <c r="S145" s="59">
        <f ca="1">AVERAGE(OFFSET($R$3,0,0,'Données projet'!$E$9+1,1))-AVERAGE(OFFSET($H$3,0,0,'Données projet'!$E$9+1,1))</f>
        <v>371.7282125501186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37.738545284553751</v>
      </c>
      <c r="AA145" s="21">
        <f>EXP(-LN(2)/25)*AA144+(1-EXP(-LN(2)/25))/(LN(2)/25)*Calculateur!V145*Calculateur!X145*VLOOKUP('Données projet'!$B$9,Paramètres!$A$1:$I$89,3,0)*0.475*44/12</f>
        <v>1.3439343797950998</v>
      </c>
      <c r="AB145" s="21">
        <f>EXP(-LN(2)/2)*AB144+(1-EXP(-LN(2)/2))/(LN(2)/2)*V145*Y145*VLOOKUP('Données projet'!$B$9,Paramètres!$A$1:$I$89,3,0)*0.475*44/12</f>
        <v>5.2300475130391023E-4</v>
      </c>
      <c r="AC145" s="22">
        <f t="shared" si="111"/>
        <v>39.083002669100154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305.00000000000017</v>
      </c>
      <c r="AJ145" s="13">
        <f>AI145*VLOOKUP('Données projet'!$B$10,Paramètres!$A$1:$I$89,3,0)*VLOOKUP('Données projet'!$B$10,Paramètres!$A$1:$I$89,5,0)</f>
        <v>204.59400000000011</v>
      </c>
      <c r="AK145" s="13">
        <f t="shared" si="143"/>
        <v>50.75245156043249</v>
      </c>
      <c r="AL145" s="20">
        <f t="shared" si="112"/>
        <v>444.72840313442015</v>
      </c>
      <c r="AM145" s="59">
        <f t="shared" si="113"/>
        <v>738.06173646775346</v>
      </c>
      <c r="AN145" s="59">
        <f ca="1">AVERAGE(OFFSET($AM$3,0,0,'Données projet'!$E$10+1,1))-AVERAGE(OFFSET($H$3,0,0,'Données projet'!$E$10+1,1))</f>
        <v>269.67260882504996</v>
      </c>
      <c r="AO145" s="59">
        <f t="shared" si="144"/>
        <v>272.13858200810074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8.5940167342810483</v>
      </c>
      <c r="AV145" s="21">
        <f>EXP(-LN(2)/25)*AV144+(1-EXP(-LN(2)/25))/(LN(2)/25)*Calculateur!AQ145*Calculateur!AS145*VLOOKUP('Données projet'!$B$10,Paramètres!$A$1:$I$89,3,0)*0.475*44/12</f>
        <v>0.29918120592171932</v>
      </c>
      <c r="AW145" s="21">
        <f>EXP(-LN(2)/2)*AW144+(1-EXP(-LN(2)/2))/(LN(2)/2)*AQ145*AT145*VLOOKUP('Données projet'!$B$10,Paramètres!$A$1:$I$89,3,0)*0.475*44/12</f>
        <v>1.287735048714069E-11</v>
      </c>
      <c r="AX145" s="21">
        <f t="shared" si="114"/>
        <v>8.8931979402156447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453.99999999999977</v>
      </c>
      <c r="BE145" s="13">
        <f>BD145*VLOOKUP('Données projet'!$B$11,Paramètres!$A$1:$I$89,3,0)*VLOOKUP('Données projet'!$B$11,Paramètres!$A$1:$I$89,5,0)</f>
        <v>253.78599999999986</v>
      </c>
      <c r="BF145" s="13">
        <f t="shared" si="145"/>
        <v>61.395945216950906</v>
      </c>
      <c r="BG145" s="20">
        <f t="shared" si="115"/>
        <v>548.94188791952263</v>
      </c>
      <c r="BH145" s="59">
        <f t="shared" si="116"/>
        <v>842.275221252856</v>
      </c>
      <c r="BI145" s="59">
        <f ca="1">AVERAGE(OFFSET($BH$3,0,0,'Données projet'!$E$11+1,1))-AVERAGE(OFFSET($H$3,0,0,'Données projet'!$E$11+1,1))</f>
        <v>330.33728077846268</v>
      </c>
      <c r="BJ145" s="59">
        <f t="shared" si="146"/>
        <v>358.38872754175208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11.80209223549023</v>
      </c>
      <c r="BQ145" s="21">
        <f>EXP(-LN(2)/25)*BQ144+(1-EXP(-LN(2)/25))/(LN(2)/25)*Calculateur!BL145*Calculateur!BN145*VLOOKUP('Données projet'!$B$11,Paramètres!$A$1:$I$89,3,0)*0.475*44/12</f>
        <v>3.3812023722240725</v>
      </c>
      <c r="BR145" s="21">
        <f>EXP(-LN(2)/2)*BR144+(1-EXP(-LN(2)/2))/(LN(2)/2)*BL145*BO145*VLOOKUP('Données projet'!$B$11,Paramètres!$A$1:$I$89,3,0)*0.475*44/12</f>
        <v>2.3238329781140965E-11</v>
      </c>
      <c r="BS145" s="22">
        <f t="shared" si="117"/>
        <v>15.18329460773754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290.99999999999994</v>
      </c>
      <c r="BZ145" s="13">
        <f>BY145*VLOOKUP('Données projet'!$B$12,Paramètres!$A$1:$I$89,3,0)*VLOOKUP('Données projet'!$B$12,Paramètres!$A$1:$I$89,5,0)</f>
        <v>276.91559999999993</v>
      </c>
      <c r="CA145" s="13">
        <f t="shared" si="147"/>
        <v>66.314766879144742</v>
      </c>
      <c r="CB145" s="20">
        <f t="shared" si="118"/>
        <v>597.79288898117682</v>
      </c>
      <c r="CC145" s="59">
        <f t="shared" si="119"/>
        <v>891.12622231451019</v>
      </c>
      <c r="CD145" s="59">
        <f ca="1">AVERAGE(OFFSET($CC$3,0,0,'Données projet'!$E$12+1,1))-AVERAGE(OFFSET($H$3,0,0,'Données projet'!$E$12+1,1))</f>
        <v>367.39143258674738</v>
      </c>
      <c r="CE145" s="59">
        <f t="shared" si="148"/>
        <v>376.02790658970292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10.917026903629155</v>
      </c>
      <c r="CL145" s="21">
        <f>EXP(-LN(2)/25)*CL144+(1-EXP(-LN(2)/25))/(LN(2)/25)*Calculateur!CG145*Calculateur!CI145*VLOOKUP('Données projet'!$B$12,Paramètres!$A$1:$I$89,3,0)*0.475*44/12</f>
        <v>0.37179583858133303</v>
      </c>
      <c r="CM145" s="21">
        <f>EXP(-LN(2)/2)*CM144+(1-EXP(-LN(2)/2))/(LN(2)/2)*CG145*CJ145*VLOOKUP('Données projet'!$B$12,Paramètres!$A$1:$I$89,3,0)*0.475*44/12</f>
        <v>2.1119399821717329E-11</v>
      </c>
      <c r="CN145" s="22">
        <f t="shared" si="120"/>
        <v>11.288822742231607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925.00000000000034</v>
      </c>
      <c r="CU145" s="17">
        <f>CT145*VLOOKUP('Données projet'!$B$13,Paramètres!$A$1:$I$89,3,0)*VLOOKUP('Données projet'!$B$13,Paramètres!$A$1:$I$89,5,0)</f>
        <v>408.85000000000014</v>
      </c>
      <c r="CV145" s="13">
        <f t="shared" si="149"/>
        <v>93.568575358321141</v>
      </c>
      <c r="CW145" s="20">
        <f t="shared" si="121"/>
        <v>875.04568541574281</v>
      </c>
      <c r="CX145" s="59">
        <f t="shared" si="122"/>
        <v>1168.3790187490761</v>
      </c>
      <c r="CY145" s="59">
        <f ca="1">AVERAGE(OFFSET($CX$3,0,0,'Données projet'!$E$13+1,1))-AVERAGE(OFFSET($H$3,0,0,'Données projet'!$E$13+1,1))</f>
        <v>500.13646131618248</v>
      </c>
      <c r="CZ145" s="59">
        <f t="shared" si="150"/>
        <v>417.58036817539306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20.032189450314373</v>
      </c>
      <c r="DG145" s="21">
        <f>EXP(-LN(2)/25)*DG144+(1-EXP(-LN(2)/25))/(LN(2)/25)*Calculateur!DB145*Calculateur!DD145*VLOOKUP('Données projet'!$B$13,Paramètres!$A$1:$I$89,3,0)*0.475*44/12</f>
        <v>5.2566623360202431</v>
      </c>
      <c r="DH145" s="21">
        <f>EXP(-LN(2)/2)*DH144+(1-EXP(-LN(2)/2))/(LN(2)/2)*DB145*DE145*VLOOKUP('Données projet'!$B$13,Paramètres!$A$1:$I$89,3,0)*0.475*44/12</f>
        <v>1.1421176680403485E-9</v>
      </c>
      <c r="DI145" s="22">
        <f t="shared" si="123"/>
        <v>25.288851787476737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268.00000000000011</v>
      </c>
      <c r="O146" s="13">
        <f>N146*VLOOKUP('Données projet'!$B$9,Paramètres!$A$1:$I$89,3,0)*VLOOKUP('Données projet'!$B$9,Paramètres!$A$1:$I$89,5,0)</f>
        <v>242.48640000000009</v>
      </c>
      <c r="P146" s="13">
        <f t="shared" si="141"/>
        <v>58.974170235372476</v>
      </c>
      <c r="Q146" s="20">
        <f t="shared" si="108"/>
        <v>525.04382649327385</v>
      </c>
      <c r="R146" s="59">
        <f t="shared" si="109"/>
        <v>818.37715982660711</v>
      </c>
      <c r="S146" s="59">
        <f ca="1">AVERAGE(OFFSET($R$3,0,0,'Données projet'!$E$9+1,1))-AVERAGE(OFFSET($H$3,0,0,'Données projet'!$E$9+1,1))</f>
        <v>371.7282125501186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36.998515429763415</v>
      </c>
      <c r="AA146" s="21">
        <f>EXP(-LN(2)/25)*AA145+(1-EXP(-LN(2)/25))/(LN(2)/25)*Calculateur!V146*Calculateur!X146*VLOOKUP('Données projet'!$B$9,Paramètres!$A$1:$I$89,3,0)*0.475*44/12</f>
        <v>1.3071844235051653</v>
      </c>
      <c r="AB146" s="21">
        <f>EXP(-LN(2)/2)*AB145+(1-EXP(-LN(2)/2))/(LN(2)/2)*V146*Y146*VLOOKUP('Données projet'!$B$9,Paramètres!$A$1:$I$89,3,0)*0.475*44/12</f>
        <v>3.6982020623977876E-4</v>
      </c>
      <c r="AC146" s="22">
        <f t="shared" si="111"/>
        <v>38.306069673474816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305.00000000000017</v>
      </c>
      <c r="AJ146" s="13">
        <f>AI146*VLOOKUP('Données projet'!$B$10,Paramètres!$A$1:$I$89,3,0)*VLOOKUP('Données projet'!$B$10,Paramètres!$A$1:$I$89,5,0)</f>
        <v>204.59400000000011</v>
      </c>
      <c r="AK146" s="13">
        <f t="shared" si="143"/>
        <v>50.75245156043249</v>
      </c>
      <c r="AL146" s="20">
        <f t="shared" si="112"/>
        <v>444.72840313442015</v>
      </c>
      <c r="AM146" s="59">
        <f t="shared" si="113"/>
        <v>738.06173646775346</v>
      </c>
      <c r="AN146" s="59">
        <f ca="1">AVERAGE(OFFSET($AM$3,0,0,'Données projet'!$E$10+1,1))-AVERAGE(OFFSET($H$3,0,0,'Données projet'!$E$10+1,1))</f>
        <v>269.67260882504996</v>
      </c>
      <c r="AO146" s="59">
        <f t="shared" si="144"/>
        <v>272.13858200810074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8.425493307954417</v>
      </c>
      <c r="AV146" s="21">
        <f>EXP(-LN(2)/25)*AV145+(1-EXP(-LN(2)/25))/(LN(2)/25)*Calculateur!AQ146*Calculateur!AS146*VLOOKUP('Données projet'!$B$10,Paramètres!$A$1:$I$89,3,0)*0.475*44/12</f>
        <v>0.29100008011253409</v>
      </c>
      <c r="AW146" s="21">
        <f>EXP(-LN(2)/2)*AW145+(1-EXP(-LN(2)/2))/(LN(2)/2)*AQ146*AT146*VLOOKUP('Données projet'!$B$10,Paramètres!$A$1:$I$89,3,0)*0.475*44/12</f>
        <v>9.1056618531730726E-12</v>
      </c>
      <c r="AX146" s="21">
        <f t="shared" si="114"/>
        <v>8.7164933880760564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453.99999999999977</v>
      </c>
      <c r="BE146" s="13">
        <f>BD146*VLOOKUP('Données projet'!$B$11,Paramètres!$A$1:$I$89,3,0)*VLOOKUP('Données projet'!$B$11,Paramètres!$A$1:$I$89,5,0)</f>
        <v>253.78599999999986</v>
      </c>
      <c r="BF146" s="13">
        <f t="shared" si="145"/>
        <v>61.395945216950906</v>
      </c>
      <c r="BG146" s="20">
        <f t="shared" si="115"/>
        <v>548.94188791952263</v>
      </c>
      <c r="BH146" s="59">
        <f t="shared" si="116"/>
        <v>842.275221252856</v>
      </c>
      <c r="BI146" s="59">
        <f ca="1">AVERAGE(OFFSET($BH$3,0,0,'Données projet'!$E$11+1,1))-AVERAGE(OFFSET($H$3,0,0,'Données projet'!$E$11+1,1))</f>
        <v>330.33728077846268</v>
      </c>
      <c r="BJ146" s="59">
        <f t="shared" si="146"/>
        <v>358.38872754175208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11.570660405317732</v>
      </c>
      <c r="BQ146" s="21">
        <f>EXP(-LN(2)/25)*BQ145+(1-EXP(-LN(2)/25))/(LN(2)/25)*Calculateur!BL146*Calculateur!BN146*VLOOKUP('Données projet'!$B$11,Paramètres!$A$1:$I$89,3,0)*0.475*44/12</f>
        <v>3.2887432155459004</v>
      </c>
      <c r="BR146" s="21">
        <f>EXP(-LN(2)/2)*BR145+(1-EXP(-LN(2)/2))/(LN(2)/2)*BL146*BO146*VLOOKUP('Données projet'!$B$11,Paramètres!$A$1:$I$89,3,0)*0.475*44/12</f>
        <v>1.6431980571694074E-11</v>
      </c>
      <c r="BS146" s="22">
        <f t="shared" si="117"/>
        <v>14.859403620880062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290.99999999999994</v>
      </c>
      <c r="BZ146" s="13">
        <f>BY146*VLOOKUP('Données projet'!$B$12,Paramètres!$A$1:$I$89,3,0)*VLOOKUP('Données projet'!$B$12,Paramètres!$A$1:$I$89,5,0)</f>
        <v>276.91559999999993</v>
      </c>
      <c r="CA146" s="13">
        <f t="shared" si="147"/>
        <v>66.314766879144742</v>
      </c>
      <c r="CB146" s="20">
        <f t="shared" si="118"/>
        <v>597.79288898117682</v>
      </c>
      <c r="CC146" s="59">
        <f t="shared" si="119"/>
        <v>891.12622231451019</v>
      </c>
      <c r="CD146" s="59">
        <f ca="1">AVERAGE(OFFSET($CC$3,0,0,'Données projet'!$E$12+1,1))-AVERAGE(OFFSET($H$3,0,0,'Données projet'!$E$12+1,1))</f>
        <v>367.39143258674738</v>
      </c>
      <c r="CE146" s="59">
        <f t="shared" si="148"/>
        <v>376.02790658970292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10.702950664777903</v>
      </c>
      <c r="CL146" s="21">
        <f>EXP(-LN(2)/25)*CL145+(1-EXP(-LN(2)/25))/(LN(2)/25)*Calculateur!CG146*Calculateur!CI146*VLOOKUP('Données projet'!$B$12,Paramètres!$A$1:$I$89,3,0)*0.475*44/12</f>
        <v>0.36162906182343307</v>
      </c>
      <c r="CM146" s="21">
        <f>EXP(-LN(2)/2)*CM145+(1-EXP(-LN(2)/2))/(LN(2)/2)*CG146*CJ146*VLOOKUP('Données projet'!$B$12,Paramètres!$A$1:$I$89,3,0)*0.475*44/12</f>
        <v>1.4933670828526286E-11</v>
      </c>
      <c r="CN146" s="22">
        <f t="shared" si="120"/>
        <v>11.06457972661627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925.00000000000034</v>
      </c>
      <c r="CU146" s="17">
        <f>CT146*VLOOKUP('Données projet'!$B$13,Paramètres!$A$1:$I$89,3,0)*VLOOKUP('Données projet'!$B$13,Paramètres!$A$1:$I$89,5,0)</f>
        <v>408.85000000000014</v>
      </c>
      <c r="CV146" s="13">
        <f t="shared" si="149"/>
        <v>93.568575358321141</v>
      </c>
      <c r="CW146" s="20">
        <f t="shared" si="121"/>
        <v>875.04568541574281</v>
      </c>
      <c r="CX146" s="59">
        <f t="shared" si="122"/>
        <v>1168.3790187490761</v>
      </c>
      <c r="CY146" s="59">
        <f ca="1">AVERAGE(OFFSET($CX$3,0,0,'Données projet'!$E$13+1,1))-AVERAGE(OFFSET($H$3,0,0,'Données projet'!$E$13+1,1))</f>
        <v>500.13646131618248</v>
      </c>
      <c r="CZ146" s="59">
        <f t="shared" si="150"/>
        <v>417.58036817539306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19.639370433622805</v>
      </c>
      <c r="DG146" s="21">
        <f>EXP(-LN(2)/25)*DG145+(1-EXP(-LN(2)/25))/(LN(2)/25)*Calculateur!DB146*Calculateur!DD146*VLOOKUP('Données projet'!$B$13,Paramètres!$A$1:$I$89,3,0)*0.475*44/12</f>
        <v>5.1129186280059118</v>
      </c>
      <c r="DH146" s="21">
        <f>EXP(-LN(2)/2)*DH145+(1-EXP(-LN(2)/2))/(LN(2)/2)*DB146*DE146*VLOOKUP('Données projet'!$B$13,Paramètres!$A$1:$I$89,3,0)*0.475*44/12</f>
        <v>8.0759914798429663E-10</v>
      </c>
      <c r="DI146" s="22">
        <f t="shared" si="123"/>
        <v>24.752289062436315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268.00000000000011</v>
      </c>
      <c r="O147" s="13">
        <f>N147*VLOOKUP('Données projet'!$B$9,Paramètres!$A$1:$I$89,3,0)*VLOOKUP('Données projet'!$B$9,Paramètres!$A$1:$I$89,5,0)</f>
        <v>242.48640000000009</v>
      </c>
      <c r="P147" s="13">
        <f t="shared" si="141"/>
        <v>58.974170235372476</v>
      </c>
      <c r="Q147" s="20">
        <f t="shared" si="108"/>
        <v>525.04382649327385</v>
      </c>
      <c r="R147" s="59">
        <f t="shared" si="109"/>
        <v>818.37715982660711</v>
      </c>
      <c r="S147" s="59">
        <f ca="1">AVERAGE(OFFSET($R$3,0,0,'Données projet'!$E$9+1,1))-AVERAGE(OFFSET($H$3,0,0,'Données projet'!$E$9+1,1))</f>
        <v>371.7282125501186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36.272997109051872</v>
      </c>
      <c r="AA147" s="21">
        <f>EXP(-LN(2)/25)*AA146+(1-EXP(-LN(2)/25))/(LN(2)/25)*Calculateur!V147*Calculateur!X147*VLOOKUP('Données projet'!$B$9,Paramètres!$A$1:$I$89,3,0)*0.475*44/12</f>
        <v>1.2714393967025752</v>
      </c>
      <c r="AB147" s="21">
        <f>EXP(-LN(2)/2)*AB146+(1-EXP(-LN(2)/2))/(LN(2)/2)*V147*Y147*VLOOKUP('Données projet'!$B$9,Paramètres!$A$1:$I$89,3,0)*0.475*44/12</f>
        <v>2.6150237565195512E-4</v>
      </c>
      <c r="AC147" s="22">
        <f t="shared" si="111"/>
        <v>37.544698008130098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305.00000000000017</v>
      </c>
      <c r="AJ147" s="13">
        <f>AI147*VLOOKUP('Données projet'!$B$10,Paramètres!$A$1:$I$89,3,0)*VLOOKUP('Données projet'!$B$10,Paramètres!$A$1:$I$89,5,0)</f>
        <v>204.59400000000011</v>
      </c>
      <c r="AK147" s="13">
        <f t="shared" si="143"/>
        <v>50.75245156043249</v>
      </c>
      <c r="AL147" s="20">
        <f t="shared" si="112"/>
        <v>444.72840313442015</v>
      </c>
      <c r="AM147" s="59">
        <f t="shared" si="113"/>
        <v>738.06173646775346</v>
      </c>
      <c r="AN147" s="59">
        <f ca="1">AVERAGE(OFFSET($AM$3,0,0,'Données projet'!$E$10+1,1))-AVERAGE(OFFSET($H$3,0,0,'Données projet'!$E$10+1,1))</f>
        <v>269.67260882504996</v>
      </c>
      <c r="AO147" s="59">
        <f t="shared" si="144"/>
        <v>272.13858200810074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8.2602745232289099</v>
      </c>
      <c r="AV147" s="21">
        <f>EXP(-LN(2)/25)*AV146+(1-EXP(-LN(2)/25))/(LN(2)/25)*Calculateur!AQ147*Calculateur!AS147*VLOOKUP('Données projet'!$B$10,Paramètres!$A$1:$I$89,3,0)*0.475*44/12</f>
        <v>0.28304266761882774</v>
      </c>
      <c r="AW147" s="21">
        <f>EXP(-LN(2)/2)*AW146+(1-EXP(-LN(2)/2))/(LN(2)/2)*AQ147*AT147*VLOOKUP('Données projet'!$B$10,Paramètres!$A$1:$I$89,3,0)*0.475*44/12</f>
        <v>6.4386752435703448E-12</v>
      </c>
      <c r="AX147" s="21">
        <f t="shared" si="114"/>
        <v>8.543317190854177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453.99999999999977</v>
      </c>
      <c r="BE147" s="13">
        <f>BD147*VLOOKUP('Données projet'!$B$11,Paramètres!$A$1:$I$89,3,0)*VLOOKUP('Données projet'!$B$11,Paramètres!$A$1:$I$89,5,0)</f>
        <v>253.78599999999986</v>
      </c>
      <c r="BF147" s="13">
        <f t="shared" si="145"/>
        <v>61.395945216950906</v>
      </c>
      <c r="BG147" s="20">
        <f t="shared" si="115"/>
        <v>548.94188791952263</v>
      </c>
      <c r="BH147" s="59">
        <f t="shared" si="116"/>
        <v>842.275221252856</v>
      </c>
      <c r="BI147" s="59">
        <f ca="1">AVERAGE(OFFSET($BH$3,0,0,'Données projet'!$E$11+1,1))-AVERAGE(OFFSET($H$3,0,0,'Données projet'!$E$11+1,1))</f>
        <v>330.33728077846268</v>
      </c>
      <c r="BJ147" s="59">
        <f t="shared" si="146"/>
        <v>358.38872754175208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11.343766812175437</v>
      </c>
      <c r="BQ147" s="21">
        <f>EXP(-LN(2)/25)*BQ146+(1-EXP(-LN(2)/25))/(LN(2)/25)*Calculateur!BL147*Calculateur!BN147*VLOOKUP('Données projet'!$B$11,Paramètres!$A$1:$I$89,3,0)*0.475*44/12</f>
        <v>3.1988123593693087</v>
      </c>
      <c r="BR147" s="21">
        <f>EXP(-LN(2)/2)*BR146+(1-EXP(-LN(2)/2))/(LN(2)/2)*BL147*BO147*VLOOKUP('Données projet'!$B$11,Paramètres!$A$1:$I$89,3,0)*0.475*44/12</f>
        <v>1.1619164890570482E-11</v>
      </c>
      <c r="BS147" s="22">
        <f t="shared" si="117"/>
        <v>14.542579171556364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290.99999999999994</v>
      </c>
      <c r="BZ147" s="13">
        <f>BY147*VLOOKUP('Données projet'!$B$12,Paramètres!$A$1:$I$89,3,0)*VLOOKUP('Données projet'!$B$12,Paramètres!$A$1:$I$89,5,0)</f>
        <v>276.91559999999993</v>
      </c>
      <c r="CA147" s="13">
        <f t="shared" si="147"/>
        <v>66.314766879144742</v>
      </c>
      <c r="CB147" s="20">
        <f t="shared" si="118"/>
        <v>597.79288898117682</v>
      </c>
      <c r="CC147" s="59">
        <f t="shared" si="119"/>
        <v>891.12622231451019</v>
      </c>
      <c r="CD147" s="59">
        <f ca="1">AVERAGE(OFFSET($CC$3,0,0,'Données projet'!$E$12+1,1))-AVERAGE(OFFSET($H$3,0,0,'Données projet'!$E$12+1,1))</f>
        <v>367.39143258674738</v>
      </c>
      <c r="CE147" s="59">
        <f t="shared" si="148"/>
        <v>376.02790658970292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10.493072330396913</v>
      </c>
      <c r="CL147" s="21">
        <f>EXP(-LN(2)/25)*CL146+(1-EXP(-LN(2)/25))/(LN(2)/25)*Calculateur!CG147*Calculateur!CI147*VLOOKUP('Données projet'!$B$12,Paramètres!$A$1:$I$89,3,0)*0.475*44/12</f>
        <v>0.35174029611062546</v>
      </c>
      <c r="CM147" s="21">
        <f>EXP(-LN(2)/2)*CM146+(1-EXP(-LN(2)/2))/(LN(2)/2)*CG147*CJ147*VLOOKUP('Données projet'!$B$12,Paramètres!$A$1:$I$89,3,0)*0.475*44/12</f>
        <v>1.0559699910858665E-11</v>
      </c>
      <c r="CN147" s="22">
        <f t="shared" si="120"/>
        <v>10.844812626518099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925.00000000000034</v>
      </c>
      <c r="CU147" s="17">
        <f>CT147*VLOOKUP('Données projet'!$B$13,Paramètres!$A$1:$I$89,3,0)*VLOOKUP('Données projet'!$B$13,Paramètres!$A$1:$I$89,5,0)</f>
        <v>408.85000000000014</v>
      </c>
      <c r="CV147" s="13">
        <f t="shared" si="149"/>
        <v>93.568575358321141</v>
      </c>
      <c r="CW147" s="20">
        <f t="shared" si="121"/>
        <v>875.04568541574281</v>
      </c>
      <c r="CX147" s="59">
        <f t="shared" si="122"/>
        <v>1168.3790187490761</v>
      </c>
      <c r="CY147" s="59">
        <f ca="1">AVERAGE(OFFSET($CX$3,0,0,'Données projet'!$E$13+1,1))-AVERAGE(OFFSET($H$3,0,0,'Données projet'!$E$13+1,1))</f>
        <v>500.13646131618248</v>
      </c>
      <c r="CZ147" s="59">
        <f t="shared" si="150"/>
        <v>417.58036817539306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19.254254358252613</v>
      </c>
      <c r="DG147" s="21">
        <f>EXP(-LN(2)/25)*DG146+(1-EXP(-LN(2)/25))/(LN(2)/25)*Calculateur!DB147*Calculateur!DD147*VLOOKUP('Données projet'!$B$13,Paramètres!$A$1:$I$89,3,0)*0.475*44/12</f>
        <v>4.9731055992463853</v>
      </c>
      <c r="DH147" s="21">
        <f>EXP(-LN(2)/2)*DH146+(1-EXP(-LN(2)/2))/(LN(2)/2)*DB147*DE147*VLOOKUP('Données projet'!$B$13,Paramètres!$A$1:$I$89,3,0)*0.475*44/12</f>
        <v>5.7105883402017424E-10</v>
      </c>
      <c r="DI147" s="22">
        <f t="shared" si="123"/>
        <v>24.227359958070057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268.00000000000011</v>
      </c>
      <c r="O148" s="13">
        <f>N148*VLOOKUP('Données projet'!$B$9,Paramètres!$A$1:$I$89,3,0)*VLOOKUP('Données projet'!$B$9,Paramètres!$A$1:$I$89,5,0)</f>
        <v>242.48640000000009</v>
      </c>
      <c r="P148" s="13">
        <f t="shared" si="141"/>
        <v>58.974170235372476</v>
      </c>
      <c r="Q148" s="20">
        <f t="shared" si="108"/>
        <v>525.04382649327385</v>
      </c>
      <c r="R148" s="59">
        <f t="shared" si="109"/>
        <v>818.37715982660711</v>
      </c>
      <c r="S148" s="59">
        <f ca="1">AVERAGE(OFFSET($R$3,0,0,'Données projet'!$E$9+1,1))-AVERAGE(OFFSET($H$3,0,0,'Données projet'!$E$9+1,1))</f>
        <v>371.7282125501186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35.561705760087001</v>
      </c>
      <c r="AA148" s="21">
        <f>EXP(-LN(2)/25)*AA147+(1-EXP(-LN(2)/25))/(LN(2)/25)*Calculateur!V148*Calculateur!X148*VLOOKUP('Données projet'!$B$9,Paramètres!$A$1:$I$89,3,0)*0.475*44/12</f>
        <v>1.2366718195376514</v>
      </c>
      <c r="AB148" s="21">
        <f>EXP(-LN(2)/2)*AB147+(1-EXP(-LN(2)/2))/(LN(2)/2)*V148*Y148*VLOOKUP('Données projet'!$B$9,Paramètres!$A$1:$I$89,3,0)*0.475*44/12</f>
        <v>1.8491010311988938E-4</v>
      </c>
      <c r="AC148" s="22">
        <f t="shared" si="111"/>
        <v>36.798562489727779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305.00000000000017</v>
      </c>
      <c r="AJ148" s="13">
        <f>AI148*VLOOKUP('Données projet'!$B$10,Paramètres!$A$1:$I$89,3,0)*VLOOKUP('Données projet'!$B$10,Paramètres!$A$1:$I$89,5,0)</f>
        <v>204.59400000000011</v>
      </c>
      <c r="AK148" s="13">
        <f t="shared" si="143"/>
        <v>50.75245156043249</v>
      </c>
      <c r="AL148" s="20">
        <f t="shared" si="112"/>
        <v>444.72840313442015</v>
      </c>
      <c r="AM148" s="59">
        <f t="shared" si="113"/>
        <v>738.06173646775346</v>
      </c>
      <c r="AN148" s="59">
        <f ca="1">AVERAGE(OFFSET($AM$3,0,0,'Données projet'!$E$10+1,1))-AVERAGE(OFFSET($H$3,0,0,'Données projet'!$E$10+1,1))</f>
        <v>269.67260882504996</v>
      </c>
      <c r="AO148" s="59">
        <f t="shared" si="144"/>
        <v>272.13858200810074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8.0982955780983623</v>
      </c>
      <c r="AV148" s="21">
        <f>EXP(-LN(2)/25)*AV147+(1-EXP(-LN(2)/25))/(LN(2)/25)*Calculateur!AQ148*Calculateur!AS148*VLOOKUP('Données projet'!$B$10,Paramètres!$A$1:$I$89,3,0)*0.475*44/12</f>
        <v>0.27530285098822388</v>
      </c>
      <c r="AW148" s="21">
        <f>EXP(-LN(2)/2)*AW147+(1-EXP(-LN(2)/2))/(LN(2)/2)*AQ148*AT148*VLOOKUP('Données projet'!$B$10,Paramètres!$A$1:$I$89,3,0)*0.475*44/12</f>
        <v>4.5528309265865363E-12</v>
      </c>
      <c r="AX148" s="21">
        <f t="shared" si="114"/>
        <v>8.3735984290911389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453.99999999999977</v>
      </c>
      <c r="BE148" s="13">
        <f>BD148*VLOOKUP('Données projet'!$B$11,Paramètres!$A$1:$I$89,3,0)*VLOOKUP('Données projet'!$B$11,Paramètres!$A$1:$I$89,5,0)</f>
        <v>253.78599999999986</v>
      </c>
      <c r="BF148" s="13">
        <f t="shared" si="145"/>
        <v>61.395945216950906</v>
      </c>
      <c r="BG148" s="20">
        <f t="shared" si="115"/>
        <v>548.94188791952263</v>
      </c>
      <c r="BH148" s="59">
        <f t="shared" si="116"/>
        <v>842.275221252856</v>
      </c>
      <c r="BI148" s="59">
        <f ca="1">AVERAGE(OFFSET($BH$3,0,0,'Données projet'!$E$11+1,1))-AVERAGE(OFFSET($H$3,0,0,'Données projet'!$E$11+1,1))</f>
        <v>330.33728077846268</v>
      </c>
      <c r="BJ148" s="59">
        <f t="shared" si="146"/>
        <v>358.38872754175208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11.121322464003235</v>
      </c>
      <c r="BQ148" s="21">
        <f>EXP(-LN(2)/25)*BQ147+(1-EXP(-LN(2)/25))/(LN(2)/25)*Calculateur!BL148*Calculateur!BN148*VLOOKUP('Données projet'!$B$11,Paramètres!$A$1:$I$89,3,0)*0.475*44/12</f>
        <v>3.1113406671841242</v>
      </c>
      <c r="BR148" s="21">
        <f>EXP(-LN(2)/2)*BR147+(1-EXP(-LN(2)/2))/(LN(2)/2)*BL148*BO148*VLOOKUP('Données projet'!$B$11,Paramètres!$A$1:$I$89,3,0)*0.475*44/12</f>
        <v>8.2159902858470372E-12</v>
      </c>
      <c r="BS148" s="22">
        <f t="shared" si="117"/>
        <v>14.232663131195574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290.99999999999994</v>
      </c>
      <c r="BZ148" s="13">
        <f>BY148*VLOOKUP('Données projet'!$B$12,Paramètres!$A$1:$I$89,3,0)*VLOOKUP('Données projet'!$B$12,Paramètres!$A$1:$I$89,5,0)</f>
        <v>276.91559999999993</v>
      </c>
      <c r="CA148" s="13">
        <f t="shared" si="147"/>
        <v>66.314766879144742</v>
      </c>
      <c r="CB148" s="20">
        <f t="shared" si="118"/>
        <v>597.79288898117682</v>
      </c>
      <c r="CC148" s="59">
        <f t="shared" si="119"/>
        <v>891.12622231451019</v>
      </c>
      <c r="CD148" s="59">
        <f ca="1">AVERAGE(OFFSET($CC$3,0,0,'Données projet'!$E$12+1,1))-AVERAGE(OFFSET($H$3,0,0,'Données projet'!$E$12+1,1))</f>
        <v>367.39143258674738</v>
      </c>
      <c r="CE148" s="59">
        <f t="shared" si="148"/>
        <v>376.02790658970292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10.28730958213999</v>
      </c>
      <c r="CL148" s="21">
        <f>EXP(-LN(2)/25)*CL147+(1-EXP(-LN(2)/25))/(LN(2)/25)*Calculateur!CG148*Calculateur!CI148*VLOOKUP('Données projet'!$B$12,Paramètres!$A$1:$I$89,3,0)*0.475*44/12</f>
        <v>0.34212193921626216</v>
      </c>
      <c r="CM148" s="21">
        <f>EXP(-LN(2)/2)*CM147+(1-EXP(-LN(2)/2))/(LN(2)/2)*CG148*CJ148*VLOOKUP('Données projet'!$B$12,Paramètres!$A$1:$I$89,3,0)*0.475*44/12</f>
        <v>7.466835414263143E-12</v>
      </c>
      <c r="CN148" s="22">
        <f t="shared" si="120"/>
        <v>10.629431521363719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925.00000000000034</v>
      </c>
      <c r="CU148" s="17">
        <f>CT148*VLOOKUP('Données projet'!$B$13,Paramètres!$A$1:$I$89,3,0)*VLOOKUP('Données projet'!$B$13,Paramètres!$A$1:$I$89,5,0)</f>
        <v>408.85000000000014</v>
      </c>
      <c r="CV148" s="13">
        <f t="shared" si="149"/>
        <v>93.568575358321141</v>
      </c>
      <c r="CW148" s="20">
        <f t="shared" si="121"/>
        <v>875.04568541574281</v>
      </c>
      <c r="CX148" s="59">
        <f t="shared" si="122"/>
        <v>1168.3790187490761</v>
      </c>
      <c r="CY148" s="59">
        <f ca="1">AVERAGE(OFFSET($CX$3,0,0,'Données projet'!$E$13+1,1))-AVERAGE(OFFSET($H$3,0,0,'Données projet'!$E$13+1,1))</f>
        <v>500.13646131618248</v>
      </c>
      <c r="CZ148" s="59">
        <f t="shared" si="150"/>
        <v>417.58036817539306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18.876690174222819</v>
      </c>
      <c r="DG148" s="21">
        <f>EXP(-LN(2)/25)*DG147+(1-EXP(-LN(2)/25))/(LN(2)/25)*Calculateur!DB148*Calculateur!DD148*VLOOKUP('Données projet'!$B$13,Paramètres!$A$1:$I$89,3,0)*0.475*44/12</f>
        <v>4.8371157651107355</v>
      </c>
      <c r="DH148" s="21">
        <f>EXP(-LN(2)/2)*DH147+(1-EXP(-LN(2)/2))/(LN(2)/2)*DB148*DE148*VLOOKUP('Données projet'!$B$13,Paramètres!$A$1:$I$89,3,0)*0.475*44/12</f>
        <v>4.0379957399214831E-10</v>
      </c>
      <c r="DI148" s="22">
        <f t="shared" si="123"/>
        <v>23.713805939737352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268.00000000000011</v>
      </c>
      <c r="O149" s="13">
        <f>N149*VLOOKUP('Données projet'!$B$9,Paramètres!$A$1:$I$89,3,0)*VLOOKUP('Données projet'!$B$9,Paramètres!$A$1:$I$89,5,0)</f>
        <v>242.48640000000009</v>
      </c>
      <c r="P149" s="13">
        <f t="shared" si="141"/>
        <v>58.974170235372476</v>
      </c>
      <c r="Q149" s="20">
        <f t="shared" si="108"/>
        <v>525.04382649327385</v>
      </c>
      <c r="R149" s="59">
        <f t="shared" si="109"/>
        <v>818.37715982660711</v>
      </c>
      <c r="S149" s="59">
        <f ca="1">AVERAGE(OFFSET($R$3,0,0,'Données projet'!$E$9+1,1))-AVERAGE(OFFSET($H$3,0,0,'Données projet'!$E$9+1,1))</f>
        <v>371.7282125501186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34.864362400630448</v>
      </c>
      <c r="AA149" s="21">
        <f>EXP(-LN(2)/25)*AA148+(1-EXP(-LN(2)/25))/(LN(2)/25)*Calculateur!V149*Calculateur!X149*VLOOKUP('Données projet'!$B$9,Paramètres!$A$1:$I$89,3,0)*0.475*44/12</f>
        <v>1.2028549635986499</v>
      </c>
      <c r="AB149" s="21">
        <f>EXP(-LN(2)/2)*AB148+(1-EXP(-LN(2)/2))/(LN(2)/2)*V149*Y149*VLOOKUP('Données projet'!$B$9,Paramètres!$A$1:$I$89,3,0)*0.475*44/12</f>
        <v>1.3075118782597756E-4</v>
      </c>
      <c r="AC149" s="22">
        <f t="shared" si="111"/>
        <v>36.06734811541692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305.00000000000017</v>
      </c>
      <c r="AJ149" s="13">
        <f>AI149*VLOOKUP('Données projet'!$B$10,Paramètres!$A$1:$I$89,3,0)*VLOOKUP('Données projet'!$B$10,Paramètres!$A$1:$I$89,5,0)</f>
        <v>204.59400000000011</v>
      </c>
      <c r="AK149" s="13">
        <f t="shared" si="143"/>
        <v>50.75245156043249</v>
      </c>
      <c r="AL149" s="20">
        <f t="shared" si="112"/>
        <v>444.72840313442015</v>
      </c>
      <c r="AM149" s="59">
        <f t="shared" si="113"/>
        <v>738.06173646775346</v>
      </c>
      <c r="AN149" s="59">
        <f ca="1">AVERAGE(OFFSET($AM$3,0,0,'Données projet'!$E$10+1,1))-AVERAGE(OFFSET($H$3,0,0,'Données projet'!$E$10+1,1))</f>
        <v>269.67260882504996</v>
      </c>
      <c r="AO149" s="59">
        <f t="shared" si="144"/>
        <v>272.13858200810074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7.9394929412844233</v>
      </c>
      <c r="AV149" s="21">
        <f>EXP(-LN(2)/25)*AV148+(1-EXP(-LN(2)/25))/(LN(2)/25)*Calculateur!AQ149*Calculateur!AS149*VLOOKUP('Données projet'!$B$10,Paramètres!$A$1:$I$89,3,0)*0.475*44/12</f>
        <v>0.26777468005040317</v>
      </c>
      <c r="AW149" s="21">
        <f>EXP(-LN(2)/2)*AW148+(1-EXP(-LN(2)/2))/(LN(2)/2)*AQ149*AT149*VLOOKUP('Données projet'!$B$10,Paramètres!$A$1:$I$89,3,0)*0.475*44/12</f>
        <v>3.2193376217851724E-12</v>
      </c>
      <c r="AX149" s="21">
        <f t="shared" si="114"/>
        <v>8.2072676213380458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453.99999999999977</v>
      </c>
      <c r="BE149" s="13">
        <f>BD149*VLOOKUP('Données projet'!$B$11,Paramètres!$A$1:$I$89,3,0)*VLOOKUP('Données projet'!$B$11,Paramètres!$A$1:$I$89,5,0)</f>
        <v>253.78599999999986</v>
      </c>
      <c r="BF149" s="13">
        <f t="shared" si="145"/>
        <v>61.395945216950906</v>
      </c>
      <c r="BG149" s="20">
        <f t="shared" si="115"/>
        <v>548.94188791952263</v>
      </c>
      <c r="BH149" s="59">
        <f t="shared" si="116"/>
        <v>842.275221252856</v>
      </c>
      <c r="BI149" s="59">
        <f ca="1">AVERAGE(OFFSET($BH$3,0,0,'Données projet'!$E$11+1,1))-AVERAGE(OFFSET($H$3,0,0,'Données projet'!$E$11+1,1))</f>
        <v>330.33728077846268</v>
      </c>
      <c r="BJ149" s="59">
        <f t="shared" si="146"/>
        <v>358.38872754175208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10.903240113821036</v>
      </c>
      <c r="BQ149" s="21">
        <f>EXP(-LN(2)/25)*BQ148+(1-EXP(-LN(2)/25))/(LN(2)/25)*Calculateur!BL149*Calculateur!BN149*VLOOKUP('Données projet'!$B$11,Paramètres!$A$1:$I$89,3,0)*0.475*44/12</f>
        <v>3.0262608930216799</v>
      </c>
      <c r="BR149" s="21">
        <f>EXP(-LN(2)/2)*BR148+(1-EXP(-LN(2)/2))/(LN(2)/2)*BL149*BO149*VLOOKUP('Données projet'!$B$11,Paramètres!$A$1:$I$89,3,0)*0.475*44/12</f>
        <v>5.8095824452852411E-12</v>
      </c>
      <c r="BS149" s="22">
        <f t="shared" si="117"/>
        <v>13.929501006848527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290.99999999999994</v>
      </c>
      <c r="BZ149" s="13">
        <f>BY149*VLOOKUP('Données projet'!$B$12,Paramètres!$A$1:$I$89,3,0)*VLOOKUP('Données projet'!$B$12,Paramètres!$A$1:$I$89,5,0)</f>
        <v>276.91559999999993</v>
      </c>
      <c r="CA149" s="13">
        <f t="shared" si="147"/>
        <v>66.314766879144742</v>
      </c>
      <c r="CB149" s="20">
        <f t="shared" si="118"/>
        <v>597.79288898117682</v>
      </c>
      <c r="CC149" s="59">
        <f t="shared" si="119"/>
        <v>891.12622231451019</v>
      </c>
      <c r="CD149" s="59">
        <f ca="1">AVERAGE(OFFSET($CC$3,0,0,'Données projet'!$E$12+1,1))-AVERAGE(OFFSET($H$3,0,0,'Données projet'!$E$12+1,1))</f>
        <v>367.39143258674738</v>
      </c>
      <c r="CE149" s="59">
        <f t="shared" si="148"/>
        <v>376.02790658970292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10.0855817158735</v>
      </c>
      <c r="CL149" s="21">
        <f>EXP(-LN(2)/25)*CL148+(1-EXP(-LN(2)/25))/(LN(2)/25)*Calculateur!CG149*Calculateur!CI149*VLOOKUP('Données projet'!$B$12,Paramètres!$A$1:$I$89,3,0)*0.475*44/12</f>
        <v>0.33276659679698262</v>
      </c>
      <c r="CM149" s="21">
        <f>EXP(-LN(2)/2)*CM148+(1-EXP(-LN(2)/2))/(LN(2)/2)*CG149*CJ149*VLOOKUP('Données projet'!$B$12,Paramètres!$A$1:$I$89,3,0)*0.475*44/12</f>
        <v>5.2798499554293324E-12</v>
      </c>
      <c r="CN149" s="22">
        <f t="shared" si="120"/>
        <v>10.418348312675763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925.00000000000034</v>
      </c>
      <c r="CU149" s="17">
        <f>CT149*VLOOKUP('Données projet'!$B$13,Paramètres!$A$1:$I$89,3,0)*VLOOKUP('Données projet'!$B$13,Paramètres!$A$1:$I$89,5,0)</f>
        <v>408.85000000000014</v>
      </c>
      <c r="CV149" s="13">
        <f t="shared" si="149"/>
        <v>93.568575358321141</v>
      </c>
      <c r="CW149" s="20">
        <f t="shared" si="121"/>
        <v>875.04568541574281</v>
      </c>
      <c r="CX149" s="59">
        <f t="shared" si="122"/>
        <v>1168.3790187490761</v>
      </c>
      <c r="CY149" s="59">
        <f ca="1">AVERAGE(OFFSET($CX$3,0,0,'Données projet'!$E$13+1,1))-AVERAGE(OFFSET($H$3,0,0,'Données projet'!$E$13+1,1))</f>
        <v>500.13646131618248</v>
      </c>
      <c r="CZ149" s="59">
        <f t="shared" si="150"/>
        <v>417.58036817539306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18.506529793550438</v>
      </c>
      <c r="DG149" s="21">
        <f>EXP(-LN(2)/25)*DG148+(1-EXP(-LN(2)/25))/(LN(2)/25)*Calculateur!DB149*Calculateur!DD149*VLOOKUP('Données projet'!$B$13,Paramètres!$A$1:$I$89,3,0)*0.475*44/12</f>
        <v>4.7048445801409198</v>
      </c>
      <c r="DH149" s="21">
        <f>EXP(-LN(2)/2)*DH148+(1-EXP(-LN(2)/2))/(LN(2)/2)*DB149*DE149*VLOOKUP('Données projet'!$B$13,Paramètres!$A$1:$I$89,3,0)*0.475*44/12</f>
        <v>2.8552941701008712E-10</v>
      </c>
      <c r="DI149" s="22">
        <f t="shared" si="123"/>
        <v>23.211374373976884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268.00000000000011</v>
      </c>
      <c r="O150" s="13">
        <f>N150*VLOOKUP('Données projet'!$B$9,Paramètres!$A$1:$I$89,3,0)*VLOOKUP('Données projet'!$B$9,Paramètres!$A$1:$I$89,5,0)</f>
        <v>242.48640000000009</v>
      </c>
      <c r="P150" s="13">
        <f t="shared" si="141"/>
        <v>58.974170235372476</v>
      </c>
      <c r="Q150" s="20">
        <f t="shared" si="108"/>
        <v>525.04382649327385</v>
      </c>
      <c r="R150" s="59">
        <f t="shared" si="109"/>
        <v>818.37715982660711</v>
      </c>
      <c r="S150" s="59">
        <f ca="1">AVERAGE(OFFSET($R$3,0,0,'Données projet'!$E$9+1,1))-AVERAGE(OFFSET($H$3,0,0,'Données projet'!$E$9+1,1))</f>
        <v>371.7282125501186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34.180693519115387</v>
      </c>
      <c r="AA150" s="21">
        <f>EXP(-LN(2)/25)*AA149+(1-EXP(-LN(2)/25))/(LN(2)/25)*Calculateur!V150*Calculateur!X150*VLOOKUP('Données projet'!$B$9,Paramètres!$A$1:$I$89,3,0)*0.475*44/12</f>
        <v>1.1699628313636514</v>
      </c>
      <c r="AB150" s="21">
        <f>EXP(-LN(2)/2)*AB149+(1-EXP(-LN(2)/2))/(LN(2)/2)*V150*Y150*VLOOKUP('Données projet'!$B$9,Paramètres!$A$1:$I$89,3,0)*0.475*44/12</f>
        <v>9.245505155994469E-5</v>
      </c>
      <c r="AC150" s="22">
        <f t="shared" si="111"/>
        <v>35.350748805530593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305.00000000000017</v>
      </c>
      <c r="AJ150" s="13">
        <f>AI150*VLOOKUP('Données projet'!$B$10,Paramètres!$A$1:$I$89,3,0)*VLOOKUP('Données projet'!$B$10,Paramètres!$A$1:$I$89,5,0)</f>
        <v>204.59400000000011</v>
      </c>
      <c r="AK150" s="13">
        <f t="shared" si="143"/>
        <v>50.75245156043249</v>
      </c>
      <c r="AL150" s="20">
        <f t="shared" si="112"/>
        <v>444.72840313442015</v>
      </c>
      <c r="AM150" s="59">
        <f t="shared" si="113"/>
        <v>738.06173646775346</v>
      </c>
      <c r="AN150" s="59">
        <f ca="1">AVERAGE(OFFSET($AM$3,0,0,'Données projet'!$E$10+1,1))-AVERAGE(OFFSET($H$3,0,0,'Données projet'!$E$10+1,1))</f>
        <v>269.67260882504996</v>
      </c>
      <c r="AO150" s="59">
        <f t="shared" si="144"/>
        <v>272.13858200810074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7.7838043273183617</v>
      </c>
      <c r="AV150" s="21">
        <f>EXP(-LN(2)/25)*AV149+(1-EXP(-LN(2)/25))/(LN(2)/25)*Calculateur!AQ150*Calculateur!AS150*VLOOKUP('Données projet'!$B$10,Paramètres!$A$1:$I$89,3,0)*0.475*44/12</f>
        <v>0.2604523673427665</v>
      </c>
      <c r="AW150" s="21">
        <f>EXP(-LN(2)/2)*AW149+(1-EXP(-LN(2)/2))/(LN(2)/2)*AQ150*AT150*VLOOKUP('Données projet'!$B$10,Paramètres!$A$1:$I$89,3,0)*0.475*44/12</f>
        <v>2.2764154632932681E-12</v>
      </c>
      <c r="AX150" s="21">
        <f t="shared" si="114"/>
        <v>8.0442566946634049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453.99999999999977</v>
      </c>
      <c r="BE150" s="13">
        <f>BD150*VLOOKUP('Données projet'!$B$11,Paramètres!$A$1:$I$89,3,0)*VLOOKUP('Données projet'!$B$11,Paramètres!$A$1:$I$89,5,0)</f>
        <v>253.78599999999986</v>
      </c>
      <c r="BF150" s="13">
        <f t="shared" si="145"/>
        <v>61.395945216950906</v>
      </c>
      <c r="BG150" s="20">
        <f t="shared" si="115"/>
        <v>548.94188791952263</v>
      </c>
      <c r="BH150" s="59">
        <f t="shared" si="116"/>
        <v>842.275221252856</v>
      </c>
      <c r="BI150" s="59">
        <f ca="1">AVERAGE(OFFSET($BH$3,0,0,'Données projet'!$E$11+1,1))-AVERAGE(OFFSET($H$3,0,0,'Données projet'!$E$11+1,1))</f>
        <v>330.33728077846268</v>
      </c>
      <c r="BJ150" s="59">
        <f t="shared" si="146"/>
        <v>358.38872754175208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10.68943422550881</v>
      </c>
      <c r="BQ150" s="21">
        <f>EXP(-LN(2)/25)*BQ149+(1-EXP(-LN(2)/25))/(LN(2)/25)*Calculateur!BL150*Calculateur!BN150*VLOOKUP('Données projet'!$B$11,Paramètres!$A$1:$I$89,3,0)*0.475*44/12</f>
        <v>2.9435076297578582</v>
      </c>
      <c r="BR150" s="21">
        <f>EXP(-LN(2)/2)*BR149+(1-EXP(-LN(2)/2))/(LN(2)/2)*BL150*BO150*VLOOKUP('Données projet'!$B$11,Paramètres!$A$1:$I$89,3,0)*0.475*44/12</f>
        <v>4.1079951429235186E-12</v>
      </c>
      <c r="BS150" s="22">
        <f t="shared" si="117"/>
        <v>13.632941855270778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290.99999999999994</v>
      </c>
      <c r="BZ150" s="13">
        <f>BY150*VLOOKUP('Données projet'!$B$12,Paramètres!$A$1:$I$89,3,0)*VLOOKUP('Données projet'!$B$12,Paramètres!$A$1:$I$89,5,0)</f>
        <v>276.91559999999993</v>
      </c>
      <c r="CA150" s="13">
        <f t="shared" si="147"/>
        <v>66.314766879144742</v>
      </c>
      <c r="CB150" s="20">
        <f t="shared" si="118"/>
        <v>597.79288898117682</v>
      </c>
      <c r="CC150" s="59">
        <f t="shared" si="119"/>
        <v>891.12622231451019</v>
      </c>
      <c r="CD150" s="59">
        <f ca="1">AVERAGE(OFFSET($CC$3,0,0,'Données projet'!$E$12+1,1))-AVERAGE(OFFSET($H$3,0,0,'Données projet'!$E$12+1,1))</f>
        <v>367.39143258674738</v>
      </c>
      <c r="CE150" s="59">
        <f t="shared" si="148"/>
        <v>376.02790658970292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9.8878096100226482</v>
      </c>
      <c r="CL150" s="21">
        <f>EXP(-LN(2)/25)*CL149+(1-EXP(-LN(2)/25))/(LN(2)/25)*Calculateur!CG150*Calculateur!CI150*VLOOKUP('Données projet'!$B$12,Paramètres!$A$1:$I$89,3,0)*0.475*44/12</f>
        <v>0.32366707670813433</v>
      </c>
      <c r="CM150" s="21">
        <f>EXP(-LN(2)/2)*CM149+(1-EXP(-LN(2)/2))/(LN(2)/2)*CG150*CJ150*VLOOKUP('Données projet'!$B$12,Paramètres!$A$1:$I$89,3,0)*0.475*44/12</f>
        <v>3.7334177071315715E-12</v>
      </c>
      <c r="CN150" s="22">
        <f t="shared" si="120"/>
        <v>10.211476686734516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925.00000000000034</v>
      </c>
      <c r="CU150" s="17">
        <f>CT150*VLOOKUP('Données projet'!$B$13,Paramètres!$A$1:$I$89,3,0)*VLOOKUP('Données projet'!$B$13,Paramètres!$A$1:$I$89,5,0)</f>
        <v>408.85000000000014</v>
      </c>
      <c r="CV150" s="13">
        <f t="shared" si="149"/>
        <v>93.568575358321141</v>
      </c>
      <c r="CW150" s="20">
        <f t="shared" si="121"/>
        <v>875.04568541574281</v>
      </c>
      <c r="CX150" s="59">
        <f t="shared" si="122"/>
        <v>1168.3790187490761</v>
      </c>
      <c r="CY150" s="59">
        <f ca="1">AVERAGE(OFFSET($CX$3,0,0,'Données projet'!$E$13+1,1))-AVERAGE(OFFSET($H$3,0,0,'Données projet'!$E$13+1,1))</f>
        <v>500.13646131618248</v>
      </c>
      <c r="CZ150" s="59">
        <f t="shared" si="150"/>
        <v>417.58036817539306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18.143628032167502</v>
      </c>
      <c r="DG150" s="21">
        <f>EXP(-LN(2)/25)*DG149+(1-EXP(-LN(2)/25))/(LN(2)/25)*Calculateur!DB150*Calculateur!DD150*VLOOKUP('Données projet'!$B$13,Paramètres!$A$1:$I$89,3,0)*0.475*44/12</f>
        <v>4.576190357679943</v>
      </c>
      <c r="DH150" s="21">
        <f>EXP(-LN(2)/2)*DH149+(1-EXP(-LN(2)/2))/(LN(2)/2)*DB150*DE150*VLOOKUP('Données projet'!$B$13,Paramètres!$A$1:$I$89,3,0)*0.475*44/12</f>
        <v>2.0189978699607416E-10</v>
      </c>
      <c r="DI150" s="22">
        <f t="shared" si="123"/>
        <v>22.719818390049348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268.00000000000011</v>
      </c>
      <c r="O151" s="13">
        <f>N151*VLOOKUP('Données projet'!$B$9,Paramètres!$A$1:$I$89,3,0)*VLOOKUP('Données projet'!$B$9,Paramètres!$A$1:$I$89,5,0)</f>
        <v>242.48640000000009</v>
      </c>
      <c r="P151" s="13">
        <f t="shared" si="141"/>
        <v>58.974170235372476</v>
      </c>
      <c r="Q151" s="20">
        <f t="shared" si="108"/>
        <v>525.04382649327385</v>
      </c>
      <c r="R151" s="59">
        <f t="shared" si="109"/>
        <v>818.37715982660711</v>
      </c>
      <c r="S151" s="59">
        <f ca="1">AVERAGE(OFFSET($R$3,0,0,'Données projet'!$E$9+1,1))-AVERAGE(OFFSET($H$3,0,0,'Données projet'!$E$9+1,1))</f>
        <v>371.7282125501186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33.510430967369999</v>
      </c>
      <c r="AA151" s="21">
        <f>EXP(-LN(2)/25)*AA150+(1-EXP(-LN(2)/25))/(LN(2)/25)*Calculateur!V151*Calculateur!X151*VLOOKUP('Données projet'!$B$9,Paramètres!$A$1:$I$89,3,0)*0.475*44/12</f>
        <v>1.1379701362143411</v>
      </c>
      <c r="AB151" s="21">
        <f>EXP(-LN(2)/2)*AB150+(1-EXP(-LN(2)/2))/(LN(2)/2)*V151*Y151*VLOOKUP('Données projet'!$B$9,Paramètres!$A$1:$I$89,3,0)*0.475*44/12</f>
        <v>6.5375593912988779E-5</v>
      </c>
      <c r="AC151" s="22">
        <f t="shared" si="111"/>
        <v>34.648466479178254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305.00000000000017</v>
      </c>
      <c r="AJ151" s="13">
        <f>AI151*VLOOKUP('Données projet'!$B$10,Paramètres!$A$1:$I$89,3,0)*VLOOKUP('Données projet'!$B$10,Paramètres!$A$1:$I$89,5,0)</f>
        <v>204.59400000000011</v>
      </c>
      <c r="AK151" s="13">
        <f t="shared" si="143"/>
        <v>50.75245156043249</v>
      </c>
      <c r="AL151" s="20">
        <f t="shared" si="112"/>
        <v>444.72840313442015</v>
      </c>
      <c r="AM151" s="59">
        <f t="shared" si="113"/>
        <v>738.06173646775346</v>
      </c>
      <c r="AN151" s="59">
        <f ca="1">AVERAGE(OFFSET($AM$3,0,0,'Données projet'!$E$10+1,1))-AVERAGE(OFFSET($H$3,0,0,'Données projet'!$E$10+1,1))</f>
        <v>269.67260882504996</v>
      </c>
      <c r="AO151" s="59">
        <f t="shared" si="144"/>
        <v>272.13858200810074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7.6311686721114969</v>
      </c>
      <c r="AV151" s="21">
        <f>EXP(-LN(2)/25)*AV150+(1-EXP(-LN(2)/25))/(LN(2)/25)*Calculateur!AQ151*Calculateur!AS151*VLOOKUP('Données projet'!$B$10,Paramètres!$A$1:$I$89,3,0)*0.475*44/12</f>
        <v>0.25333028366118382</v>
      </c>
      <c r="AW151" s="21">
        <f>EXP(-LN(2)/2)*AW150+(1-EXP(-LN(2)/2))/(LN(2)/2)*AQ151*AT151*VLOOKUP('Données projet'!$B$10,Paramètres!$A$1:$I$89,3,0)*0.475*44/12</f>
        <v>1.6096688108925862E-12</v>
      </c>
      <c r="AX151" s="21">
        <f t="shared" si="114"/>
        <v>7.8844989557742897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453.99999999999977</v>
      </c>
      <c r="BE151" s="13">
        <f>BD151*VLOOKUP('Données projet'!$B$11,Paramètres!$A$1:$I$89,3,0)*VLOOKUP('Données projet'!$B$11,Paramètres!$A$1:$I$89,5,0)</f>
        <v>253.78599999999986</v>
      </c>
      <c r="BF151" s="13">
        <f t="shared" si="145"/>
        <v>61.395945216950906</v>
      </c>
      <c r="BG151" s="20">
        <f t="shared" si="115"/>
        <v>548.94188791952263</v>
      </c>
      <c r="BH151" s="59">
        <f t="shared" si="116"/>
        <v>842.275221252856</v>
      </c>
      <c r="BI151" s="59">
        <f ca="1">AVERAGE(OFFSET($BH$3,0,0,'Données projet'!$E$11+1,1))-AVERAGE(OFFSET($H$3,0,0,'Données projet'!$E$11+1,1))</f>
        <v>330.33728077846268</v>
      </c>
      <c r="BJ151" s="59">
        <f t="shared" si="146"/>
        <v>358.38872754175208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10.479820940257673</v>
      </c>
      <c r="BQ151" s="21">
        <f>EXP(-LN(2)/25)*BQ150+(1-EXP(-LN(2)/25))/(LN(2)/25)*Calculateur!BL151*Calculateur!BN151*VLOOKUP('Données projet'!$B$11,Paramètres!$A$1:$I$89,3,0)*0.475*44/12</f>
        <v>2.8630172588297906</v>
      </c>
      <c r="BR151" s="21">
        <f>EXP(-LN(2)/2)*BR150+(1-EXP(-LN(2)/2))/(LN(2)/2)*BL151*BO151*VLOOKUP('Données projet'!$B$11,Paramètres!$A$1:$I$89,3,0)*0.475*44/12</f>
        <v>2.9047912226426206E-12</v>
      </c>
      <c r="BS151" s="22">
        <f t="shared" si="117"/>
        <v>13.342838199090368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290.99999999999994</v>
      </c>
      <c r="BZ151" s="13">
        <f>BY151*VLOOKUP('Données projet'!$B$12,Paramètres!$A$1:$I$89,3,0)*VLOOKUP('Données projet'!$B$12,Paramètres!$A$1:$I$89,5,0)</f>
        <v>276.91559999999993</v>
      </c>
      <c r="CA151" s="13">
        <f t="shared" si="147"/>
        <v>66.314766879144742</v>
      </c>
      <c r="CB151" s="20">
        <f t="shared" si="118"/>
        <v>597.79288898117682</v>
      </c>
      <c r="CC151" s="59">
        <f t="shared" si="119"/>
        <v>891.12622231451019</v>
      </c>
      <c r="CD151" s="59">
        <f ca="1">AVERAGE(OFFSET($CC$3,0,0,'Données projet'!$E$12+1,1))-AVERAGE(OFFSET($H$3,0,0,'Données projet'!$E$12+1,1))</f>
        <v>367.39143258674738</v>
      </c>
      <c r="CE151" s="59">
        <f t="shared" si="148"/>
        <v>376.02790658970292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9.6939156945384575</v>
      </c>
      <c r="CL151" s="21">
        <f>EXP(-LN(2)/25)*CL150+(1-EXP(-LN(2)/25))/(LN(2)/25)*Calculateur!CG151*Calculateur!CI151*VLOOKUP('Données projet'!$B$12,Paramètres!$A$1:$I$89,3,0)*0.475*44/12</f>
        <v>0.31481638347463858</v>
      </c>
      <c r="CM151" s="21">
        <f>EXP(-LN(2)/2)*CM150+(1-EXP(-LN(2)/2))/(LN(2)/2)*CG151*CJ151*VLOOKUP('Données projet'!$B$12,Paramètres!$A$1:$I$89,3,0)*0.475*44/12</f>
        <v>2.6399249777146662E-12</v>
      </c>
      <c r="CN151" s="22">
        <f t="shared" si="120"/>
        <v>10.008732078015736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925.00000000000034</v>
      </c>
      <c r="CU151" s="17">
        <f>CT151*VLOOKUP('Données projet'!$B$13,Paramètres!$A$1:$I$89,3,0)*VLOOKUP('Données projet'!$B$13,Paramètres!$A$1:$I$89,5,0)</f>
        <v>408.85000000000014</v>
      </c>
      <c r="CV151" s="13">
        <f t="shared" si="149"/>
        <v>93.568575358321141</v>
      </c>
      <c r="CW151" s="20">
        <f t="shared" si="121"/>
        <v>875.04568541574281</v>
      </c>
      <c r="CX151" s="59">
        <f t="shared" si="122"/>
        <v>1168.3790187490761</v>
      </c>
      <c r="CY151" s="59">
        <f ca="1">AVERAGE(OFFSET($CX$3,0,0,'Données projet'!$E$13+1,1))-AVERAGE(OFFSET($H$3,0,0,'Données projet'!$E$13+1,1))</f>
        <v>500.13646131618248</v>
      </c>
      <c r="CZ151" s="59">
        <f t="shared" si="150"/>
        <v>417.58036817539306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17.787842552977068</v>
      </c>
      <c r="DG151" s="21">
        <f>EXP(-LN(2)/25)*DG150+(1-EXP(-LN(2)/25))/(LN(2)/25)*Calculateur!DB151*Calculateur!DD151*VLOOKUP('Données projet'!$B$13,Paramètres!$A$1:$I$89,3,0)*0.475*44/12</f>
        <v>4.4510541916977928</v>
      </c>
      <c r="DH151" s="21">
        <f>EXP(-LN(2)/2)*DH150+(1-EXP(-LN(2)/2))/(LN(2)/2)*DB151*DE151*VLOOKUP('Données projet'!$B$13,Paramètres!$A$1:$I$89,3,0)*0.475*44/12</f>
        <v>1.4276470850504356E-10</v>
      </c>
      <c r="DI151" s="22">
        <f t="shared" si="123"/>
        <v>22.238896744817627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268.00000000000011</v>
      </c>
      <c r="O152" s="13">
        <f>N152*VLOOKUP('Données projet'!$B$9,Paramètres!$A$1:$I$89,3,0)*VLOOKUP('Données projet'!$B$9,Paramètres!$A$1:$I$89,5,0)</f>
        <v>242.48640000000009</v>
      </c>
      <c r="P152" s="13">
        <f t="shared" si="141"/>
        <v>58.974170235372476</v>
      </c>
      <c r="Q152" s="20">
        <f t="shared" si="108"/>
        <v>525.04382649327385</v>
      </c>
      <c r="R152" s="59">
        <f t="shared" si="109"/>
        <v>818.37715982660711</v>
      </c>
      <c r="S152" s="59">
        <f ca="1">AVERAGE(OFFSET($R$3,0,0,'Données projet'!$E$9+1,1))-AVERAGE(OFFSET($H$3,0,0,'Données projet'!$E$9+1,1))</f>
        <v>371.7282125501186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32.853311855444545</v>
      </c>
      <c r="AA152" s="21">
        <f>EXP(-LN(2)/25)*AA151+(1-EXP(-LN(2)/25))/(LN(2)/25)*Calculateur!V152*Calculateur!X152*VLOOKUP('Données projet'!$B$9,Paramètres!$A$1:$I$89,3,0)*0.475*44/12</f>
        <v>1.1068522829963112</v>
      </c>
      <c r="AB152" s="21">
        <f>EXP(-LN(2)/2)*AB151+(1-EXP(-LN(2)/2))/(LN(2)/2)*V152*Y152*VLOOKUP('Données projet'!$B$9,Paramètres!$A$1:$I$89,3,0)*0.475*44/12</f>
        <v>4.6227525779972345E-5</v>
      </c>
      <c r="AC152" s="22">
        <f t="shared" si="111"/>
        <v>33.960210365966638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305.00000000000017</v>
      </c>
      <c r="AJ152" s="13">
        <f>AI152*VLOOKUP('Données projet'!$B$10,Paramètres!$A$1:$I$89,3,0)*VLOOKUP('Données projet'!$B$10,Paramètres!$A$1:$I$89,5,0)</f>
        <v>204.59400000000011</v>
      </c>
      <c r="AK152" s="13">
        <f t="shared" si="143"/>
        <v>50.75245156043249</v>
      </c>
      <c r="AL152" s="20">
        <f t="shared" si="112"/>
        <v>444.72840313442015</v>
      </c>
      <c r="AM152" s="59">
        <f t="shared" si="113"/>
        <v>738.06173646775346</v>
      </c>
      <c r="AN152" s="59">
        <f ca="1">AVERAGE(OFFSET($AM$3,0,0,'Données projet'!$E$10+1,1))-AVERAGE(OFFSET($H$3,0,0,'Données projet'!$E$10+1,1))</f>
        <v>269.67260882504996</v>
      </c>
      <c r="AO152" s="59">
        <f t="shared" si="144"/>
        <v>272.13858200810074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7.4815261090046814</v>
      </c>
      <c r="AV152" s="21">
        <f>EXP(-LN(2)/25)*AV151+(1-EXP(-LN(2)/25))/(LN(2)/25)*Calculateur!AQ152*Calculateur!AS152*VLOOKUP('Données projet'!$B$10,Paramètres!$A$1:$I$89,3,0)*0.475*44/12</f>
        <v>0.24640295373240811</v>
      </c>
      <c r="AW152" s="21">
        <f>EXP(-LN(2)/2)*AW151+(1-EXP(-LN(2)/2))/(LN(2)/2)*AQ152*AT152*VLOOKUP('Données projet'!$B$10,Paramètres!$A$1:$I$89,3,0)*0.475*44/12</f>
        <v>1.1382077316466341E-12</v>
      </c>
      <c r="AX152" s="21">
        <f t="shared" si="114"/>
        <v>7.7279290627382284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453.99999999999977</v>
      </c>
      <c r="BE152" s="13">
        <f>BD152*VLOOKUP('Données projet'!$B$11,Paramètres!$A$1:$I$89,3,0)*VLOOKUP('Données projet'!$B$11,Paramètres!$A$1:$I$89,5,0)</f>
        <v>253.78599999999986</v>
      </c>
      <c r="BF152" s="13">
        <f t="shared" si="145"/>
        <v>61.395945216950906</v>
      </c>
      <c r="BG152" s="20">
        <f t="shared" si="115"/>
        <v>548.94188791952263</v>
      </c>
      <c r="BH152" s="59">
        <f t="shared" si="116"/>
        <v>842.275221252856</v>
      </c>
      <c r="BI152" s="59">
        <f ca="1">AVERAGE(OFFSET($BH$3,0,0,'Données projet'!$E$11+1,1))-AVERAGE(OFFSET($H$3,0,0,'Données projet'!$E$11+1,1))</f>
        <v>330.33728077846268</v>
      </c>
      <c r="BJ152" s="59">
        <f t="shared" si="146"/>
        <v>358.38872754175208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10.27431804367883</v>
      </c>
      <c r="BQ152" s="21">
        <f>EXP(-LN(2)/25)*BQ151+(1-EXP(-LN(2)/25))/(LN(2)/25)*Calculateur!BL152*Calculateur!BN152*VLOOKUP('Données projet'!$B$11,Paramètres!$A$1:$I$89,3,0)*0.475*44/12</f>
        <v>2.7847279013275559</v>
      </c>
      <c r="BR152" s="21">
        <f>EXP(-LN(2)/2)*BR151+(1-EXP(-LN(2)/2))/(LN(2)/2)*BL152*BO152*VLOOKUP('Données projet'!$B$11,Paramètres!$A$1:$I$89,3,0)*0.475*44/12</f>
        <v>2.0539975714617593E-12</v>
      </c>
      <c r="BS152" s="22">
        <f t="shared" si="117"/>
        <v>13.059045945008439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290.99999999999994</v>
      </c>
      <c r="BZ152" s="13">
        <f>BY152*VLOOKUP('Données projet'!$B$12,Paramètres!$A$1:$I$89,3,0)*VLOOKUP('Données projet'!$B$12,Paramètres!$A$1:$I$89,5,0)</f>
        <v>276.91559999999993</v>
      </c>
      <c r="CA152" s="13">
        <f t="shared" si="147"/>
        <v>66.314766879144742</v>
      </c>
      <c r="CB152" s="20">
        <f t="shared" si="118"/>
        <v>597.79288898117682</v>
      </c>
      <c r="CC152" s="59">
        <f t="shared" si="119"/>
        <v>891.12622231451019</v>
      </c>
      <c r="CD152" s="59">
        <f ca="1">AVERAGE(OFFSET($CC$3,0,0,'Données projet'!$E$12+1,1))-AVERAGE(OFFSET($H$3,0,0,'Données projet'!$E$12+1,1))</f>
        <v>367.39143258674738</v>
      </c>
      <c r="CE152" s="59">
        <f t="shared" si="148"/>
        <v>376.02790658970292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9.5038239204733017</v>
      </c>
      <c r="CL152" s="21">
        <f>EXP(-LN(2)/25)*CL151+(1-EXP(-LN(2)/25))/(LN(2)/25)*Calculateur!CG152*Calculateur!CI152*VLOOKUP('Données projet'!$B$12,Paramètres!$A$1:$I$89,3,0)*0.475*44/12</f>
        <v>0.30620771291305049</v>
      </c>
      <c r="CM152" s="21">
        <f>EXP(-LN(2)/2)*CM151+(1-EXP(-LN(2)/2))/(LN(2)/2)*CG152*CJ152*VLOOKUP('Données projet'!$B$12,Paramètres!$A$1:$I$89,3,0)*0.475*44/12</f>
        <v>1.8667088535657858E-12</v>
      </c>
      <c r="CN152" s="22">
        <f t="shared" si="120"/>
        <v>9.8100316333882187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925.00000000000034</v>
      </c>
      <c r="CU152" s="17">
        <f>CT152*VLOOKUP('Données projet'!$B$13,Paramètres!$A$1:$I$89,3,0)*VLOOKUP('Données projet'!$B$13,Paramètres!$A$1:$I$89,5,0)</f>
        <v>408.85000000000014</v>
      </c>
      <c r="CV152" s="13">
        <f t="shared" si="149"/>
        <v>93.568575358321141</v>
      </c>
      <c r="CW152" s="20">
        <f t="shared" si="121"/>
        <v>875.04568541574281</v>
      </c>
      <c r="CX152" s="59">
        <f t="shared" si="122"/>
        <v>1168.3790187490761</v>
      </c>
      <c r="CY152" s="59">
        <f ca="1">AVERAGE(OFFSET($CX$3,0,0,'Données projet'!$E$13+1,1))-AVERAGE(OFFSET($H$3,0,0,'Données projet'!$E$13+1,1))</f>
        <v>500.13646131618248</v>
      </c>
      <c r="CZ152" s="59">
        <f t="shared" si="150"/>
        <v>417.58036817539306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17.439033810025844</v>
      </c>
      <c r="DG152" s="21">
        <f>EXP(-LN(2)/25)*DG151+(1-EXP(-LN(2)/25))/(LN(2)/25)*Calculateur!DB152*Calculateur!DD152*VLOOKUP('Données projet'!$B$13,Paramètres!$A$1:$I$89,3,0)*0.475*44/12</f>
        <v>4.3293398807550494</v>
      </c>
      <c r="DH152" s="21">
        <f>EXP(-LN(2)/2)*DH151+(1-EXP(-LN(2)/2))/(LN(2)/2)*DB152*DE152*VLOOKUP('Données projet'!$B$13,Paramètres!$A$1:$I$89,3,0)*0.475*44/12</f>
        <v>1.0094989349803708E-10</v>
      </c>
      <c r="DI152" s="22">
        <f t="shared" si="123"/>
        <v>21.768373690881845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268.00000000000011</v>
      </c>
      <c r="O153" s="13">
        <f>N153*VLOOKUP('Données projet'!$B$9,Paramètres!$A$1:$I$89,3,0)*VLOOKUP('Données projet'!$B$9,Paramètres!$A$1:$I$89,5,0)</f>
        <v>242.48640000000009</v>
      </c>
      <c r="P153" s="13">
        <f t="shared" si="141"/>
        <v>58.974170235372476</v>
      </c>
      <c r="Q153" s="20">
        <f t="shared" si="108"/>
        <v>525.04382649327385</v>
      </c>
      <c r="R153" s="59">
        <f t="shared" si="109"/>
        <v>818.37715982660711</v>
      </c>
      <c r="S153" s="59">
        <f ca="1">AVERAGE(OFFSET($R$3,0,0,'Données projet'!$E$9+1,1))-AVERAGE(OFFSET($H$3,0,0,'Données projet'!$E$9+1,1))</f>
        <v>371.7282125501186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32.209078448500868</v>
      </c>
      <c r="AA153" s="21">
        <f>EXP(-LN(2)/25)*AA152+(1-EXP(-LN(2)/25))/(LN(2)/25)*Calculateur!V153*Calculateur!X153*VLOOKUP('Données projet'!$B$9,Paramètres!$A$1:$I$89,3,0)*0.475*44/12</f>
        <v>1.0765853491109452</v>
      </c>
      <c r="AB153" s="21">
        <f>EXP(-LN(2)/2)*AB152+(1-EXP(-LN(2)/2))/(LN(2)/2)*V153*Y153*VLOOKUP('Données projet'!$B$9,Paramètres!$A$1:$I$89,3,0)*0.475*44/12</f>
        <v>3.268779695649439E-5</v>
      </c>
      <c r="AC153" s="22">
        <f t="shared" si="111"/>
        <v>33.285696485408771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305.00000000000017</v>
      </c>
      <c r="AJ153" s="13">
        <f>AI153*VLOOKUP('Données projet'!$B$10,Paramètres!$A$1:$I$89,3,0)*VLOOKUP('Données projet'!$B$10,Paramètres!$A$1:$I$89,5,0)</f>
        <v>204.59400000000011</v>
      </c>
      <c r="AK153" s="13">
        <f t="shared" si="143"/>
        <v>50.75245156043249</v>
      </c>
      <c r="AL153" s="20">
        <f t="shared" si="112"/>
        <v>444.72840313442015</v>
      </c>
      <c r="AM153" s="59">
        <f t="shared" si="113"/>
        <v>738.06173646775346</v>
      </c>
      <c r="AN153" s="59">
        <f ca="1">AVERAGE(OFFSET($AM$3,0,0,'Données projet'!$E$10+1,1))-AVERAGE(OFFSET($H$3,0,0,'Données projet'!$E$10+1,1))</f>
        <v>269.67260882504996</v>
      </c>
      <c r="AO153" s="59">
        <f t="shared" si="144"/>
        <v>272.13858200810074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7.3348179452874396</v>
      </c>
      <c r="AV153" s="21">
        <f>EXP(-LN(2)/25)*AV152+(1-EXP(-LN(2)/25))/(LN(2)/25)*Calculateur!AQ153*Calculateur!AS153*VLOOKUP('Données projet'!$B$10,Paramètres!$A$1:$I$89,3,0)*0.475*44/12</f>
        <v>0.23966505200482724</v>
      </c>
      <c r="AW153" s="21">
        <f>EXP(-LN(2)/2)*AW152+(1-EXP(-LN(2)/2))/(LN(2)/2)*AQ153*AT153*VLOOKUP('Données projet'!$B$10,Paramètres!$A$1:$I$89,3,0)*0.475*44/12</f>
        <v>8.0483440544629309E-13</v>
      </c>
      <c r="AX153" s="21">
        <f t="shared" si="114"/>
        <v>7.5744829972930718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453.99999999999977</v>
      </c>
      <c r="BE153" s="13">
        <f>BD153*VLOOKUP('Données projet'!$B$11,Paramètres!$A$1:$I$89,3,0)*VLOOKUP('Données projet'!$B$11,Paramètres!$A$1:$I$89,5,0)</f>
        <v>253.78599999999986</v>
      </c>
      <c r="BF153" s="13">
        <f t="shared" si="145"/>
        <v>61.395945216950906</v>
      </c>
      <c r="BG153" s="20">
        <f t="shared" si="115"/>
        <v>548.94188791952263</v>
      </c>
      <c r="BH153" s="59">
        <f t="shared" si="116"/>
        <v>842.275221252856</v>
      </c>
      <c r="BI153" s="59">
        <f ca="1">AVERAGE(OFFSET($BH$3,0,0,'Données projet'!$E$11+1,1))-AVERAGE(OFFSET($H$3,0,0,'Données projet'!$E$11+1,1))</f>
        <v>330.33728077846268</v>
      </c>
      <c r="BJ153" s="59">
        <f t="shared" si="146"/>
        <v>358.38872754175208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10.072844933557509</v>
      </c>
      <c r="BQ153" s="21">
        <f>EXP(-LN(2)/25)*BQ152+(1-EXP(-LN(2)/25))/(LN(2)/25)*Calculateur!BL153*Calculateur!BN153*VLOOKUP('Données projet'!$B$11,Paramètres!$A$1:$I$89,3,0)*0.475*44/12</f>
        <v>2.7085793704232781</v>
      </c>
      <c r="BR153" s="21">
        <f>EXP(-LN(2)/2)*BR152+(1-EXP(-LN(2)/2))/(LN(2)/2)*BL153*BO153*VLOOKUP('Données projet'!$B$11,Paramètres!$A$1:$I$89,3,0)*0.475*44/12</f>
        <v>1.4523956113213103E-12</v>
      </c>
      <c r="BS153" s="22">
        <f t="shared" si="117"/>
        <v>12.78142430398224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290.99999999999994</v>
      </c>
      <c r="BZ153" s="13">
        <f>BY153*VLOOKUP('Données projet'!$B$12,Paramètres!$A$1:$I$89,3,0)*VLOOKUP('Données projet'!$B$12,Paramètres!$A$1:$I$89,5,0)</f>
        <v>276.91559999999993</v>
      </c>
      <c r="CA153" s="13">
        <f t="shared" si="147"/>
        <v>66.314766879144742</v>
      </c>
      <c r="CB153" s="20">
        <f t="shared" si="118"/>
        <v>597.79288898117682</v>
      </c>
      <c r="CC153" s="59">
        <f t="shared" si="119"/>
        <v>891.12622231451019</v>
      </c>
      <c r="CD153" s="59">
        <f ca="1">AVERAGE(OFFSET($CC$3,0,0,'Données projet'!$E$12+1,1))-AVERAGE(OFFSET($H$3,0,0,'Données projet'!$E$12+1,1))</f>
        <v>367.39143258674738</v>
      </c>
      <c r="CE153" s="59">
        <f t="shared" si="148"/>
        <v>376.02790658970292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9.3174597301530291</v>
      </c>
      <c r="CL153" s="21">
        <f>EXP(-LN(2)/25)*CL152+(1-EXP(-LN(2)/25))/(LN(2)/25)*Calculateur!CG153*Calculateur!CI153*VLOOKUP('Données projet'!$B$12,Paramètres!$A$1:$I$89,3,0)*0.475*44/12</f>
        <v>0.29783444690067934</v>
      </c>
      <c r="CM153" s="21">
        <f>EXP(-LN(2)/2)*CM152+(1-EXP(-LN(2)/2))/(LN(2)/2)*CG153*CJ153*VLOOKUP('Données projet'!$B$12,Paramètres!$A$1:$I$89,3,0)*0.475*44/12</f>
        <v>1.3199624888573331E-12</v>
      </c>
      <c r="CN153" s="22">
        <f t="shared" si="120"/>
        <v>9.6152941770550289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925.00000000000034</v>
      </c>
      <c r="CU153" s="17">
        <f>CT153*VLOOKUP('Données projet'!$B$13,Paramètres!$A$1:$I$89,3,0)*VLOOKUP('Données projet'!$B$13,Paramètres!$A$1:$I$89,5,0)</f>
        <v>408.85000000000014</v>
      </c>
      <c r="CV153" s="13">
        <f t="shared" si="149"/>
        <v>93.568575358321141</v>
      </c>
      <c r="CW153" s="20">
        <f t="shared" si="121"/>
        <v>875.04568541574281</v>
      </c>
      <c r="CX153" s="59">
        <f t="shared" si="122"/>
        <v>1168.3790187490761</v>
      </c>
      <c r="CY153" s="59">
        <f ca="1">AVERAGE(OFFSET($CX$3,0,0,'Données projet'!$E$13+1,1))-AVERAGE(OFFSET($H$3,0,0,'Données projet'!$E$13+1,1))</f>
        <v>500.13646131618248</v>
      </c>
      <c r="CZ153" s="59">
        <f t="shared" si="150"/>
        <v>417.58036817539306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17.097064993771568</v>
      </c>
      <c r="DG153" s="21">
        <f>EXP(-LN(2)/25)*DG152+(1-EXP(-LN(2)/25))/(LN(2)/25)*Calculateur!DB153*Calculateur!DD153*VLOOKUP('Données projet'!$B$13,Paramètres!$A$1:$I$89,3,0)*0.475*44/12</f>
        <v>4.2109538540457132</v>
      </c>
      <c r="DH153" s="21">
        <f>EXP(-LN(2)/2)*DH152+(1-EXP(-LN(2)/2))/(LN(2)/2)*DB153*DE153*VLOOKUP('Données projet'!$B$13,Paramètres!$A$1:$I$89,3,0)*0.475*44/12</f>
        <v>7.138235425252178E-11</v>
      </c>
      <c r="DI153" s="22">
        <f t="shared" si="123"/>
        <v>21.308018847888661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268.00000000000011</v>
      </c>
      <c r="O154" s="13">
        <f>N154*VLOOKUP('Données projet'!$B$9,Paramètres!$A$1:$I$89,3,0)*VLOOKUP('Données projet'!$B$9,Paramètres!$A$1:$I$89,5,0)</f>
        <v>242.48640000000009</v>
      </c>
      <c r="P154" s="13">
        <f t="shared" si="141"/>
        <v>58.974170235372476</v>
      </c>
      <c r="Q154" s="20">
        <f t="shared" ref="Q154:Q203" si="162">(O154+P154)*0.475*44/12</f>
        <v>525.04382649327385</v>
      </c>
      <c r="R154" s="59">
        <f t="shared" si="109"/>
        <v>818.37715982660711</v>
      </c>
      <c r="S154" s="59">
        <f ca="1">AVERAGE(OFFSET($R$3,0,0,'Données projet'!$E$9+1,1))-AVERAGE(OFFSET($H$3,0,0,'Données projet'!$E$9+1,1))</f>
        <v>371.7282125501186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31.577478065723778</v>
      </c>
      <c r="AA154" s="21">
        <f>EXP(-LN(2)/25)*AA153+(1-EXP(-LN(2)/25))/(LN(2)/25)*Calculateur!V154*Calculateur!X154*VLOOKUP('Données projet'!$B$9,Paramètres!$A$1:$I$89,3,0)*0.475*44/12</f>
        <v>1.0471460661243435</v>
      </c>
      <c r="AB154" s="21">
        <f>EXP(-LN(2)/2)*AB153+(1-EXP(-LN(2)/2))/(LN(2)/2)*V154*Y154*VLOOKUP('Données projet'!$B$9,Paramètres!$A$1:$I$89,3,0)*0.475*44/12</f>
        <v>2.3113762889986173E-5</v>
      </c>
      <c r="AC154" s="22">
        <f t="shared" ref="AC154:AC203" si="163">SUM(Z154:AB154)</f>
        <v>32.624647245611015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305.00000000000017</v>
      </c>
      <c r="AJ154" s="13">
        <f>AI154*VLOOKUP('Données projet'!$B$10,Paramètres!$A$1:$I$89,3,0)*VLOOKUP('Données projet'!$B$10,Paramètres!$A$1:$I$89,5,0)</f>
        <v>204.59400000000011</v>
      </c>
      <c r="AK154" s="13">
        <f t="shared" ref="AK154:AK203" si="164">EXP(-1.0587+0.8836*LN(AJ154)+0.284)</f>
        <v>50.75245156043249</v>
      </c>
      <c r="AL154" s="20">
        <f t="shared" ref="AL154:AL203" si="165">(AJ154+AK154)*0.475*44/12</f>
        <v>444.72840313442015</v>
      </c>
      <c r="AM154" s="59">
        <f t="shared" si="113"/>
        <v>738.06173646775346</v>
      </c>
      <c r="AN154" s="59">
        <f ca="1">AVERAGE(OFFSET($AM$3,0,0,'Données projet'!$E$10+1,1))-AVERAGE(OFFSET($H$3,0,0,'Données projet'!$E$10+1,1))</f>
        <v>269.67260882504996</v>
      </c>
      <c r="AO154" s="59">
        <f t="shared" si="144"/>
        <v>272.13858200810074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7.1909866391775488</v>
      </c>
      <c r="AV154" s="21">
        <f>EXP(-LN(2)/25)*AV153+(1-EXP(-LN(2)/25))/(LN(2)/25)*Calculateur!AQ154*Calculateur!AS154*VLOOKUP('Données projet'!$B$10,Paramètres!$A$1:$I$89,3,0)*0.475*44/12</f>
        <v>0.23311139855431792</v>
      </c>
      <c r="AW154" s="21">
        <f>EXP(-LN(2)/2)*AW153+(1-EXP(-LN(2)/2))/(LN(2)/2)*AQ154*AT154*VLOOKUP('Données projet'!$B$10,Paramètres!$A$1:$I$89,3,0)*0.475*44/12</f>
        <v>5.6910386582331703E-13</v>
      </c>
      <c r="AX154" s="21">
        <f t="shared" ref="AX154:AX203" si="166">SUM(AU154:AW154)</f>
        <v>7.4240980377324357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453.99999999999977</v>
      </c>
      <c r="BE154" s="13">
        <f>BD154*VLOOKUP('Données projet'!$B$11,Paramètres!$A$1:$I$89,3,0)*VLOOKUP('Données projet'!$B$11,Paramètres!$A$1:$I$89,5,0)</f>
        <v>253.78599999999986</v>
      </c>
      <c r="BF154" s="13">
        <f t="shared" ref="BF154:BF203" si="167">EXP(-1.0587+0.8836*LN(BE154)+0.284)</f>
        <v>61.395945216950906</v>
      </c>
      <c r="BG154" s="20">
        <f t="shared" ref="BG154:BG203" si="168">(BE154+BF154)*0.475*44/12</f>
        <v>548.94188791952263</v>
      </c>
      <c r="BH154" s="59">
        <f t="shared" si="116"/>
        <v>842.275221252856</v>
      </c>
      <c r="BI154" s="59">
        <f ca="1">AVERAGE(OFFSET($BH$3,0,0,'Données projet'!$E$11+1,1))-AVERAGE(OFFSET($H$3,0,0,'Données projet'!$E$11+1,1))</f>
        <v>330.33728077846268</v>
      </c>
      <c r="BJ154" s="59">
        <f t="shared" si="146"/>
        <v>358.38872754175208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9.8753225882392019</v>
      </c>
      <c r="BQ154" s="21">
        <f>EXP(-LN(2)/25)*BQ153+(1-EXP(-LN(2)/25))/(LN(2)/25)*Calculateur!BL154*Calculateur!BN154*VLOOKUP('Données projet'!$B$11,Paramètres!$A$1:$I$89,3,0)*0.475*44/12</f>
        <v>2.634513125101055</v>
      </c>
      <c r="BR154" s="21">
        <f>EXP(-LN(2)/2)*BR153+(1-EXP(-LN(2)/2))/(LN(2)/2)*BL154*BO154*VLOOKUP('Données projet'!$B$11,Paramètres!$A$1:$I$89,3,0)*0.475*44/12</f>
        <v>1.0269987857308797E-12</v>
      </c>
      <c r="BS154" s="22">
        <f t="shared" ref="BS154:BS203" si="169">SUM(BP154:BR154)</f>
        <v>12.509835713341284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290.99999999999994</v>
      </c>
      <c r="BZ154" s="13">
        <f>BY154*VLOOKUP('Données projet'!$B$12,Paramètres!$A$1:$I$89,3,0)*VLOOKUP('Données projet'!$B$12,Paramètres!$A$1:$I$89,5,0)</f>
        <v>276.91559999999993</v>
      </c>
      <c r="CA154" s="13">
        <f t="shared" ref="CA154:CA203" si="170">EXP(-1.0587+0.8836*LN(BZ154)+0.284)</f>
        <v>66.314766879144742</v>
      </c>
      <c r="CB154" s="20">
        <f t="shared" ref="CB154:CB203" si="171">(BZ154+CA154)*0.475*44/12</f>
        <v>597.79288898117682</v>
      </c>
      <c r="CC154" s="59">
        <f t="shared" si="119"/>
        <v>891.12622231451019</v>
      </c>
      <c r="CD154" s="59">
        <f ca="1">AVERAGE(OFFSET($CC$3,0,0,'Données projet'!$E$12+1,1))-AVERAGE(OFFSET($H$3,0,0,'Données projet'!$E$12+1,1))</f>
        <v>367.39143258674738</v>
      </c>
      <c r="CE154" s="59">
        <f t="shared" si="148"/>
        <v>376.02790658970292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9.1347500279340057</v>
      </c>
      <c r="CL154" s="21">
        <f>EXP(-LN(2)/25)*CL153+(1-EXP(-LN(2)/25))/(LN(2)/25)*Calculateur!CG154*Calculateur!CI154*VLOOKUP('Données projet'!$B$12,Paramètres!$A$1:$I$89,3,0)*0.475*44/12</f>
        <v>0.28969014828774742</v>
      </c>
      <c r="CM154" s="21">
        <f>EXP(-LN(2)/2)*CM153+(1-EXP(-LN(2)/2))/(LN(2)/2)*CG154*CJ154*VLOOKUP('Données projet'!$B$12,Paramètres!$A$1:$I$89,3,0)*0.475*44/12</f>
        <v>9.3335442678289288E-13</v>
      </c>
      <c r="CN154" s="22">
        <f t="shared" ref="CN154:CN203" si="172">SUM(CK154:CM154)</f>
        <v>9.424440176222685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925.00000000000034</v>
      </c>
      <c r="CU154" s="17">
        <f>CT154*VLOOKUP('Données projet'!$B$13,Paramètres!$A$1:$I$89,3,0)*VLOOKUP('Données projet'!$B$13,Paramètres!$A$1:$I$89,5,0)</f>
        <v>408.85000000000014</v>
      </c>
      <c r="CV154" s="13">
        <f t="shared" ref="CV154:CV203" si="173">EXP(-1.0587+0.8836*LN(CU154)+0.284)</f>
        <v>93.568575358321141</v>
      </c>
      <c r="CW154" s="20">
        <f t="shared" ref="CW154:CW203" si="174">(CU154+CV154)*0.475*44/12</f>
        <v>875.04568541574281</v>
      </c>
      <c r="CX154" s="59">
        <f t="shared" si="122"/>
        <v>1168.3790187490761</v>
      </c>
      <c r="CY154" s="59">
        <f ca="1">AVERAGE(OFFSET($CX$3,0,0,'Données projet'!$E$13+1,1))-AVERAGE(OFFSET($H$3,0,0,'Données projet'!$E$13+1,1))</f>
        <v>500.13646131618248</v>
      </c>
      <c r="CZ154" s="59">
        <f t="shared" si="150"/>
        <v>417.58036817539306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16.761801977423655</v>
      </c>
      <c r="DG154" s="21">
        <f>EXP(-LN(2)/25)*DG153+(1-EXP(-LN(2)/25))/(LN(2)/25)*Calculateur!DB154*Calculateur!DD154*VLOOKUP('Données projet'!$B$13,Paramètres!$A$1:$I$89,3,0)*0.475*44/12</f>
        <v>4.0958050994623942</v>
      </c>
      <c r="DH154" s="21">
        <f>EXP(-LN(2)/2)*DH153+(1-EXP(-LN(2)/2))/(LN(2)/2)*DB154*DE154*VLOOKUP('Données projet'!$B$13,Paramètres!$A$1:$I$89,3,0)*0.475*44/12</f>
        <v>5.0474946749018539E-11</v>
      </c>
      <c r="DI154" s="22">
        <f t="shared" ref="DI154:DI203" si="175">SUM(DF154:DH154)</f>
        <v>20.857607076936521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268.00000000000011</v>
      </c>
      <c r="O155" s="13">
        <f>N155*VLOOKUP('Données projet'!$B$9,Paramètres!$A$1:$I$89,3,0)*VLOOKUP('Données projet'!$B$9,Paramètres!$A$1:$I$89,5,0)</f>
        <v>242.48640000000009</v>
      </c>
      <c r="P155" s="13">
        <f t="shared" si="141"/>
        <v>58.974170235372476</v>
      </c>
      <c r="Q155" s="20">
        <f t="shared" si="162"/>
        <v>525.04382649327385</v>
      </c>
      <c r="R155" s="59">
        <f t="shared" si="109"/>
        <v>818.37715982660711</v>
      </c>
      <c r="S155" s="59">
        <f ca="1">AVERAGE(OFFSET($R$3,0,0,'Données projet'!$E$9+1,1))-AVERAGE(OFFSET($H$3,0,0,'Données projet'!$E$9+1,1))</f>
        <v>371.7282125501186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30.958262981214752</v>
      </c>
      <c r="AA155" s="21">
        <f>EXP(-LN(2)/25)*AA154+(1-EXP(-LN(2)/25))/(LN(2)/25)*Calculateur!V155*Calculateur!X155*VLOOKUP('Données projet'!$B$9,Paramètres!$A$1:$I$89,3,0)*0.475*44/12</f>
        <v>1.018511801879155</v>
      </c>
      <c r="AB155" s="21">
        <f>EXP(-LN(2)/2)*AB154+(1-EXP(-LN(2)/2))/(LN(2)/2)*V155*Y155*VLOOKUP('Données projet'!$B$9,Paramètres!$A$1:$I$89,3,0)*0.475*44/12</f>
        <v>1.6343898478247195E-5</v>
      </c>
      <c r="AC155" s="22">
        <f t="shared" si="163"/>
        <v>31.976791126992385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305.00000000000017</v>
      </c>
      <c r="AJ155" s="13">
        <f>AI155*VLOOKUP('Données projet'!$B$10,Paramètres!$A$1:$I$89,3,0)*VLOOKUP('Données projet'!$B$10,Paramètres!$A$1:$I$89,5,0)</f>
        <v>204.59400000000011</v>
      </c>
      <c r="AK155" s="13">
        <f t="shared" si="164"/>
        <v>50.75245156043249</v>
      </c>
      <c r="AL155" s="20">
        <f t="shared" si="165"/>
        <v>444.72840313442015</v>
      </c>
      <c r="AM155" s="59">
        <f t="shared" si="113"/>
        <v>738.06173646775346</v>
      </c>
      <c r="AN155" s="59">
        <f ca="1">AVERAGE(OFFSET($AM$3,0,0,'Données projet'!$E$10+1,1))-AVERAGE(OFFSET($H$3,0,0,'Données projet'!$E$10+1,1))</f>
        <v>269.67260882504996</v>
      </c>
      <c r="AO155" s="59">
        <f t="shared" si="144"/>
        <v>272.13858200810074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7.0499757772520386</v>
      </c>
      <c r="AV155" s="21">
        <f>EXP(-LN(2)/25)*AV154+(1-EXP(-LN(2)/25))/(LN(2)/25)*Calculateur!AQ155*Calculateur!AS155*VLOOKUP('Données projet'!$B$10,Paramètres!$A$1:$I$89,3,0)*0.475*44/12</f>
        <v>0.22673695510205444</v>
      </c>
      <c r="AW155" s="21">
        <f>EXP(-LN(2)/2)*AW154+(1-EXP(-LN(2)/2))/(LN(2)/2)*AQ155*AT155*VLOOKUP('Données projet'!$B$10,Paramètres!$A$1:$I$89,3,0)*0.475*44/12</f>
        <v>4.0241720272314655E-13</v>
      </c>
      <c r="AX155" s="21">
        <f t="shared" si="166"/>
        <v>7.2767127323544951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453.99999999999977</v>
      </c>
      <c r="BE155" s="13">
        <f>BD155*VLOOKUP('Données projet'!$B$11,Paramètres!$A$1:$I$89,3,0)*VLOOKUP('Données projet'!$B$11,Paramètres!$A$1:$I$89,5,0)</f>
        <v>253.78599999999986</v>
      </c>
      <c r="BF155" s="13">
        <f t="shared" si="167"/>
        <v>61.395945216950906</v>
      </c>
      <c r="BG155" s="20">
        <f t="shared" si="168"/>
        <v>548.94188791952263</v>
      </c>
      <c r="BH155" s="59">
        <f t="shared" si="116"/>
        <v>842.275221252856</v>
      </c>
      <c r="BI155" s="59">
        <f ca="1">AVERAGE(OFFSET($BH$3,0,0,'Données projet'!$E$11+1,1))-AVERAGE(OFFSET($H$3,0,0,'Données projet'!$E$11+1,1))</f>
        <v>330.33728077846268</v>
      </c>
      <c r="BJ155" s="59">
        <f t="shared" si="146"/>
        <v>358.38872754175208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9.6816735356358539</v>
      </c>
      <c r="BQ155" s="21">
        <f>EXP(-LN(2)/25)*BQ154+(1-EXP(-LN(2)/25))/(LN(2)/25)*Calculateur!BL155*Calculateur!BN155*VLOOKUP('Données projet'!$B$11,Paramètres!$A$1:$I$89,3,0)*0.475*44/12</f>
        <v>2.5624722251521428</v>
      </c>
      <c r="BR155" s="21">
        <f>EXP(-LN(2)/2)*BR154+(1-EXP(-LN(2)/2))/(LN(2)/2)*BL155*BO155*VLOOKUP('Données projet'!$B$11,Paramètres!$A$1:$I$89,3,0)*0.475*44/12</f>
        <v>7.2619780566065514E-13</v>
      </c>
      <c r="BS155" s="22">
        <f t="shared" si="169"/>
        <v>12.244145760788724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290.99999999999994</v>
      </c>
      <c r="BZ155" s="13">
        <f>BY155*VLOOKUP('Données projet'!$B$12,Paramètres!$A$1:$I$89,3,0)*VLOOKUP('Données projet'!$B$12,Paramètres!$A$1:$I$89,5,0)</f>
        <v>276.91559999999993</v>
      </c>
      <c r="CA155" s="13">
        <f t="shared" si="170"/>
        <v>66.314766879144742</v>
      </c>
      <c r="CB155" s="20">
        <f t="shared" si="171"/>
        <v>597.79288898117682</v>
      </c>
      <c r="CC155" s="59">
        <f t="shared" si="119"/>
        <v>891.12622231451019</v>
      </c>
      <c r="CD155" s="59">
        <f ca="1">AVERAGE(OFFSET($CC$3,0,0,'Données projet'!$E$12+1,1))-AVERAGE(OFFSET($H$3,0,0,'Données projet'!$E$12+1,1))</f>
        <v>367.39143258674738</v>
      </c>
      <c r="CE155" s="59">
        <f t="shared" si="148"/>
        <v>376.02790658970292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8.9556231515335831</v>
      </c>
      <c r="CL155" s="21">
        <f>EXP(-LN(2)/25)*CL154+(1-EXP(-LN(2)/25))/(LN(2)/25)*Calculateur!CG155*Calculateur!CI155*VLOOKUP('Données projet'!$B$12,Paramètres!$A$1:$I$89,3,0)*0.475*44/12</f>
        <v>0.28176855594867617</v>
      </c>
      <c r="CM155" s="21">
        <f>EXP(-LN(2)/2)*CM154+(1-EXP(-LN(2)/2))/(LN(2)/2)*CG155*CJ155*VLOOKUP('Données projet'!$B$12,Paramètres!$A$1:$I$89,3,0)*0.475*44/12</f>
        <v>6.5998124442866655E-13</v>
      </c>
      <c r="CN155" s="22">
        <f t="shared" si="172"/>
        <v>9.2373917074829208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925.00000000000034</v>
      </c>
      <c r="CU155" s="17">
        <f>CT155*VLOOKUP('Données projet'!$B$13,Paramètres!$A$1:$I$89,3,0)*VLOOKUP('Données projet'!$B$13,Paramètres!$A$1:$I$89,5,0)</f>
        <v>408.85000000000014</v>
      </c>
      <c r="CV155" s="13">
        <f t="shared" si="173"/>
        <v>93.568575358321141</v>
      </c>
      <c r="CW155" s="20">
        <f t="shared" si="174"/>
        <v>875.04568541574281</v>
      </c>
      <c r="CX155" s="59">
        <f t="shared" si="122"/>
        <v>1168.3790187490761</v>
      </c>
      <c r="CY155" s="59">
        <f ca="1">AVERAGE(OFFSET($CX$3,0,0,'Données projet'!$E$13+1,1))-AVERAGE(OFFSET($H$3,0,0,'Données projet'!$E$13+1,1))</f>
        <v>500.13646131618248</v>
      </c>
      <c r="CZ155" s="59">
        <f t="shared" si="150"/>
        <v>417.58036817539306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16.433113264336079</v>
      </c>
      <c r="DG155" s="21">
        <f>EXP(-LN(2)/25)*DG154+(1-EXP(-LN(2)/25))/(LN(2)/25)*Calculateur!DB155*Calculateur!DD155*VLOOKUP('Données projet'!$B$13,Paramètres!$A$1:$I$89,3,0)*0.475*44/12</f>
        <v>3.9838050936285661</v>
      </c>
      <c r="DH155" s="21">
        <f>EXP(-LN(2)/2)*DH154+(1-EXP(-LN(2)/2))/(LN(2)/2)*DB155*DE155*VLOOKUP('Données projet'!$B$13,Paramètres!$A$1:$I$89,3,0)*0.475*44/12</f>
        <v>3.569117712626089E-11</v>
      </c>
      <c r="DI155" s="22">
        <f t="shared" si="175"/>
        <v>20.416918358000334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268.00000000000011</v>
      </c>
      <c r="O156" s="13">
        <f>N156*VLOOKUP('Données projet'!$B$9,Paramètres!$A$1:$I$89,3,0)*VLOOKUP('Données projet'!$B$9,Paramètres!$A$1:$I$89,5,0)</f>
        <v>242.48640000000009</v>
      </c>
      <c r="P156" s="13">
        <f t="shared" si="141"/>
        <v>58.974170235372476</v>
      </c>
      <c r="Q156" s="20">
        <f t="shared" si="162"/>
        <v>525.04382649327385</v>
      </c>
      <c r="R156" s="59">
        <f t="shared" si="109"/>
        <v>818.37715982660711</v>
      </c>
      <c r="S156" s="59">
        <f ca="1">AVERAGE(OFFSET($R$3,0,0,'Données projet'!$E$9+1,1))-AVERAGE(OFFSET($H$3,0,0,'Données projet'!$E$9+1,1))</f>
        <v>371.7282125501186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30.351190326829041</v>
      </c>
      <c r="AA156" s="21">
        <f>EXP(-LN(2)/25)*AA155+(1-EXP(-LN(2)/25))/(LN(2)/25)*Calculateur!V156*Calculateur!X156*VLOOKUP('Données projet'!$B$9,Paramètres!$A$1:$I$89,3,0)*0.475*44/12</f>
        <v>0.99066054309556173</v>
      </c>
      <c r="AB156" s="21">
        <f>EXP(-LN(2)/2)*AB155+(1-EXP(-LN(2)/2))/(LN(2)/2)*V156*Y156*VLOOKUP('Données projet'!$B$9,Paramètres!$A$1:$I$89,3,0)*0.475*44/12</f>
        <v>1.1556881444993086E-5</v>
      </c>
      <c r="AC156" s="22">
        <f t="shared" si="163"/>
        <v>31.341862426806049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305.00000000000017</v>
      </c>
      <c r="AJ156" s="13">
        <f>AI156*VLOOKUP('Données projet'!$B$10,Paramètres!$A$1:$I$89,3,0)*VLOOKUP('Données projet'!$B$10,Paramètres!$A$1:$I$89,5,0)</f>
        <v>204.59400000000011</v>
      </c>
      <c r="AK156" s="13">
        <f t="shared" si="164"/>
        <v>50.75245156043249</v>
      </c>
      <c r="AL156" s="20">
        <f t="shared" si="165"/>
        <v>444.72840313442015</v>
      </c>
      <c r="AM156" s="59">
        <f t="shared" si="113"/>
        <v>738.06173646775346</v>
      </c>
      <c r="AN156" s="59">
        <f ca="1">AVERAGE(OFFSET($AM$3,0,0,'Données projet'!$E$10+1,1))-AVERAGE(OFFSET($H$3,0,0,'Données projet'!$E$10+1,1))</f>
        <v>269.67260882504996</v>
      </c>
      <c r="AO156" s="59">
        <f t="shared" si="144"/>
        <v>272.13858200810074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6.9117300523207543</v>
      </c>
      <c r="AV156" s="21">
        <f>EXP(-LN(2)/25)*AV155+(1-EXP(-LN(2)/25))/(LN(2)/25)*Calculateur!AQ156*Calculateur!AS156*VLOOKUP('Données projet'!$B$10,Paramètres!$A$1:$I$89,3,0)*0.475*44/12</f>
        <v>0.22053682114121051</v>
      </c>
      <c r="AW156" s="21">
        <f>EXP(-LN(2)/2)*AW155+(1-EXP(-LN(2)/2))/(LN(2)/2)*AQ156*AT156*VLOOKUP('Données projet'!$B$10,Paramètres!$A$1:$I$89,3,0)*0.475*44/12</f>
        <v>2.8455193291165852E-13</v>
      </c>
      <c r="AX156" s="21">
        <f t="shared" si="166"/>
        <v>7.1322668734622487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453.99999999999977</v>
      </c>
      <c r="BE156" s="13">
        <f>BD156*VLOOKUP('Données projet'!$B$11,Paramètres!$A$1:$I$89,3,0)*VLOOKUP('Données projet'!$B$11,Paramètres!$A$1:$I$89,5,0)</f>
        <v>253.78599999999986</v>
      </c>
      <c r="BF156" s="13">
        <f t="shared" si="167"/>
        <v>61.395945216950906</v>
      </c>
      <c r="BG156" s="20">
        <f t="shared" si="168"/>
        <v>548.94188791952263</v>
      </c>
      <c r="BH156" s="59">
        <f t="shared" si="116"/>
        <v>842.275221252856</v>
      </c>
      <c r="BI156" s="59">
        <f ca="1">AVERAGE(OFFSET($BH$3,0,0,'Données projet'!$E$11+1,1))-AVERAGE(OFFSET($H$3,0,0,'Données projet'!$E$11+1,1))</f>
        <v>330.33728077846268</v>
      </c>
      <c r="BJ156" s="59">
        <f t="shared" si="146"/>
        <v>358.38872754175208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9.4918218228397979</v>
      </c>
      <c r="BQ156" s="21">
        <f>EXP(-LN(2)/25)*BQ155+(1-EXP(-LN(2)/25))/(LN(2)/25)*Calculateur!BL156*Calculateur!BN156*VLOOKUP('Données projet'!$B$11,Paramètres!$A$1:$I$89,3,0)*0.475*44/12</f>
        <v>2.4924012874007997</v>
      </c>
      <c r="BR156" s="21">
        <f>EXP(-LN(2)/2)*BR155+(1-EXP(-LN(2)/2))/(LN(2)/2)*BL156*BO156*VLOOKUP('Données projet'!$B$11,Paramètres!$A$1:$I$89,3,0)*0.475*44/12</f>
        <v>5.1349939286543983E-13</v>
      </c>
      <c r="BS156" s="22">
        <f t="shared" si="169"/>
        <v>11.984223110241111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290.99999999999994</v>
      </c>
      <c r="BZ156" s="13">
        <f>BY156*VLOOKUP('Données projet'!$B$12,Paramètres!$A$1:$I$89,3,0)*VLOOKUP('Données projet'!$B$12,Paramètres!$A$1:$I$89,5,0)</f>
        <v>276.91559999999993</v>
      </c>
      <c r="CA156" s="13">
        <f t="shared" si="170"/>
        <v>66.314766879144742</v>
      </c>
      <c r="CB156" s="20">
        <f t="shared" si="171"/>
        <v>597.79288898117682</v>
      </c>
      <c r="CC156" s="59">
        <f t="shared" si="119"/>
        <v>891.12622231451019</v>
      </c>
      <c r="CD156" s="59">
        <f ca="1">AVERAGE(OFFSET($CC$3,0,0,'Données projet'!$E$12+1,1))-AVERAGE(OFFSET($H$3,0,0,'Données projet'!$E$12+1,1))</f>
        <v>367.39143258674738</v>
      </c>
      <c r="CE156" s="59">
        <f t="shared" si="148"/>
        <v>376.02790658970292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8.780008843922765</v>
      </c>
      <c r="CL156" s="21">
        <f>EXP(-LN(2)/25)*CL155+(1-EXP(-LN(2)/25))/(LN(2)/25)*Calculateur!CG156*Calculateur!CI156*VLOOKUP('Données projet'!$B$12,Paramètres!$A$1:$I$89,3,0)*0.475*44/12</f>
        <v>0.27406357996869524</v>
      </c>
      <c r="CM156" s="21">
        <f>EXP(-LN(2)/2)*CM155+(1-EXP(-LN(2)/2))/(LN(2)/2)*CG156*CJ156*VLOOKUP('Données projet'!$B$12,Paramètres!$A$1:$I$89,3,0)*0.475*44/12</f>
        <v>4.6667721339144644E-13</v>
      </c>
      <c r="CN156" s="22">
        <f t="shared" si="172"/>
        <v>9.0540724238919275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925.00000000000034</v>
      </c>
      <c r="CU156" s="17">
        <f>CT156*VLOOKUP('Données projet'!$B$13,Paramètres!$A$1:$I$89,3,0)*VLOOKUP('Données projet'!$B$13,Paramètres!$A$1:$I$89,5,0)</f>
        <v>408.85000000000014</v>
      </c>
      <c r="CV156" s="13">
        <f t="shared" si="173"/>
        <v>93.568575358321141</v>
      </c>
      <c r="CW156" s="20">
        <f t="shared" si="174"/>
        <v>875.04568541574281</v>
      </c>
      <c r="CX156" s="59">
        <f t="shared" si="122"/>
        <v>1168.3790187490761</v>
      </c>
      <c r="CY156" s="59">
        <f ca="1">AVERAGE(OFFSET($CX$3,0,0,'Données projet'!$E$13+1,1))-AVERAGE(OFFSET($H$3,0,0,'Données projet'!$E$13+1,1))</f>
        <v>500.13646131618248</v>
      </c>
      <c r="CZ156" s="59">
        <f t="shared" si="150"/>
        <v>417.58036817539306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16.110869936431829</v>
      </c>
      <c r="DG156" s="21">
        <f>EXP(-LN(2)/25)*DG155+(1-EXP(-LN(2)/25))/(LN(2)/25)*Calculateur!DB156*Calculateur!DD156*VLOOKUP('Données projet'!$B$13,Paramètres!$A$1:$I$89,3,0)*0.475*44/12</f>
        <v>3.8748677338440882</v>
      </c>
      <c r="DH156" s="21">
        <f>EXP(-LN(2)/2)*DH155+(1-EXP(-LN(2)/2))/(LN(2)/2)*DB156*DE156*VLOOKUP('Données projet'!$B$13,Paramètres!$A$1:$I$89,3,0)*0.475*44/12</f>
        <v>2.523747337450927E-11</v>
      </c>
      <c r="DI156" s="22">
        <f t="shared" si="175"/>
        <v>19.985737670301155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268.00000000000011</v>
      </c>
      <c r="O157" s="13">
        <f>N157*VLOOKUP('Données projet'!$B$9,Paramètres!$A$1:$I$89,3,0)*VLOOKUP('Données projet'!$B$9,Paramètres!$A$1:$I$89,5,0)</f>
        <v>242.48640000000009</v>
      </c>
      <c r="P157" s="13">
        <f t="shared" si="141"/>
        <v>58.974170235372476</v>
      </c>
      <c r="Q157" s="20">
        <f t="shared" si="162"/>
        <v>525.04382649327385</v>
      </c>
      <c r="R157" s="59">
        <f t="shared" si="109"/>
        <v>818.37715982660711</v>
      </c>
      <c r="S157" s="59">
        <f ca="1">AVERAGE(OFFSET($R$3,0,0,'Données projet'!$E$9+1,1))-AVERAGE(OFFSET($H$3,0,0,'Données projet'!$E$9+1,1))</f>
        <v>371.7282125501186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29.756021996918076</v>
      </c>
      <c r="AA157" s="21">
        <f>EXP(-LN(2)/25)*AA156+(1-EXP(-LN(2)/25))/(LN(2)/25)*Calculateur!V157*Calculateur!X157*VLOOKUP('Données projet'!$B$9,Paramètres!$A$1:$I$89,3,0)*0.475*44/12</f>
        <v>0.96357087844803979</v>
      </c>
      <c r="AB157" s="21">
        <f>EXP(-LN(2)/2)*AB156+(1-EXP(-LN(2)/2))/(LN(2)/2)*V157*Y157*VLOOKUP('Données projet'!$B$9,Paramètres!$A$1:$I$89,3,0)*0.475*44/12</f>
        <v>8.1719492391235974E-6</v>
      </c>
      <c r="AC157" s="22">
        <f t="shared" si="163"/>
        <v>30.719601047315354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305.00000000000017</v>
      </c>
      <c r="AJ157" s="13">
        <f>AI157*VLOOKUP('Données projet'!$B$10,Paramètres!$A$1:$I$89,3,0)*VLOOKUP('Données projet'!$B$10,Paramètres!$A$1:$I$89,5,0)</f>
        <v>204.59400000000011</v>
      </c>
      <c r="AK157" s="13">
        <f t="shared" si="164"/>
        <v>50.75245156043249</v>
      </c>
      <c r="AL157" s="20">
        <f t="shared" si="165"/>
        <v>444.72840313442015</v>
      </c>
      <c r="AM157" s="59">
        <f t="shared" si="113"/>
        <v>738.06173646775346</v>
      </c>
      <c r="AN157" s="59">
        <f ca="1">AVERAGE(OFFSET($AM$3,0,0,'Données projet'!$E$10+1,1))-AVERAGE(OFFSET($H$3,0,0,'Données projet'!$E$10+1,1))</f>
        <v>269.67260882504996</v>
      </c>
      <c r="AO157" s="59">
        <f t="shared" si="144"/>
        <v>272.13858200810074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6.7761952417338067</v>
      </c>
      <c r="AV157" s="21">
        <f>EXP(-LN(2)/25)*AV156+(1-EXP(-LN(2)/25))/(LN(2)/25)*Calculateur!AQ157*Calculateur!AS157*VLOOKUP('Données projet'!$B$10,Paramètres!$A$1:$I$89,3,0)*0.475*44/12</f>
        <v>0.21450623016957673</v>
      </c>
      <c r="AW157" s="21">
        <f>EXP(-LN(2)/2)*AW156+(1-EXP(-LN(2)/2))/(LN(2)/2)*AQ157*AT157*VLOOKUP('Données projet'!$B$10,Paramètres!$A$1:$I$89,3,0)*0.475*44/12</f>
        <v>2.0120860136157327E-13</v>
      </c>
      <c r="AX157" s="21">
        <f t="shared" si="166"/>
        <v>6.9907014719035852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453.99999999999977</v>
      </c>
      <c r="BE157" s="13">
        <f>BD157*VLOOKUP('Données projet'!$B$11,Paramètres!$A$1:$I$89,3,0)*VLOOKUP('Données projet'!$B$11,Paramètres!$A$1:$I$89,5,0)</f>
        <v>253.78599999999986</v>
      </c>
      <c r="BF157" s="13">
        <f t="shared" si="167"/>
        <v>61.395945216950906</v>
      </c>
      <c r="BG157" s="20">
        <f t="shared" si="168"/>
        <v>548.94188791952263</v>
      </c>
      <c r="BH157" s="59">
        <f t="shared" si="116"/>
        <v>842.275221252856</v>
      </c>
      <c r="BI157" s="59">
        <f ca="1">AVERAGE(OFFSET($BH$3,0,0,'Données projet'!$E$11+1,1))-AVERAGE(OFFSET($H$3,0,0,'Données projet'!$E$11+1,1))</f>
        <v>330.33728077846268</v>
      </c>
      <c r="BJ157" s="59">
        <f t="shared" si="146"/>
        <v>358.38872754175208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9.3056929863335611</v>
      </c>
      <c r="BQ157" s="21">
        <f>EXP(-LN(2)/25)*BQ156+(1-EXP(-LN(2)/25))/(LN(2)/25)*Calculateur!BL157*Calculateur!BN157*VLOOKUP('Données projet'!$B$11,Paramètres!$A$1:$I$89,3,0)*0.475*44/12</f>
        <v>2.4242464431271378</v>
      </c>
      <c r="BR157" s="21">
        <f>EXP(-LN(2)/2)*BR156+(1-EXP(-LN(2)/2))/(LN(2)/2)*BL157*BO157*VLOOKUP('Données projet'!$B$11,Paramètres!$A$1:$I$89,3,0)*0.475*44/12</f>
        <v>3.6309890283032757E-13</v>
      </c>
      <c r="BS157" s="22">
        <f t="shared" si="169"/>
        <v>11.729939429461062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290.99999999999994</v>
      </c>
      <c r="BZ157" s="13">
        <f>BY157*VLOOKUP('Données projet'!$B$12,Paramètres!$A$1:$I$89,3,0)*VLOOKUP('Données projet'!$B$12,Paramètres!$A$1:$I$89,5,0)</f>
        <v>276.91559999999993</v>
      </c>
      <c r="CA157" s="13">
        <f t="shared" si="170"/>
        <v>66.314766879144742</v>
      </c>
      <c r="CB157" s="20">
        <f t="shared" si="171"/>
        <v>597.79288898117682</v>
      </c>
      <c r="CC157" s="59">
        <f t="shared" si="119"/>
        <v>891.12622231451019</v>
      </c>
      <c r="CD157" s="59">
        <f ca="1">AVERAGE(OFFSET($CC$3,0,0,'Données projet'!$E$12+1,1))-AVERAGE(OFFSET($H$3,0,0,'Données projet'!$E$12+1,1))</f>
        <v>367.39143258674738</v>
      </c>
      <c r="CE157" s="59">
        <f t="shared" si="148"/>
        <v>376.02790658970292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8.6078382257700454</v>
      </c>
      <c r="CL157" s="21">
        <f>EXP(-LN(2)/25)*CL156+(1-EXP(-LN(2)/25))/(LN(2)/25)*Calculateur!CG157*Calculateur!CI157*VLOOKUP('Données projet'!$B$12,Paramètres!$A$1:$I$89,3,0)*0.475*44/12</f>
        <v>0.26656929696207399</v>
      </c>
      <c r="CM157" s="21">
        <f>EXP(-LN(2)/2)*CM156+(1-EXP(-LN(2)/2))/(LN(2)/2)*CG157*CJ157*VLOOKUP('Données projet'!$B$12,Paramètres!$A$1:$I$89,3,0)*0.475*44/12</f>
        <v>3.2999062221433327E-13</v>
      </c>
      <c r="CN157" s="22">
        <f t="shared" si="172"/>
        <v>8.874407522732449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925.00000000000034</v>
      </c>
      <c r="CU157" s="17">
        <f>CT157*VLOOKUP('Données projet'!$B$13,Paramètres!$A$1:$I$89,3,0)*VLOOKUP('Données projet'!$B$13,Paramètres!$A$1:$I$89,5,0)</f>
        <v>408.85000000000014</v>
      </c>
      <c r="CV157" s="13">
        <f t="shared" si="173"/>
        <v>93.568575358321141</v>
      </c>
      <c r="CW157" s="20">
        <f t="shared" si="174"/>
        <v>875.04568541574281</v>
      </c>
      <c r="CX157" s="59">
        <f t="shared" si="122"/>
        <v>1168.3790187490761</v>
      </c>
      <c r="CY157" s="59">
        <f ca="1">AVERAGE(OFFSET($CX$3,0,0,'Données projet'!$E$13+1,1))-AVERAGE(OFFSET($H$3,0,0,'Données projet'!$E$13+1,1))</f>
        <v>500.13646131618248</v>
      </c>
      <c r="CZ157" s="59">
        <f t="shared" si="150"/>
        <v>417.58036817539306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15.794945603638761</v>
      </c>
      <c r="DG157" s="21">
        <f>EXP(-LN(2)/25)*DG156+(1-EXP(-LN(2)/25))/(LN(2)/25)*Calculateur!DB157*Calculateur!DD157*VLOOKUP('Données projet'!$B$13,Paramètres!$A$1:$I$89,3,0)*0.475*44/12</f>
        <v>3.7689092718916837</v>
      </c>
      <c r="DH157" s="21">
        <f>EXP(-LN(2)/2)*DH156+(1-EXP(-LN(2)/2))/(LN(2)/2)*DB157*DE157*VLOOKUP('Données projet'!$B$13,Paramètres!$A$1:$I$89,3,0)*0.475*44/12</f>
        <v>1.7845588563130445E-11</v>
      </c>
      <c r="DI157" s="22">
        <f t="shared" si="175"/>
        <v>19.563854875548291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268.00000000000011</v>
      </c>
      <c r="O158" s="13">
        <f>N158*VLOOKUP('Données projet'!$B$9,Paramètres!$A$1:$I$89,3,0)*VLOOKUP('Données projet'!$B$9,Paramètres!$A$1:$I$89,5,0)</f>
        <v>242.48640000000009</v>
      </c>
      <c r="P158" s="13">
        <f t="shared" si="141"/>
        <v>58.974170235372476</v>
      </c>
      <c r="Q158" s="20">
        <f t="shared" si="162"/>
        <v>525.04382649327385</v>
      </c>
      <c r="R158" s="59">
        <f t="shared" si="109"/>
        <v>818.37715982660711</v>
      </c>
      <c r="S158" s="59">
        <f ca="1">AVERAGE(OFFSET($R$3,0,0,'Données projet'!$E$9+1,1))-AVERAGE(OFFSET($H$3,0,0,'Données projet'!$E$9+1,1))</f>
        <v>371.7282125501186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29.172524554939827</v>
      </c>
      <c r="AA158" s="21">
        <f>EXP(-LN(2)/25)*AA157+(1-EXP(-LN(2)/25))/(LN(2)/25)*Calculateur!V158*Calculateur!X158*VLOOKUP('Données projet'!$B$9,Paramètres!$A$1:$I$89,3,0)*0.475*44/12</f>
        <v>0.93722198210488794</v>
      </c>
      <c r="AB158" s="21">
        <f>EXP(-LN(2)/2)*AB157+(1-EXP(-LN(2)/2))/(LN(2)/2)*V158*Y158*VLOOKUP('Données projet'!$B$9,Paramètres!$A$1:$I$89,3,0)*0.475*44/12</f>
        <v>5.7784407224965431E-6</v>
      </c>
      <c r="AC158" s="22">
        <f t="shared" si="163"/>
        <v>30.109752315485437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305.00000000000017</v>
      </c>
      <c r="AJ158" s="13">
        <f>AI158*VLOOKUP('Données projet'!$B$10,Paramètres!$A$1:$I$89,3,0)*VLOOKUP('Données projet'!$B$10,Paramètres!$A$1:$I$89,5,0)</f>
        <v>204.59400000000011</v>
      </c>
      <c r="AK158" s="13">
        <f t="shared" si="164"/>
        <v>50.75245156043249</v>
      </c>
      <c r="AL158" s="20">
        <f t="shared" si="165"/>
        <v>444.72840313442015</v>
      </c>
      <c r="AM158" s="59">
        <f t="shared" si="113"/>
        <v>738.06173646775346</v>
      </c>
      <c r="AN158" s="59">
        <f ca="1">AVERAGE(OFFSET($AM$3,0,0,'Données projet'!$E$10+1,1))-AVERAGE(OFFSET($H$3,0,0,'Données projet'!$E$10+1,1))</f>
        <v>269.67260882504996</v>
      </c>
      <c r="AO158" s="59">
        <f t="shared" si="144"/>
        <v>272.13858200810074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6.6433181861143975</v>
      </c>
      <c r="AV158" s="21">
        <f>EXP(-LN(2)/25)*AV157+(1-EXP(-LN(2)/25))/(LN(2)/25)*Calculateur!AQ158*Calculateur!AS158*VLOOKUP('Données projet'!$B$10,Paramètres!$A$1:$I$89,3,0)*0.475*44/12</f>
        <v>0.20864054602519727</v>
      </c>
      <c r="AW158" s="21">
        <f>EXP(-LN(2)/2)*AW157+(1-EXP(-LN(2)/2))/(LN(2)/2)*AQ158*AT158*VLOOKUP('Données projet'!$B$10,Paramètres!$A$1:$I$89,3,0)*0.475*44/12</f>
        <v>1.4227596645582926E-13</v>
      </c>
      <c r="AX158" s="21">
        <f t="shared" si="166"/>
        <v>6.8519587321397371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453.99999999999977</v>
      </c>
      <c r="BE158" s="13">
        <f>BD158*VLOOKUP('Données projet'!$B$11,Paramètres!$A$1:$I$89,3,0)*VLOOKUP('Données projet'!$B$11,Paramètres!$A$1:$I$89,5,0)</f>
        <v>253.78599999999986</v>
      </c>
      <c r="BF158" s="13">
        <f t="shared" si="167"/>
        <v>61.395945216950906</v>
      </c>
      <c r="BG158" s="20">
        <f t="shared" si="168"/>
        <v>548.94188791952263</v>
      </c>
      <c r="BH158" s="59">
        <f t="shared" si="116"/>
        <v>842.275221252856</v>
      </c>
      <c r="BI158" s="59">
        <f ca="1">AVERAGE(OFFSET($BH$3,0,0,'Données projet'!$E$11+1,1))-AVERAGE(OFFSET($H$3,0,0,'Données projet'!$E$11+1,1))</f>
        <v>330.33728077846268</v>
      </c>
      <c r="BJ158" s="59">
        <f t="shared" si="146"/>
        <v>358.38872754175208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9.1232140227838325</v>
      </c>
      <c r="BQ158" s="21">
        <f>EXP(-LN(2)/25)*BQ157+(1-EXP(-LN(2)/25))/(LN(2)/25)*Calculateur!BL158*Calculateur!BN158*VLOOKUP('Données projet'!$B$11,Paramètres!$A$1:$I$89,3,0)*0.475*44/12</f>
        <v>2.3579552966542465</v>
      </c>
      <c r="BR158" s="21">
        <f>EXP(-LN(2)/2)*BR157+(1-EXP(-LN(2)/2))/(LN(2)/2)*BL158*BO158*VLOOKUP('Données projet'!$B$11,Paramètres!$A$1:$I$89,3,0)*0.475*44/12</f>
        <v>2.5674969643271991E-13</v>
      </c>
      <c r="BS158" s="22">
        <f t="shared" si="169"/>
        <v>11.481169319438337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290.99999999999994</v>
      </c>
      <c r="BZ158" s="13">
        <f>BY158*VLOOKUP('Données projet'!$B$12,Paramètres!$A$1:$I$89,3,0)*VLOOKUP('Données projet'!$B$12,Paramètres!$A$1:$I$89,5,0)</f>
        <v>276.91559999999993</v>
      </c>
      <c r="CA158" s="13">
        <f t="shared" si="170"/>
        <v>66.314766879144742</v>
      </c>
      <c r="CB158" s="20">
        <f t="shared" si="171"/>
        <v>597.79288898117682</v>
      </c>
      <c r="CC158" s="59">
        <f t="shared" si="119"/>
        <v>891.12622231451019</v>
      </c>
      <c r="CD158" s="59">
        <f ca="1">AVERAGE(OFFSET($CC$3,0,0,'Données projet'!$E$12+1,1))-AVERAGE(OFFSET($H$3,0,0,'Données projet'!$E$12+1,1))</f>
        <v>367.39143258674738</v>
      </c>
      <c r="CE158" s="59">
        <f t="shared" si="148"/>
        <v>376.02790658970292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8.4390437684255915</v>
      </c>
      <c r="CL158" s="21">
        <f>EXP(-LN(2)/25)*CL157+(1-EXP(-LN(2)/25))/(LN(2)/25)*Calculateur!CG158*Calculateur!CI158*VLOOKUP('Données projet'!$B$12,Paramètres!$A$1:$I$89,3,0)*0.475*44/12</f>
        <v>0.25927994551837602</v>
      </c>
      <c r="CM158" s="21">
        <f>EXP(-LN(2)/2)*CM157+(1-EXP(-LN(2)/2))/(LN(2)/2)*CG158*CJ158*VLOOKUP('Données projet'!$B$12,Paramètres!$A$1:$I$89,3,0)*0.475*44/12</f>
        <v>2.3333860669572322E-13</v>
      </c>
      <c r="CN158" s="22">
        <f t="shared" si="172"/>
        <v>8.6983237139442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925.00000000000034</v>
      </c>
      <c r="CU158" s="17">
        <f>CT158*VLOOKUP('Données projet'!$B$13,Paramètres!$A$1:$I$89,3,0)*VLOOKUP('Données projet'!$B$13,Paramètres!$A$1:$I$89,5,0)</f>
        <v>408.85000000000014</v>
      </c>
      <c r="CV158" s="13">
        <f t="shared" si="173"/>
        <v>93.568575358321141</v>
      </c>
      <c r="CW158" s="20">
        <f t="shared" si="174"/>
        <v>875.04568541574281</v>
      </c>
      <c r="CX158" s="59">
        <f t="shared" si="122"/>
        <v>1168.3790187490761</v>
      </c>
      <c r="CY158" s="59">
        <f ca="1">AVERAGE(OFFSET($CX$3,0,0,'Données projet'!$E$13+1,1))-AVERAGE(OFFSET($H$3,0,0,'Données projet'!$E$13+1,1))</f>
        <v>500.13646131618248</v>
      </c>
      <c r="CZ158" s="59">
        <f t="shared" si="150"/>
        <v>417.58036817539306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15.485216354316947</v>
      </c>
      <c r="DG158" s="21">
        <f>EXP(-LN(2)/25)*DG157+(1-EXP(-LN(2)/25))/(LN(2)/25)*Calculateur!DB158*Calculateur!DD158*VLOOKUP('Données projet'!$B$13,Paramètres!$A$1:$I$89,3,0)*0.475*44/12</f>
        <v>3.665848249653481</v>
      </c>
      <c r="DH158" s="21">
        <f>EXP(-LN(2)/2)*DH157+(1-EXP(-LN(2)/2))/(LN(2)/2)*DB158*DE158*VLOOKUP('Données projet'!$B$13,Paramètres!$A$1:$I$89,3,0)*0.475*44/12</f>
        <v>1.2618736687254635E-11</v>
      </c>
      <c r="DI158" s="22">
        <f t="shared" si="175"/>
        <v>19.151064603983048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268.00000000000011</v>
      </c>
      <c r="O159" s="13">
        <f>N159*VLOOKUP('Données projet'!$B$9,Paramètres!$A$1:$I$89,3,0)*VLOOKUP('Données projet'!$B$9,Paramètres!$A$1:$I$89,5,0)</f>
        <v>242.48640000000009</v>
      </c>
      <c r="P159" s="13">
        <f t="shared" si="141"/>
        <v>58.974170235372476</v>
      </c>
      <c r="Q159" s="20">
        <f t="shared" si="162"/>
        <v>525.04382649327385</v>
      </c>
      <c r="R159" s="59">
        <f t="shared" si="109"/>
        <v>818.37715982660711</v>
      </c>
      <c r="S159" s="59">
        <f ca="1">AVERAGE(OFFSET($R$3,0,0,'Données projet'!$E$9+1,1))-AVERAGE(OFFSET($H$3,0,0,'Données projet'!$E$9+1,1))</f>
        <v>371.7282125501186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28.600469141900476</v>
      </c>
      <c r="AA159" s="21">
        <f>EXP(-LN(2)/25)*AA158+(1-EXP(-LN(2)/25))/(LN(2)/25)*Calculateur!V159*Calculateur!X159*VLOOKUP('Données projet'!$B$9,Paramètres!$A$1:$I$89,3,0)*0.475*44/12</f>
        <v>0.91159359771786774</v>
      </c>
      <c r="AB159" s="21">
        <f>EXP(-LN(2)/2)*AB158+(1-EXP(-LN(2)/2))/(LN(2)/2)*V159*Y159*VLOOKUP('Données projet'!$B$9,Paramètres!$A$1:$I$89,3,0)*0.475*44/12</f>
        <v>4.0859746195617987E-6</v>
      </c>
      <c r="AC159" s="22">
        <f t="shared" si="163"/>
        <v>29.512066825592964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305.00000000000017</v>
      </c>
      <c r="AJ159" s="13">
        <f>AI159*VLOOKUP('Données projet'!$B$10,Paramètres!$A$1:$I$89,3,0)*VLOOKUP('Données projet'!$B$10,Paramètres!$A$1:$I$89,5,0)</f>
        <v>204.59400000000011</v>
      </c>
      <c r="AK159" s="13">
        <f t="shared" si="164"/>
        <v>50.75245156043249</v>
      </c>
      <c r="AL159" s="20">
        <f t="shared" si="165"/>
        <v>444.72840313442015</v>
      </c>
      <c r="AM159" s="59">
        <f t="shared" si="113"/>
        <v>738.06173646775346</v>
      </c>
      <c r="AN159" s="59">
        <f ca="1">AVERAGE(OFFSET($AM$3,0,0,'Données projet'!$E$10+1,1))-AVERAGE(OFFSET($H$3,0,0,'Données projet'!$E$10+1,1))</f>
        <v>269.67260882504996</v>
      </c>
      <c r="AO159" s="59">
        <f t="shared" si="144"/>
        <v>272.13858200810074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6.5130467685086835</v>
      </c>
      <c r="AV159" s="21">
        <f>EXP(-LN(2)/25)*AV158+(1-EXP(-LN(2)/25))/(LN(2)/25)*Calculateur!AQ159*Calculateur!AS159*VLOOKUP('Données projet'!$B$10,Paramètres!$A$1:$I$89,3,0)*0.475*44/12</f>
        <v>0.20293525932220879</v>
      </c>
      <c r="AW159" s="21">
        <f>EXP(-LN(2)/2)*AW158+(1-EXP(-LN(2)/2))/(LN(2)/2)*AQ159*AT159*VLOOKUP('Données projet'!$B$10,Paramètres!$A$1:$I$89,3,0)*0.475*44/12</f>
        <v>1.0060430068078664E-13</v>
      </c>
      <c r="AX159" s="21">
        <f t="shared" si="166"/>
        <v>6.715982027830993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453.99999999999977</v>
      </c>
      <c r="BE159" s="13">
        <f>BD159*VLOOKUP('Données projet'!$B$11,Paramètres!$A$1:$I$89,3,0)*VLOOKUP('Données projet'!$B$11,Paramètres!$A$1:$I$89,5,0)</f>
        <v>253.78599999999986</v>
      </c>
      <c r="BF159" s="13">
        <f t="shared" si="167"/>
        <v>61.395945216950906</v>
      </c>
      <c r="BG159" s="20">
        <f t="shared" si="168"/>
        <v>548.94188791952263</v>
      </c>
      <c r="BH159" s="59">
        <f t="shared" si="116"/>
        <v>842.275221252856</v>
      </c>
      <c r="BI159" s="59">
        <f ca="1">AVERAGE(OFFSET($BH$3,0,0,'Données projet'!$E$11+1,1))-AVERAGE(OFFSET($H$3,0,0,'Données projet'!$E$11+1,1))</f>
        <v>330.33728077846268</v>
      </c>
      <c r="BJ159" s="59">
        <f t="shared" si="146"/>
        <v>358.38872754175208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8.9443133604081364</v>
      </c>
      <c r="BQ159" s="21">
        <f>EXP(-LN(2)/25)*BQ158+(1-EXP(-LN(2)/25))/(LN(2)/25)*Calculateur!BL159*Calculateur!BN159*VLOOKUP('Données projet'!$B$11,Paramètres!$A$1:$I$89,3,0)*0.475*44/12</f>
        <v>2.2934768850677565</v>
      </c>
      <c r="BR159" s="21">
        <f>EXP(-LN(2)/2)*BR158+(1-EXP(-LN(2)/2))/(LN(2)/2)*BL159*BO159*VLOOKUP('Données projet'!$B$11,Paramètres!$A$1:$I$89,3,0)*0.475*44/12</f>
        <v>1.8154945141516379E-13</v>
      </c>
      <c r="BS159" s="22">
        <f t="shared" si="169"/>
        <v>11.237790245476074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290.99999999999994</v>
      </c>
      <c r="BZ159" s="13">
        <f>BY159*VLOOKUP('Données projet'!$B$12,Paramètres!$A$1:$I$89,3,0)*VLOOKUP('Données projet'!$B$12,Paramètres!$A$1:$I$89,5,0)</f>
        <v>276.91559999999993</v>
      </c>
      <c r="CA159" s="13">
        <f t="shared" si="170"/>
        <v>66.314766879144742</v>
      </c>
      <c r="CB159" s="20">
        <f t="shared" si="171"/>
        <v>597.79288898117682</v>
      </c>
      <c r="CC159" s="59">
        <f t="shared" si="119"/>
        <v>891.12622231451019</v>
      </c>
      <c r="CD159" s="59">
        <f ca="1">AVERAGE(OFFSET($CC$3,0,0,'Données projet'!$E$12+1,1))-AVERAGE(OFFSET($H$3,0,0,'Données projet'!$E$12+1,1))</f>
        <v>367.39143258674738</v>
      </c>
      <c r="CE159" s="59">
        <f t="shared" si="148"/>
        <v>376.02790658970292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8.2735592674352105</v>
      </c>
      <c r="CL159" s="21">
        <f>EXP(-LN(2)/25)*CL158+(1-EXP(-LN(2)/25))/(LN(2)/25)*Calculateur!CG159*Calculateur!CI159*VLOOKUP('Données projet'!$B$12,Paramètres!$A$1:$I$89,3,0)*0.475*44/12</f>
        <v>0.25218992177323629</v>
      </c>
      <c r="CM159" s="21">
        <f>EXP(-LN(2)/2)*CM158+(1-EXP(-LN(2)/2))/(LN(2)/2)*CG159*CJ159*VLOOKUP('Données projet'!$B$12,Paramètres!$A$1:$I$89,3,0)*0.475*44/12</f>
        <v>1.6499531110716664E-13</v>
      </c>
      <c r="CN159" s="22">
        <f t="shared" si="172"/>
        <v>8.5257491892086126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925.00000000000034</v>
      </c>
      <c r="CU159" s="17">
        <f>CT159*VLOOKUP('Données projet'!$B$13,Paramètres!$A$1:$I$89,3,0)*VLOOKUP('Données projet'!$B$13,Paramètres!$A$1:$I$89,5,0)</f>
        <v>408.85000000000014</v>
      </c>
      <c r="CV159" s="13">
        <f t="shared" si="173"/>
        <v>93.568575358321141</v>
      </c>
      <c r="CW159" s="20">
        <f t="shared" si="174"/>
        <v>875.04568541574281</v>
      </c>
      <c r="CX159" s="59">
        <f t="shared" si="122"/>
        <v>1168.3790187490761</v>
      </c>
      <c r="CY159" s="59">
        <f ca="1">AVERAGE(OFFSET($CX$3,0,0,'Données projet'!$E$13+1,1))-AVERAGE(OFFSET($H$3,0,0,'Données projet'!$E$13+1,1))</f>
        <v>500.13646131618248</v>
      </c>
      <c r="CZ159" s="59">
        <f t="shared" si="150"/>
        <v>417.58036817539306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15.181560706658146</v>
      </c>
      <c r="DG159" s="21">
        <f>EXP(-LN(2)/25)*DG158+(1-EXP(-LN(2)/25))/(LN(2)/25)*Calculateur!DB159*Calculateur!DD159*VLOOKUP('Données projet'!$B$13,Paramètres!$A$1:$I$89,3,0)*0.475*44/12</f>
        <v>3.5656054364881253</v>
      </c>
      <c r="DH159" s="21">
        <f>EXP(-LN(2)/2)*DH158+(1-EXP(-LN(2)/2))/(LN(2)/2)*DB159*DE159*VLOOKUP('Données projet'!$B$13,Paramètres!$A$1:$I$89,3,0)*0.475*44/12</f>
        <v>8.9227942815652225E-12</v>
      </c>
      <c r="DI159" s="22">
        <f t="shared" si="175"/>
        <v>18.747166143155198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268.00000000000011</v>
      </c>
      <c r="O160" s="13">
        <f>N160*VLOOKUP('Données projet'!$B$9,Paramètres!$A$1:$I$89,3,0)*VLOOKUP('Données projet'!$B$9,Paramètres!$A$1:$I$89,5,0)</f>
        <v>242.48640000000009</v>
      </c>
      <c r="P160" s="13">
        <f t="shared" si="141"/>
        <v>58.974170235372476</v>
      </c>
      <c r="Q160" s="20">
        <f t="shared" si="162"/>
        <v>525.04382649327385</v>
      </c>
      <c r="R160" s="59">
        <f t="shared" si="109"/>
        <v>818.37715982660711</v>
      </c>
      <c r="S160" s="59">
        <f ca="1">AVERAGE(OFFSET($R$3,0,0,'Données projet'!$E$9+1,1))-AVERAGE(OFFSET($H$3,0,0,'Données projet'!$E$9+1,1))</f>
        <v>371.7282125501186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28.039631386591477</v>
      </c>
      <c r="AA160" s="21">
        <f>EXP(-LN(2)/25)*AA159+(1-EXP(-LN(2)/25))/(LN(2)/25)*Calculateur!V160*Calculateur!X160*VLOOKUP('Données projet'!$B$9,Paramètres!$A$1:$I$89,3,0)*0.475*44/12</f>
        <v>0.88666602284964879</v>
      </c>
      <c r="AB160" s="21">
        <f>EXP(-LN(2)/2)*AB159+(1-EXP(-LN(2)/2))/(LN(2)/2)*V160*Y160*VLOOKUP('Données projet'!$B$9,Paramètres!$A$1:$I$89,3,0)*0.475*44/12</f>
        <v>2.8892203612482716E-6</v>
      </c>
      <c r="AC160" s="22">
        <f t="shared" si="163"/>
        <v>28.926300298661488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305.00000000000017</v>
      </c>
      <c r="AJ160" s="13">
        <f>AI160*VLOOKUP('Données projet'!$B$10,Paramètres!$A$1:$I$89,3,0)*VLOOKUP('Données projet'!$B$10,Paramètres!$A$1:$I$89,5,0)</f>
        <v>204.59400000000011</v>
      </c>
      <c r="AK160" s="13">
        <f t="shared" si="164"/>
        <v>50.75245156043249</v>
      </c>
      <c r="AL160" s="20">
        <f t="shared" si="165"/>
        <v>444.72840313442015</v>
      </c>
      <c r="AM160" s="59">
        <f t="shared" si="113"/>
        <v>738.06173646775346</v>
      </c>
      <c r="AN160" s="59">
        <f ca="1">AVERAGE(OFFSET($AM$3,0,0,'Données projet'!$E$10+1,1))-AVERAGE(OFFSET($H$3,0,0,'Données projet'!$E$10+1,1))</f>
        <v>269.67260882504996</v>
      </c>
      <c r="AO160" s="59">
        <f t="shared" si="144"/>
        <v>272.13858200810074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6.3853298939444985</v>
      </c>
      <c r="AV160" s="21">
        <f>EXP(-LN(2)/25)*AV159+(1-EXP(-LN(2)/25))/(LN(2)/25)*Calculateur!AQ160*Calculateur!AS160*VLOOKUP('Données projet'!$B$10,Paramètres!$A$1:$I$89,3,0)*0.475*44/12</f>
        <v>0.19738598398414153</v>
      </c>
      <c r="AW160" s="21">
        <f>EXP(-LN(2)/2)*AW159+(1-EXP(-LN(2)/2))/(LN(2)/2)*AQ160*AT160*VLOOKUP('Données projet'!$B$10,Paramètres!$A$1:$I$89,3,0)*0.475*44/12</f>
        <v>7.1137983227914629E-14</v>
      </c>
      <c r="AX160" s="21">
        <f t="shared" si="166"/>
        <v>6.5827158779287114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453.99999999999977</v>
      </c>
      <c r="BE160" s="13">
        <f>BD160*VLOOKUP('Données projet'!$B$11,Paramètres!$A$1:$I$89,3,0)*VLOOKUP('Données projet'!$B$11,Paramètres!$A$1:$I$89,5,0)</f>
        <v>253.78599999999986</v>
      </c>
      <c r="BF160" s="13">
        <f t="shared" si="167"/>
        <v>61.395945216950906</v>
      </c>
      <c r="BG160" s="20">
        <f t="shared" si="168"/>
        <v>548.94188791952263</v>
      </c>
      <c r="BH160" s="59">
        <f t="shared" si="116"/>
        <v>842.275221252856</v>
      </c>
      <c r="BI160" s="59">
        <f ca="1">AVERAGE(OFFSET($BH$3,0,0,'Données projet'!$E$11+1,1))-AVERAGE(OFFSET($H$3,0,0,'Données projet'!$E$11+1,1))</f>
        <v>330.33728077846268</v>
      </c>
      <c r="BJ160" s="59">
        <f t="shared" si="146"/>
        <v>358.38872754175208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8.7689208309029976</v>
      </c>
      <c r="BQ160" s="21">
        <f>EXP(-LN(2)/25)*BQ159+(1-EXP(-LN(2)/25))/(LN(2)/25)*Calculateur!BL160*Calculateur!BN160*VLOOKUP('Données projet'!$B$11,Paramètres!$A$1:$I$89,3,0)*0.475*44/12</f>
        <v>2.2307616390368712</v>
      </c>
      <c r="BR160" s="21">
        <f>EXP(-LN(2)/2)*BR159+(1-EXP(-LN(2)/2))/(LN(2)/2)*BL160*BO160*VLOOKUP('Données projet'!$B$11,Paramètres!$A$1:$I$89,3,0)*0.475*44/12</f>
        <v>1.2837484821635996E-13</v>
      </c>
      <c r="BS160" s="22">
        <f t="shared" si="169"/>
        <v>10.999682469939996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290.99999999999994</v>
      </c>
      <c r="BZ160" s="13">
        <f>BY160*VLOOKUP('Données projet'!$B$12,Paramètres!$A$1:$I$89,3,0)*VLOOKUP('Données projet'!$B$12,Paramètres!$A$1:$I$89,5,0)</f>
        <v>276.91559999999993</v>
      </c>
      <c r="CA160" s="13">
        <f t="shared" si="170"/>
        <v>66.314766879144742</v>
      </c>
      <c r="CB160" s="20">
        <f t="shared" si="171"/>
        <v>597.79288898117682</v>
      </c>
      <c r="CC160" s="59">
        <f t="shared" si="119"/>
        <v>891.12622231451019</v>
      </c>
      <c r="CD160" s="59">
        <f ca="1">AVERAGE(OFFSET($CC$3,0,0,'Données projet'!$E$12+1,1))-AVERAGE(OFFSET($H$3,0,0,'Données projet'!$E$12+1,1))</f>
        <v>367.39143258674738</v>
      </c>
      <c r="CE160" s="59">
        <f t="shared" si="148"/>
        <v>376.02790658970292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8.1113198165736708</v>
      </c>
      <c r="CL160" s="21">
        <f>EXP(-LN(2)/25)*CL159+(1-EXP(-LN(2)/25))/(LN(2)/25)*Calculateur!CG160*Calculateur!CI160*VLOOKUP('Données projet'!$B$12,Paramètres!$A$1:$I$89,3,0)*0.475*44/12</f>
        <v>0.24529377510025555</v>
      </c>
      <c r="CM160" s="21">
        <f>EXP(-LN(2)/2)*CM159+(1-EXP(-LN(2)/2))/(LN(2)/2)*CG160*CJ160*VLOOKUP('Données projet'!$B$12,Paramètres!$A$1:$I$89,3,0)*0.475*44/12</f>
        <v>1.1666930334786161E-13</v>
      </c>
      <c r="CN160" s="22">
        <f t="shared" si="172"/>
        <v>8.3566135916740443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925.00000000000034</v>
      </c>
      <c r="CU160" s="17">
        <f>CT160*VLOOKUP('Données projet'!$B$13,Paramètres!$A$1:$I$89,3,0)*VLOOKUP('Données projet'!$B$13,Paramètres!$A$1:$I$89,5,0)</f>
        <v>408.85000000000014</v>
      </c>
      <c r="CV160" s="13">
        <f t="shared" si="173"/>
        <v>93.568575358321141</v>
      </c>
      <c r="CW160" s="20">
        <f t="shared" si="174"/>
        <v>875.04568541574281</v>
      </c>
      <c r="CX160" s="59">
        <f t="shared" si="122"/>
        <v>1168.3790187490761</v>
      </c>
      <c r="CY160" s="59">
        <f ca="1">AVERAGE(OFFSET($CX$3,0,0,'Données projet'!$E$13+1,1))-AVERAGE(OFFSET($H$3,0,0,'Données projet'!$E$13+1,1))</f>
        <v>500.13646131618248</v>
      </c>
      <c r="CZ160" s="59">
        <f t="shared" si="150"/>
        <v>417.58036817539306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14.883859561038278</v>
      </c>
      <c r="DG160" s="21">
        <f>EXP(-LN(2)/25)*DG159+(1-EXP(-LN(2)/25))/(LN(2)/25)*Calculateur!DB160*Calculateur!DD160*VLOOKUP('Données projet'!$B$13,Paramètres!$A$1:$I$89,3,0)*0.475*44/12</f>
        <v>3.4681037683203169</v>
      </c>
      <c r="DH160" s="21">
        <f>EXP(-LN(2)/2)*DH159+(1-EXP(-LN(2)/2))/(LN(2)/2)*DB160*DE160*VLOOKUP('Données projet'!$B$13,Paramètres!$A$1:$I$89,3,0)*0.475*44/12</f>
        <v>6.3093683436273174E-12</v>
      </c>
      <c r="DI160" s="22">
        <f t="shared" si="175"/>
        <v>18.351963329364906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268.00000000000011</v>
      </c>
      <c r="O161" s="13">
        <f>N161*VLOOKUP('Données projet'!$B$9,Paramètres!$A$1:$I$89,3,0)*VLOOKUP('Données projet'!$B$9,Paramètres!$A$1:$I$89,5,0)</f>
        <v>242.48640000000009</v>
      </c>
      <c r="P161" s="13">
        <f t="shared" si="141"/>
        <v>58.974170235372476</v>
      </c>
      <c r="Q161" s="20">
        <f t="shared" si="162"/>
        <v>525.04382649327385</v>
      </c>
      <c r="R161" s="59">
        <f t="shared" si="109"/>
        <v>818.37715982660711</v>
      </c>
      <c r="S161" s="59">
        <f ca="1">AVERAGE(OFFSET($R$3,0,0,'Données projet'!$E$9+1,1))-AVERAGE(OFFSET($H$3,0,0,'Données projet'!$E$9+1,1))</f>
        <v>371.7282125501186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27.489791317586835</v>
      </c>
      <c r="AA161" s="21">
        <f>EXP(-LN(2)/25)*AA160+(1-EXP(-LN(2)/25))/(LN(2)/25)*Calculateur!V161*Calculateur!X161*VLOOKUP('Données projet'!$B$9,Paramètres!$A$1:$I$89,3,0)*0.475*44/12</f>
        <v>0.86242009382708551</v>
      </c>
      <c r="AB161" s="21">
        <f>EXP(-LN(2)/2)*AB160+(1-EXP(-LN(2)/2))/(LN(2)/2)*V161*Y161*VLOOKUP('Données projet'!$B$9,Paramètres!$A$1:$I$89,3,0)*0.475*44/12</f>
        <v>2.0429873097808994E-6</v>
      </c>
      <c r="AC161" s="22">
        <f t="shared" si="163"/>
        <v>28.35221345440123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305.00000000000017</v>
      </c>
      <c r="AJ161" s="13">
        <f>AI161*VLOOKUP('Données projet'!$B$10,Paramètres!$A$1:$I$89,3,0)*VLOOKUP('Données projet'!$B$10,Paramètres!$A$1:$I$89,5,0)</f>
        <v>204.59400000000011</v>
      </c>
      <c r="AK161" s="13">
        <f t="shared" si="164"/>
        <v>50.75245156043249</v>
      </c>
      <c r="AL161" s="20">
        <f t="shared" si="165"/>
        <v>444.72840313442015</v>
      </c>
      <c r="AM161" s="59">
        <f t="shared" si="113"/>
        <v>738.06173646775346</v>
      </c>
      <c r="AN161" s="59">
        <f ca="1">AVERAGE(OFFSET($AM$3,0,0,'Données projet'!$E$10+1,1))-AVERAGE(OFFSET($H$3,0,0,'Données projet'!$E$10+1,1))</f>
        <v>269.67260882504996</v>
      </c>
      <c r="AO161" s="59">
        <f t="shared" si="144"/>
        <v>272.13858200810074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6.2601174693909156</v>
      </c>
      <c r="AV161" s="21">
        <f>EXP(-LN(2)/25)*AV160+(1-EXP(-LN(2)/25))/(LN(2)/25)*Calculateur!AQ161*Calculateur!AS161*VLOOKUP('Données projet'!$B$10,Paramètres!$A$1:$I$89,3,0)*0.475*44/12</f>
        <v>0.19198845387201741</v>
      </c>
      <c r="AW161" s="21">
        <f>EXP(-LN(2)/2)*AW160+(1-EXP(-LN(2)/2))/(LN(2)/2)*AQ161*AT161*VLOOKUP('Données projet'!$B$10,Paramètres!$A$1:$I$89,3,0)*0.475*44/12</f>
        <v>5.0302150340393318E-14</v>
      </c>
      <c r="AX161" s="21">
        <f t="shared" si="166"/>
        <v>6.4521059232629838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453.99999999999977</v>
      </c>
      <c r="BE161" s="13">
        <f>BD161*VLOOKUP('Données projet'!$B$11,Paramètres!$A$1:$I$89,3,0)*VLOOKUP('Données projet'!$B$11,Paramètres!$A$1:$I$89,5,0)</f>
        <v>253.78599999999986</v>
      </c>
      <c r="BF161" s="13">
        <f t="shared" si="167"/>
        <v>61.395945216950906</v>
      </c>
      <c r="BG161" s="20">
        <f t="shared" si="168"/>
        <v>548.94188791952263</v>
      </c>
      <c r="BH161" s="59">
        <f t="shared" si="116"/>
        <v>842.275221252856</v>
      </c>
      <c r="BI161" s="59">
        <f ca="1">AVERAGE(OFFSET($BH$3,0,0,'Données projet'!$E$11+1,1))-AVERAGE(OFFSET($H$3,0,0,'Données projet'!$E$11+1,1))</f>
        <v>330.33728077846268</v>
      </c>
      <c r="BJ161" s="59">
        <f t="shared" si="146"/>
        <v>358.38872754175208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8.5969676419225749</v>
      </c>
      <c r="BQ161" s="21">
        <f>EXP(-LN(2)/25)*BQ160+(1-EXP(-LN(2)/25))/(LN(2)/25)*Calculateur!BL161*Calculateur!BN161*VLOOKUP('Données projet'!$B$11,Paramètres!$A$1:$I$89,3,0)*0.475*44/12</f>
        <v>2.1697613447067519</v>
      </c>
      <c r="BR161" s="21">
        <f>EXP(-LN(2)/2)*BR160+(1-EXP(-LN(2)/2))/(LN(2)/2)*BL161*BO161*VLOOKUP('Données projet'!$B$11,Paramètres!$A$1:$I$89,3,0)*0.475*44/12</f>
        <v>9.0774725707581893E-14</v>
      </c>
      <c r="BS161" s="22">
        <f t="shared" si="169"/>
        <v>10.766728986629417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290.99999999999994</v>
      </c>
      <c r="BZ161" s="13">
        <f>BY161*VLOOKUP('Données projet'!$B$12,Paramètres!$A$1:$I$89,3,0)*VLOOKUP('Données projet'!$B$12,Paramètres!$A$1:$I$89,5,0)</f>
        <v>276.91559999999993</v>
      </c>
      <c r="CA161" s="13">
        <f t="shared" si="170"/>
        <v>66.314766879144742</v>
      </c>
      <c r="CB161" s="20">
        <f t="shared" si="171"/>
        <v>597.79288898117682</v>
      </c>
      <c r="CC161" s="59">
        <f t="shared" si="119"/>
        <v>891.12622231451019</v>
      </c>
      <c r="CD161" s="59">
        <f ca="1">AVERAGE(OFFSET($CC$3,0,0,'Données projet'!$E$12+1,1))-AVERAGE(OFFSET($H$3,0,0,'Données projet'!$E$12+1,1))</f>
        <v>367.39143258674738</v>
      </c>
      <c r="CE161" s="59">
        <f t="shared" si="148"/>
        <v>376.02790658970292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7.9522617823872324</v>
      </c>
      <c r="CL161" s="21">
        <f>EXP(-LN(2)/25)*CL160+(1-EXP(-LN(2)/25))/(LN(2)/25)*Calculateur!CG161*Calculateur!CI161*VLOOKUP('Données projet'!$B$12,Paramètres!$A$1:$I$89,3,0)*0.475*44/12</f>
        <v>0.23858620392070004</v>
      </c>
      <c r="CM161" s="21">
        <f>EXP(-LN(2)/2)*CM160+(1-EXP(-LN(2)/2))/(LN(2)/2)*CG161*CJ161*VLOOKUP('Données projet'!$B$12,Paramètres!$A$1:$I$89,3,0)*0.475*44/12</f>
        <v>8.2497655553583318E-14</v>
      </c>
      <c r="CN161" s="22">
        <f t="shared" si="172"/>
        <v>8.1908479863080146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925.00000000000034</v>
      </c>
      <c r="CU161" s="17">
        <f>CT161*VLOOKUP('Données projet'!$B$13,Paramètres!$A$1:$I$89,3,0)*VLOOKUP('Données projet'!$B$13,Paramètres!$A$1:$I$89,5,0)</f>
        <v>408.85000000000014</v>
      </c>
      <c r="CV161" s="13">
        <f t="shared" si="173"/>
        <v>93.568575358321141</v>
      </c>
      <c r="CW161" s="20">
        <f t="shared" si="174"/>
        <v>875.04568541574281</v>
      </c>
      <c r="CX161" s="59">
        <f t="shared" si="122"/>
        <v>1168.3790187490761</v>
      </c>
      <c r="CY161" s="59">
        <f ca="1">AVERAGE(OFFSET($CX$3,0,0,'Données projet'!$E$13+1,1))-AVERAGE(OFFSET($H$3,0,0,'Données projet'!$E$13+1,1))</f>
        <v>500.13646131618248</v>
      </c>
      <c r="CZ161" s="59">
        <f t="shared" si="150"/>
        <v>417.58036817539306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14.591996153304246</v>
      </c>
      <c r="DG161" s="21">
        <f>EXP(-LN(2)/25)*DG160+(1-EXP(-LN(2)/25))/(LN(2)/25)*Calculateur!DB161*Calculateur!DD161*VLOOKUP('Données projet'!$B$13,Paramètres!$A$1:$I$89,3,0)*0.475*44/12</f>
        <v>3.3732682883959471</v>
      </c>
      <c r="DH161" s="21">
        <f>EXP(-LN(2)/2)*DH160+(1-EXP(-LN(2)/2))/(LN(2)/2)*DB161*DE161*VLOOKUP('Données projet'!$B$13,Paramètres!$A$1:$I$89,3,0)*0.475*44/12</f>
        <v>4.4613971407826112E-12</v>
      </c>
      <c r="DI161" s="22">
        <f t="shared" si="175"/>
        <v>17.965264441704655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268.00000000000011</v>
      </c>
      <c r="O162" s="13">
        <f>N162*VLOOKUP('Données projet'!$B$9,Paramètres!$A$1:$I$89,3,0)*VLOOKUP('Données projet'!$B$9,Paramètres!$A$1:$I$89,5,0)</f>
        <v>242.48640000000009</v>
      </c>
      <c r="P162" s="13">
        <f t="shared" si="141"/>
        <v>58.974170235372476</v>
      </c>
      <c r="Q162" s="20">
        <f t="shared" si="162"/>
        <v>525.04382649327385</v>
      </c>
      <c r="R162" s="59">
        <f t="shared" si="109"/>
        <v>818.37715982660711</v>
      </c>
      <c r="S162" s="59">
        <f ca="1">AVERAGE(OFFSET($R$3,0,0,'Données projet'!$E$9+1,1))-AVERAGE(OFFSET($H$3,0,0,'Données projet'!$E$9+1,1))</f>
        <v>371.7282125501186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26.950733276966044</v>
      </c>
      <c r="AA162" s="21">
        <f>EXP(-LN(2)/25)*AA161+(1-EXP(-LN(2)/25))/(LN(2)/25)*Calculateur!V162*Calculateur!X162*VLOOKUP('Données projet'!$B$9,Paramètres!$A$1:$I$89,3,0)*0.475*44/12</f>
        <v>0.83883717100868216</v>
      </c>
      <c r="AB162" s="21">
        <f>EXP(-LN(2)/2)*AB161+(1-EXP(-LN(2)/2))/(LN(2)/2)*V162*Y162*VLOOKUP('Données projet'!$B$9,Paramètres!$A$1:$I$89,3,0)*0.475*44/12</f>
        <v>1.4446101806241358E-6</v>
      </c>
      <c r="AC162" s="22">
        <f t="shared" si="163"/>
        <v>27.789571892584906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305.00000000000017</v>
      </c>
      <c r="AJ162" s="13">
        <f>AI162*VLOOKUP('Données projet'!$B$10,Paramètres!$A$1:$I$89,3,0)*VLOOKUP('Données projet'!$B$10,Paramètres!$A$1:$I$89,5,0)</f>
        <v>204.59400000000011</v>
      </c>
      <c r="AK162" s="13">
        <f t="shared" si="164"/>
        <v>50.75245156043249</v>
      </c>
      <c r="AL162" s="20">
        <f t="shared" si="165"/>
        <v>444.72840313442015</v>
      </c>
      <c r="AM162" s="59">
        <f t="shared" si="113"/>
        <v>738.06173646775346</v>
      </c>
      <c r="AN162" s="59">
        <f ca="1">AVERAGE(OFFSET($AM$3,0,0,'Données projet'!$E$10+1,1))-AVERAGE(OFFSET($H$3,0,0,'Données projet'!$E$10+1,1))</f>
        <v>269.67260882504996</v>
      </c>
      <c r="AO162" s="59">
        <f t="shared" si="144"/>
        <v>272.13858200810074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6.1373603841107904</v>
      </c>
      <c r="AV162" s="21">
        <f>EXP(-LN(2)/25)*AV161+(1-EXP(-LN(2)/25))/(LN(2)/25)*Calculateur!AQ162*Calculateur!AS162*VLOOKUP('Données projet'!$B$10,Paramètres!$A$1:$I$89,3,0)*0.475*44/12</f>
        <v>0.18673851950465309</v>
      </c>
      <c r="AW162" s="21">
        <f>EXP(-LN(2)/2)*AW161+(1-EXP(-LN(2)/2))/(LN(2)/2)*AQ162*AT162*VLOOKUP('Données projet'!$B$10,Paramètres!$A$1:$I$89,3,0)*0.475*44/12</f>
        <v>3.5568991613957315E-14</v>
      </c>
      <c r="AX162" s="21">
        <f t="shared" si="166"/>
        <v>6.3240989036154787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453.99999999999977</v>
      </c>
      <c r="BE162" s="13">
        <f>BD162*VLOOKUP('Données projet'!$B$11,Paramètres!$A$1:$I$89,3,0)*VLOOKUP('Données projet'!$B$11,Paramètres!$A$1:$I$89,5,0)</f>
        <v>253.78599999999986</v>
      </c>
      <c r="BF162" s="13">
        <f t="shared" si="167"/>
        <v>61.395945216950906</v>
      </c>
      <c r="BG162" s="20">
        <f t="shared" si="168"/>
        <v>548.94188791952263</v>
      </c>
      <c r="BH162" s="59">
        <f t="shared" si="116"/>
        <v>842.275221252856</v>
      </c>
      <c r="BI162" s="59">
        <f ca="1">AVERAGE(OFFSET($BH$3,0,0,'Données projet'!$E$11+1,1))-AVERAGE(OFFSET($H$3,0,0,'Données projet'!$E$11+1,1))</f>
        <v>330.33728077846268</v>
      </c>
      <c r="BJ162" s="59">
        <f t="shared" si="146"/>
        <v>358.38872754175208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8.4283863500969698</v>
      </c>
      <c r="BQ162" s="21">
        <f>EXP(-LN(2)/25)*BQ161+(1-EXP(-LN(2)/25))/(LN(2)/25)*Calculateur!BL162*Calculateur!BN162*VLOOKUP('Données projet'!$B$11,Paramètres!$A$1:$I$89,3,0)*0.475*44/12</f>
        <v>2.1104291066329557</v>
      </c>
      <c r="BR162" s="21">
        <f>EXP(-LN(2)/2)*BR161+(1-EXP(-LN(2)/2))/(LN(2)/2)*BL162*BO162*VLOOKUP('Données projet'!$B$11,Paramètres!$A$1:$I$89,3,0)*0.475*44/12</f>
        <v>6.4187424108179978E-14</v>
      </c>
      <c r="BS162" s="22">
        <f t="shared" si="169"/>
        <v>10.538815456729989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290.99999999999994</v>
      </c>
      <c r="BZ162" s="13">
        <f>BY162*VLOOKUP('Données projet'!$B$12,Paramètres!$A$1:$I$89,3,0)*VLOOKUP('Données projet'!$B$12,Paramètres!$A$1:$I$89,5,0)</f>
        <v>276.91559999999993</v>
      </c>
      <c r="CA162" s="13">
        <f t="shared" si="170"/>
        <v>66.314766879144742</v>
      </c>
      <c r="CB162" s="20">
        <f t="shared" si="171"/>
        <v>597.79288898117682</v>
      </c>
      <c r="CC162" s="59">
        <f t="shared" si="119"/>
        <v>891.12622231451019</v>
      </c>
      <c r="CD162" s="59">
        <f ca="1">AVERAGE(OFFSET($CC$3,0,0,'Données projet'!$E$12+1,1))-AVERAGE(OFFSET($H$3,0,0,'Données projet'!$E$12+1,1))</f>
        <v>367.39143258674738</v>
      </c>
      <c r="CE162" s="59">
        <f t="shared" si="148"/>
        <v>376.02790658970292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7.7963227792353686</v>
      </c>
      <c r="CL162" s="21">
        <f>EXP(-LN(2)/25)*CL161+(1-EXP(-LN(2)/25))/(LN(2)/25)*Calculateur!CG162*Calculateur!CI162*VLOOKUP('Données projet'!$B$12,Paramètres!$A$1:$I$89,3,0)*0.475*44/12</f>
        <v>0.23206205162778534</v>
      </c>
      <c r="CM162" s="21">
        <f>EXP(-LN(2)/2)*CM161+(1-EXP(-LN(2)/2))/(LN(2)/2)*CG162*CJ162*VLOOKUP('Données projet'!$B$12,Paramètres!$A$1:$I$89,3,0)*0.475*44/12</f>
        <v>5.8334651673930805E-14</v>
      </c>
      <c r="CN162" s="22">
        <f t="shared" si="172"/>
        <v>8.028384830863212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925.00000000000034</v>
      </c>
      <c r="CU162" s="17">
        <f>CT162*VLOOKUP('Données projet'!$B$13,Paramètres!$A$1:$I$89,3,0)*VLOOKUP('Données projet'!$B$13,Paramètres!$A$1:$I$89,5,0)</f>
        <v>408.85000000000014</v>
      </c>
      <c r="CV162" s="13">
        <f t="shared" si="173"/>
        <v>93.568575358321141</v>
      </c>
      <c r="CW162" s="20">
        <f t="shared" si="174"/>
        <v>875.04568541574281</v>
      </c>
      <c r="CX162" s="59">
        <f t="shared" si="122"/>
        <v>1168.3790187490761</v>
      </c>
      <c r="CY162" s="59">
        <f ca="1">AVERAGE(OFFSET($CX$3,0,0,'Données projet'!$E$13+1,1))-AVERAGE(OFFSET($H$3,0,0,'Données projet'!$E$13+1,1))</f>
        <v>500.13646131618248</v>
      </c>
      <c r="CZ162" s="59">
        <f t="shared" si="150"/>
        <v>417.58036817539306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14.305856008976777</v>
      </c>
      <c r="DG162" s="21">
        <f>EXP(-LN(2)/25)*DG161+(1-EXP(-LN(2)/25))/(LN(2)/25)*Calculateur!DB162*Calculateur!DD162*VLOOKUP('Données projet'!$B$13,Paramètres!$A$1:$I$89,3,0)*0.475*44/12</f>
        <v>3.2810260896572903</v>
      </c>
      <c r="DH162" s="21">
        <f>EXP(-LN(2)/2)*DH161+(1-EXP(-LN(2)/2))/(LN(2)/2)*DB162*DE162*VLOOKUP('Données projet'!$B$13,Paramètres!$A$1:$I$89,3,0)*0.475*44/12</f>
        <v>3.1546841718136587E-12</v>
      </c>
      <c r="DI162" s="22">
        <f t="shared" si="175"/>
        <v>17.586882098637222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268.00000000000011</v>
      </c>
      <c r="O163" s="13">
        <f>N163*VLOOKUP('Données projet'!$B$9,Paramètres!$A$1:$I$89,3,0)*VLOOKUP('Données projet'!$B$9,Paramètres!$A$1:$I$89,5,0)</f>
        <v>242.48640000000009</v>
      </c>
      <c r="P163" s="13">
        <f t="shared" si="141"/>
        <v>58.974170235372476</v>
      </c>
      <c r="Q163" s="20">
        <f t="shared" si="162"/>
        <v>525.04382649327385</v>
      </c>
      <c r="R163" s="59">
        <f t="shared" si="109"/>
        <v>818.37715982660711</v>
      </c>
      <c r="S163" s="59">
        <f ca="1">AVERAGE(OFFSET($R$3,0,0,'Données projet'!$E$9+1,1))-AVERAGE(OFFSET($H$3,0,0,'Données projet'!$E$9+1,1))</f>
        <v>371.7282125501186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26.422245835728891</v>
      </c>
      <c r="AA163" s="21">
        <f>EXP(-LN(2)/25)*AA162+(1-EXP(-LN(2)/25))/(LN(2)/25)*Calculateur!V163*Calculateur!X163*VLOOKUP('Données projet'!$B$9,Paramètres!$A$1:$I$89,3,0)*0.475*44/12</f>
        <v>0.81589912445492008</v>
      </c>
      <c r="AB163" s="21">
        <f>EXP(-LN(2)/2)*AB162+(1-EXP(-LN(2)/2))/(LN(2)/2)*V163*Y163*VLOOKUP('Données projet'!$B$9,Paramètres!$A$1:$I$89,3,0)*0.475*44/12</f>
        <v>1.0214936548904497E-6</v>
      </c>
      <c r="AC163" s="22">
        <f t="shared" si="163"/>
        <v>27.238145981677466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305.00000000000017</v>
      </c>
      <c r="AJ163" s="13">
        <f>AI163*VLOOKUP('Données projet'!$B$10,Paramètres!$A$1:$I$89,3,0)*VLOOKUP('Données projet'!$B$10,Paramètres!$A$1:$I$89,5,0)</f>
        <v>204.59400000000011</v>
      </c>
      <c r="AK163" s="13">
        <f t="shared" si="164"/>
        <v>50.75245156043249</v>
      </c>
      <c r="AL163" s="20">
        <f t="shared" si="165"/>
        <v>444.72840313442015</v>
      </c>
      <c r="AM163" s="59">
        <f t="shared" si="113"/>
        <v>738.06173646775346</v>
      </c>
      <c r="AN163" s="59">
        <f ca="1">AVERAGE(OFFSET($AM$3,0,0,'Données projet'!$E$10+1,1))-AVERAGE(OFFSET($H$3,0,0,'Données projet'!$E$10+1,1))</f>
        <v>269.67260882504996</v>
      </c>
      <c r="AO163" s="59">
        <f t="shared" si="144"/>
        <v>272.13858200810074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6.0170104903985804</v>
      </c>
      <c r="AV163" s="21">
        <f>EXP(-LN(2)/25)*AV162+(1-EXP(-LN(2)/25))/(LN(2)/25)*Calculateur!AQ163*Calculateur!AS163*VLOOKUP('Données projet'!$B$10,Paramètres!$A$1:$I$89,3,0)*0.475*44/12</f>
        <v>0.1816321448686464</v>
      </c>
      <c r="AW163" s="21">
        <f>EXP(-LN(2)/2)*AW162+(1-EXP(-LN(2)/2))/(LN(2)/2)*AQ163*AT163*VLOOKUP('Données projet'!$B$10,Paramètres!$A$1:$I$89,3,0)*0.475*44/12</f>
        <v>2.5151075170196659E-14</v>
      </c>
      <c r="AX163" s="21">
        <f t="shared" si="166"/>
        <v>6.1986426352672517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453.99999999999977</v>
      </c>
      <c r="BE163" s="13">
        <f>BD163*VLOOKUP('Données projet'!$B$11,Paramètres!$A$1:$I$89,3,0)*VLOOKUP('Données projet'!$B$11,Paramètres!$A$1:$I$89,5,0)</f>
        <v>253.78599999999986</v>
      </c>
      <c r="BF163" s="13">
        <f t="shared" si="167"/>
        <v>61.395945216950906</v>
      </c>
      <c r="BG163" s="20">
        <f t="shared" si="168"/>
        <v>548.94188791952263</v>
      </c>
      <c r="BH163" s="59">
        <f t="shared" si="116"/>
        <v>842.275221252856</v>
      </c>
      <c r="BI163" s="59">
        <f ca="1">AVERAGE(OFFSET($BH$3,0,0,'Données projet'!$E$11+1,1))-AVERAGE(OFFSET($H$3,0,0,'Données projet'!$E$11+1,1))</f>
        <v>330.33728077846268</v>
      </c>
      <c r="BJ163" s="59">
        <f t="shared" si="146"/>
        <v>358.38872754175208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8.2631108345796296</v>
      </c>
      <c r="BQ163" s="21">
        <f>EXP(-LN(2)/25)*BQ162+(1-EXP(-LN(2)/25))/(LN(2)/25)*Calculateur!BL163*Calculateur!BN163*VLOOKUP('Données projet'!$B$11,Paramètres!$A$1:$I$89,3,0)*0.475*44/12</f>
        <v>2.0527193117294344</v>
      </c>
      <c r="BR163" s="21">
        <f>EXP(-LN(2)/2)*BR162+(1-EXP(-LN(2)/2))/(LN(2)/2)*BL163*BO163*VLOOKUP('Données projet'!$B$11,Paramètres!$A$1:$I$89,3,0)*0.475*44/12</f>
        <v>4.5387362853790946E-14</v>
      </c>
      <c r="BS163" s="22">
        <f t="shared" si="169"/>
        <v>10.315830146309111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290.99999999999994</v>
      </c>
      <c r="BZ163" s="13">
        <f>BY163*VLOOKUP('Données projet'!$B$12,Paramètres!$A$1:$I$89,3,0)*VLOOKUP('Données projet'!$B$12,Paramètres!$A$1:$I$89,5,0)</f>
        <v>276.91559999999993</v>
      </c>
      <c r="CA163" s="13">
        <f t="shared" si="170"/>
        <v>66.314766879144742</v>
      </c>
      <c r="CB163" s="20">
        <f t="shared" si="171"/>
        <v>597.79288898117682</v>
      </c>
      <c r="CC163" s="59">
        <f t="shared" si="119"/>
        <v>891.12622231451019</v>
      </c>
      <c r="CD163" s="59">
        <f ca="1">AVERAGE(OFFSET($CC$3,0,0,'Données projet'!$E$12+1,1))-AVERAGE(OFFSET($H$3,0,0,'Données projet'!$E$12+1,1))</f>
        <v>367.39143258674738</v>
      </c>
      <c r="CE163" s="59">
        <f t="shared" si="148"/>
        <v>376.02790658970292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7.6434416448219125</v>
      </c>
      <c r="CL163" s="21">
        <f>EXP(-LN(2)/25)*CL162+(1-EXP(-LN(2)/25))/(LN(2)/25)*Calculateur!CG163*Calculateur!CI163*VLOOKUP('Données projet'!$B$12,Paramètres!$A$1:$I$89,3,0)*0.475*44/12</f>
        <v>0.22571630262241063</v>
      </c>
      <c r="CM163" s="21">
        <f>EXP(-LN(2)/2)*CM162+(1-EXP(-LN(2)/2))/(LN(2)/2)*CG163*CJ163*VLOOKUP('Données projet'!$B$12,Paramètres!$A$1:$I$89,3,0)*0.475*44/12</f>
        <v>4.1248827776791659E-14</v>
      </c>
      <c r="CN163" s="22">
        <f t="shared" si="172"/>
        <v>7.8691579474443643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925.00000000000034</v>
      </c>
      <c r="CU163" s="17">
        <f>CT163*VLOOKUP('Données projet'!$B$13,Paramètres!$A$1:$I$89,3,0)*VLOOKUP('Données projet'!$B$13,Paramètres!$A$1:$I$89,5,0)</f>
        <v>408.85000000000014</v>
      </c>
      <c r="CV163" s="13">
        <f t="shared" si="173"/>
        <v>93.568575358321141</v>
      </c>
      <c r="CW163" s="20">
        <f t="shared" si="174"/>
        <v>875.04568541574281</v>
      </c>
      <c r="CX163" s="59">
        <f t="shared" si="122"/>
        <v>1168.3790187490761</v>
      </c>
      <c r="CY163" s="59">
        <f ca="1">AVERAGE(OFFSET($CX$3,0,0,'Données projet'!$E$13+1,1))-AVERAGE(OFFSET($H$3,0,0,'Données projet'!$E$13+1,1))</f>
        <v>500.13646131618248</v>
      </c>
      <c r="CZ163" s="59">
        <f t="shared" si="150"/>
        <v>417.58036817539306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14.025326898351315</v>
      </c>
      <c r="DG163" s="21">
        <f>EXP(-LN(2)/25)*DG162+(1-EXP(-LN(2)/25))/(LN(2)/25)*Calculateur!DB163*Calculateur!DD163*VLOOKUP('Données projet'!$B$13,Paramètres!$A$1:$I$89,3,0)*0.475*44/12</f>
        <v>3.1913062586939485</v>
      </c>
      <c r="DH163" s="21">
        <f>EXP(-LN(2)/2)*DH162+(1-EXP(-LN(2)/2))/(LN(2)/2)*DB163*DE163*VLOOKUP('Données projet'!$B$13,Paramètres!$A$1:$I$89,3,0)*0.475*44/12</f>
        <v>2.2306985703913056E-12</v>
      </c>
      <c r="DI163" s="22">
        <f t="shared" si="175"/>
        <v>17.216633157047493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268.00000000000011</v>
      </c>
      <c r="O164" s="13">
        <f>N164*VLOOKUP('Données projet'!$B$9,Paramètres!$A$1:$I$89,3,0)*VLOOKUP('Données projet'!$B$9,Paramètres!$A$1:$I$89,5,0)</f>
        <v>242.48640000000009</v>
      </c>
      <c r="P164" s="13">
        <f t="shared" si="141"/>
        <v>58.974170235372476</v>
      </c>
      <c r="Q164" s="20">
        <f t="shared" si="162"/>
        <v>525.04382649327385</v>
      </c>
      <c r="R164" s="59">
        <f t="shared" si="109"/>
        <v>818.37715982660711</v>
      </c>
      <c r="S164" s="59">
        <f ca="1">AVERAGE(OFFSET($R$3,0,0,'Données projet'!$E$9+1,1))-AVERAGE(OFFSET($H$3,0,0,'Données projet'!$E$9+1,1))</f>
        <v>371.7282125501186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25.904121710868885</v>
      </c>
      <c r="AA164" s="21">
        <f>EXP(-LN(2)/25)*AA163+(1-EXP(-LN(2)/25))/(LN(2)/25)*Calculateur!V164*Calculateur!X164*VLOOKUP('Données projet'!$B$9,Paramètres!$A$1:$I$89,3,0)*0.475*44/12</f>
        <v>0.79358831999043011</v>
      </c>
      <c r="AB164" s="21">
        <f>EXP(-LN(2)/2)*AB163+(1-EXP(-LN(2)/2))/(LN(2)/2)*V164*Y164*VLOOKUP('Données projet'!$B$9,Paramètres!$A$1:$I$89,3,0)*0.475*44/12</f>
        <v>7.2230509031206789E-7</v>
      </c>
      <c r="AC164" s="22">
        <f t="shared" si="163"/>
        <v>26.697710753164404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305.00000000000017</v>
      </c>
      <c r="AJ164" s="13">
        <f>AI164*VLOOKUP('Données projet'!$B$10,Paramètres!$A$1:$I$89,3,0)*VLOOKUP('Données projet'!$B$10,Paramètres!$A$1:$I$89,5,0)</f>
        <v>204.59400000000011</v>
      </c>
      <c r="AK164" s="13">
        <f t="shared" si="164"/>
        <v>50.75245156043249</v>
      </c>
      <c r="AL164" s="20">
        <f t="shared" si="165"/>
        <v>444.72840313442015</v>
      </c>
      <c r="AM164" s="59">
        <f t="shared" si="113"/>
        <v>738.06173646775346</v>
      </c>
      <c r="AN164" s="59">
        <f ca="1">AVERAGE(OFFSET($AM$3,0,0,'Données projet'!$E$10+1,1))-AVERAGE(OFFSET($H$3,0,0,'Données projet'!$E$10+1,1))</f>
        <v>269.67260882504996</v>
      </c>
      <c r="AO164" s="59">
        <f t="shared" si="144"/>
        <v>272.13858200810074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5.8990205846958794</v>
      </c>
      <c r="AV164" s="21">
        <f>EXP(-LN(2)/25)*AV163+(1-EXP(-LN(2)/25))/(LN(2)/25)*Calculateur!AQ164*Calculateur!AS164*VLOOKUP('Données projet'!$B$10,Paramètres!$A$1:$I$89,3,0)*0.475*44/12</f>
        <v>0.17666540431559388</v>
      </c>
      <c r="AW164" s="21">
        <f>EXP(-LN(2)/2)*AW163+(1-EXP(-LN(2)/2))/(LN(2)/2)*AQ164*AT164*VLOOKUP('Données projet'!$B$10,Paramètres!$A$1:$I$89,3,0)*0.475*44/12</f>
        <v>1.7784495806978657E-14</v>
      </c>
      <c r="AX164" s="21">
        <f t="shared" si="166"/>
        <v>6.0756859890114914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453.99999999999977</v>
      </c>
      <c r="BE164" s="13">
        <f>BD164*VLOOKUP('Données projet'!$B$11,Paramètres!$A$1:$I$89,3,0)*VLOOKUP('Données projet'!$B$11,Paramètres!$A$1:$I$89,5,0)</f>
        <v>253.78599999999986</v>
      </c>
      <c r="BF164" s="13">
        <f t="shared" si="167"/>
        <v>61.395945216950906</v>
      </c>
      <c r="BG164" s="20">
        <f t="shared" si="168"/>
        <v>548.94188791952263</v>
      </c>
      <c r="BH164" s="59">
        <f t="shared" si="116"/>
        <v>842.275221252856</v>
      </c>
      <c r="BI164" s="59">
        <f ca="1">AVERAGE(OFFSET($BH$3,0,0,'Données projet'!$E$11+1,1))-AVERAGE(OFFSET($H$3,0,0,'Données projet'!$E$11+1,1))</f>
        <v>330.33728077846268</v>
      </c>
      <c r="BJ164" s="59">
        <f t="shared" si="146"/>
        <v>358.38872754175208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8.1010762711134738</v>
      </c>
      <c r="BQ164" s="21">
        <f>EXP(-LN(2)/25)*BQ163+(1-EXP(-LN(2)/25))/(LN(2)/25)*Calculateur!BL164*Calculateur!BN164*VLOOKUP('Données projet'!$B$11,Paramètres!$A$1:$I$89,3,0)*0.475*44/12</f>
        <v>1.9965875942023761</v>
      </c>
      <c r="BR164" s="21">
        <f>EXP(-LN(2)/2)*BR163+(1-EXP(-LN(2)/2))/(LN(2)/2)*BL164*BO164*VLOOKUP('Données projet'!$B$11,Paramètres!$A$1:$I$89,3,0)*0.475*44/12</f>
        <v>3.2093712054089989E-14</v>
      </c>
      <c r="BS164" s="22">
        <f t="shared" si="169"/>
        <v>10.097663865315882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290.99999999999994</v>
      </c>
      <c r="BZ164" s="13">
        <f>BY164*VLOOKUP('Données projet'!$B$12,Paramètres!$A$1:$I$89,3,0)*VLOOKUP('Données projet'!$B$12,Paramètres!$A$1:$I$89,5,0)</f>
        <v>276.91559999999993</v>
      </c>
      <c r="CA164" s="13">
        <f t="shared" si="170"/>
        <v>66.314766879144742</v>
      </c>
      <c r="CB164" s="20">
        <f t="shared" si="171"/>
        <v>597.79288898117682</v>
      </c>
      <c r="CC164" s="59">
        <f t="shared" si="119"/>
        <v>891.12622231451019</v>
      </c>
      <c r="CD164" s="59">
        <f ca="1">AVERAGE(OFFSET($CC$3,0,0,'Données projet'!$E$12+1,1))-AVERAGE(OFFSET($H$3,0,0,'Données projet'!$E$12+1,1))</f>
        <v>367.39143258674738</v>
      </c>
      <c r="CE164" s="59">
        <f t="shared" si="148"/>
        <v>376.02790658970292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7.49355841620602</v>
      </c>
      <c r="CL164" s="21">
        <f>EXP(-LN(2)/25)*CL163+(1-EXP(-LN(2)/25))/(LN(2)/25)*Calculateur!CG164*Calculateur!CI164*VLOOKUP('Données projet'!$B$12,Paramètres!$A$1:$I$89,3,0)*0.475*44/12</f>
        <v>0.21954407845729634</v>
      </c>
      <c r="CM164" s="21">
        <f>EXP(-LN(2)/2)*CM163+(1-EXP(-LN(2)/2))/(LN(2)/2)*CG164*CJ164*VLOOKUP('Données projet'!$B$12,Paramètres!$A$1:$I$89,3,0)*0.475*44/12</f>
        <v>2.9167325836965403E-14</v>
      </c>
      <c r="CN164" s="22">
        <f t="shared" si="172"/>
        <v>7.713102494663346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925.00000000000034</v>
      </c>
      <c r="CU164" s="17">
        <f>CT164*VLOOKUP('Données projet'!$B$13,Paramètres!$A$1:$I$89,3,0)*VLOOKUP('Données projet'!$B$13,Paramètres!$A$1:$I$89,5,0)</f>
        <v>408.85000000000014</v>
      </c>
      <c r="CV164" s="13">
        <f t="shared" si="173"/>
        <v>93.568575358321141</v>
      </c>
      <c r="CW164" s="20">
        <f t="shared" si="174"/>
        <v>875.04568541574281</v>
      </c>
      <c r="CX164" s="59">
        <f t="shared" si="122"/>
        <v>1168.3790187490761</v>
      </c>
      <c r="CY164" s="59">
        <f ca="1">AVERAGE(OFFSET($CX$3,0,0,'Données projet'!$E$13+1,1))-AVERAGE(OFFSET($H$3,0,0,'Données projet'!$E$13+1,1))</f>
        <v>500.13646131618248</v>
      </c>
      <c r="CZ164" s="59">
        <f t="shared" si="150"/>
        <v>417.58036817539306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13.750298792479356</v>
      </c>
      <c r="DG164" s="21">
        <f>EXP(-LN(2)/25)*DG163+(1-EXP(-LN(2)/25))/(LN(2)/25)*Calculateur!DB164*Calculateur!DD164*VLOOKUP('Données projet'!$B$13,Paramètres!$A$1:$I$89,3,0)*0.475*44/12</f>
        <v>3.1040398212264599</v>
      </c>
      <c r="DH164" s="21">
        <f>EXP(-LN(2)/2)*DH163+(1-EXP(-LN(2)/2))/(LN(2)/2)*DB164*DE164*VLOOKUP('Données projet'!$B$13,Paramètres!$A$1:$I$89,3,0)*0.475*44/12</f>
        <v>1.5773420859068294E-12</v>
      </c>
      <c r="DI164" s="22">
        <f t="shared" si="175"/>
        <v>16.854338613707395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268.00000000000011</v>
      </c>
      <c r="O165" s="13">
        <f>N165*VLOOKUP('Données projet'!$B$9,Paramètres!$A$1:$I$89,3,0)*VLOOKUP('Données projet'!$B$9,Paramètres!$A$1:$I$89,5,0)</f>
        <v>242.48640000000009</v>
      </c>
      <c r="P165" s="13">
        <f t="shared" si="141"/>
        <v>58.974170235372476</v>
      </c>
      <c r="Q165" s="20">
        <f t="shared" si="162"/>
        <v>525.04382649327385</v>
      </c>
      <c r="R165" s="59">
        <f t="shared" si="109"/>
        <v>818.37715982660711</v>
      </c>
      <c r="S165" s="59">
        <f ca="1">AVERAGE(OFFSET($R$3,0,0,'Données projet'!$E$9+1,1))-AVERAGE(OFFSET($H$3,0,0,'Données projet'!$E$9+1,1))</f>
        <v>371.7282125501186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25.396157684072875</v>
      </c>
      <c r="AA165" s="21">
        <f>EXP(-LN(2)/25)*AA164+(1-EXP(-LN(2)/25))/(LN(2)/25)*Calculateur!V165*Calculateur!X165*VLOOKUP('Données projet'!$B$9,Paramètres!$A$1:$I$89,3,0)*0.475*44/12</f>
        <v>0.77188760564729586</v>
      </c>
      <c r="AB165" s="21">
        <f>EXP(-LN(2)/2)*AB164+(1-EXP(-LN(2)/2))/(LN(2)/2)*V165*Y165*VLOOKUP('Données projet'!$B$9,Paramètres!$A$1:$I$89,3,0)*0.475*44/12</f>
        <v>5.1074682744522484E-7</v>
      </c>
      <c r="AC165" s="22">
        <f t="shared" si="163"/>
        <v>26.168045800466999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305.00000000000017</v>
      </c>
      <c r="AJ165" s="13">
        <f>AI165*VLOOKUP('Données projet'!$B$10,Paramètres!$A$1:$I$89,3,0)*VLOOKUP('Données projet'!$B$10,Paramètres!$A$1:$I$89,5,0)</f>
        <v>204.59400000000011</v>
      </c>
      <c r="AK165" s="13">
        <f t="shared" si="164"/>
        <v>50.75245156043249</v>
      </c>
      <c r="AL165" s="20">
        <f t="shared" si="165"/>
        <v>444.72840313442015</v>
      </c>
      <c r="AM165" s="59">
        <f t="shared" si="113"/>
        <v>738.06173646775346</v>
      </c>
      <c r="AN165" s="59">
        <f ca="1">AVERAGE(OFFSET($AM$3,0,0,'Données projet'!$E$10+1,1))-AVERAGE(OFFSET($H$3,0,0,'Données projet'!$E$10+1,1))</f>
        <v>269.67260882504996</v>
      </c>
      <c r="AO165" s="59">
        <f t="shared" si="144"/>
        <v>272.13858200810074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5.7833443890772722</v>
      </c>
      <c r="AV165" s="21">
        <f>EXP(-LN(2)/25)*AV164+(1-EXP(-LN(2)/25))/(LN(2)/25)*Calculateur!AQ165*Calculateur!AS165*VLOOKUP('Données projet'!$B$10,Paramètres!$A$1:$I$89,3,0)*0.475*44/12</f>
        <v>0.17183447954415412</v>
      </c>
      <c r="AW165" s="21">
        <f>EXP(-LN(2)/2)*AW164+(1-EXP(-LN(2)/2))/(LN(2)/2)*AQ165*AT165*VLOOKUP('Données projet'!$B$10,Paramètres!$A$1:$I$89,3,0)*0.475*44/12</f>
        <v>1.257553758509833E-14</v>
      </c>
      <c r="AX165" s="21">
        <f t="shared" si="166"/>
        <v>5.9551788686214389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453.99999999999977</v>
      </c>
      <c r="BE165" s="13">
        <f>BD165*VLOOKUP('Données projet'!$B$11,Paramètres!$A$1:$I$89,3,0)*VLOOKUP('Données projet'!$B$11,Paramètres!$A$1:$I$89,5,0)</f>
        <v>253.78599999999986</v>
      </c>
      <c r="BF165" s="13">
        <f t="shared" si="167"/>
        <v>61.395945216950906</v>
      </c>
      <c r="BG165" s="20">
        <f t="shared" si="168"/>
        <v>548.94188791952263</v>
      </c>
      <c r="BH165" s="59">
        <f t="shared" si="116"/>
        <v>842.275221252856</v>
      </c>
      <c r="BI165" s="59">
        <f ca="1">AVERAGE(OFFSET($BH$3,0,0,'Données projet'!$E$11+1,1))-AVERAGE(OFFSET($H$3,0,0,'Données projet'!$E$11+1,1))</f>
        <v>330.33728077846268</v>
      </c>
      <c r="BJ165" s="59">
        <f t="shared" si="146"/>
        <v>358.38872754175208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7.9422191066055641</v>
      </c>
      <c r="BQ165" s="21">
        <f>EXP(-LN(2)/25)*BQ164+(1-EXP(-LN(2)/25))/(LN(2)/25)*Calculateur!BL165*Calculateur!BN165*VLOOKUP('Données projet'!$B$11,Paramètres!$A$1:$I$89,3,0)*0.475*44/12</f>
        <v>1.9419908014429339</v>
      </c>
      <c r="BR165" s="21">
        <f>EXP(-LN(2)/2)*BR164+(1-EXP(-LN(2)/2))/(LN(2)/2)*BL165*BO165*VLOOKUP('Données projet'!$B$11,Paramètres!$A$1:$I$89,3,0)*0.475*44/12</f>
        <v>2.2693681426895473E-14</v>
      </c>
      <c r="BS165" s="22">
        <f t="shared" si="169"/>
        <v>9.8842099080485202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290.99999999999994</v>
      </c>
      <c r="BZ165" s="13">
        <f>BY165*VLOOKUP('Données projet'!$B$12,Paramètres!$A$1:$I$89,3,0)*VLOOKUP('Données projet'!$B$12,Paramètres!$A$1:$I$89,5,0)</f>
        <v>276.91559999999993</v>
      </c>
      <c r="CA165" s="13">
        <f t="shared" si="170"/>
        <v>66.314766879144742</v>
      </c>
      <c r="CB165" s="20">
        <f t="shared" si="171"/>
        <v>597.79288898117682</v>
      </c>
      <c r="CC165" s="59">
        <f t="shared" si="119"/>
        <v>891.12622231451019</v>
      </c>
      <c r="CD165" s="59">
        <f ca="1">AVERAGE(OFFSET($CC$3,0,0,'Données projet'!$E$12+1,1))-AVERAGE(OFFSET($H$3,0,0,'Données projet'!$E$12+1,1))</f>
        <v>367.39143258674738</v>
      </c>
      <c r="CE165" s="59">
        <f t="shared" si="148"/>
        <v>376.02790658970292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7.3466143062835423</v>
      </c>
      <c r="CL165" s="21">
        <f>EXP(-LN(2)/25)*CL164+(1-EXP(-LN(2)/25))/(LN(2)/25)*Calculateur!CG165*Calculateur!CI165*VLOOKUP('Données projet'!$B$12,Paramètres!$A$1:$I$89,3,0)*0.475*44/12</f>
        <v>0.21354063408656027</v>
      </c>
      <c r="CM165" s="21">
        <f>EXP(-LN(2)/2)*CM164+(1-EXP(-LN(2)/2))/(LN(2)/2)*CG165*CJ165*VLOOKUP('Données projet'!$B$12,Paramètres!$A$1:$I$89,3,0)*0.475*44/12</f>
        <v>2.062441388839583E-14</v>
      </c>
      <c r="CN165" s="22">
        <f t="shared" si="172"/>
        <v>7.5601549403701229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925.00000000000034</v>
      </c>
      <c r="CU165" s="17">
        <f>CT165*VLOOKUP('Données projet'!$B$13,Paramètres!$A$1:$I$89,3,0)*VLOOKUP('Données projet'!$B$13,Paramètres!$A$1:$I$89,5,0)</f>
        <v>408.85000000000014</v>
      </c>
      <c r="CV165" s="13">
        <f t="shared" si="173"/>
        <v>93.568575358321141</v>
      </c>
      <c r="CW165" s="20">
        <f t="shared" si="174"/>
        <v>875.04568541574281</v>
      </c>
      <c r="CX165" s="59">
        <f t="shared" si="122"/>
        <v>1168.3790187490761</v>
      </c>
      <c r="CY165" s="59">
        <f ca="1">AVERAGE(OFFSET($CX$3,0,0,'Données projet'!$E$13+1,1))-AVERAGE(OFFSET($H$3,0,0,'Données projet'!$E$13+1,1))</f>
        <v>500.13646131618248</v>
      </c>
      <c r="CZ165" s="59">
        <f t="shared" si="150"/>
        <v>417.58036817539306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13.480663820012966</v>
      </c>
      <c r="DG165" s="21">
        <f>EXP(-LN(2)/25)*DG164+(1-EXP(-LN(2)/25))/(LN(2)/25)*Calculateur!DB165*Calculateur!DD165*VLOOKUP('Données projet'!$B$13,Paramètres!$A$1:$I$89,3,0)*0.475*44/12</f>
        <v>3.0191596890806625</v>
      </c>
      <c r="DH165" s="21">
        <f>EXP(-LN(2)/2)*DH164+(1-EXP(-LN(2)/2))/(LN(2)/2)*DB165*DE165*VLOOKUP('Données projet'!$B$13,Paramètres!$A$1:$I$89,3,0)*0.475*44/12</f>
        <v>1.1153492851956528E-12</v>
      </c>
      <c r="DI165" s="22">
        <f t="shared" si="175"/>
        <v>16.499823509094742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268.00000000000011</v>
      </c>
      <c r="O166" s="13">
        <f>N166*VLOOKUP('Données projet'!$B$9,Paramètres!$A$1:$I$89,3,0)*VLOOKUP('Données projet'!$B$9,Paramètres!$A$1:$I$89,5,0)</f>
        <v>242.48640000000009</v>
      </c>
      <c r="P166" s="13">
        <f t="shared" si="141"/>
        <v>58.974170235372476</v>
      </c>
      <c r="Q166" s="20">
        <f t="shared" si="162"/>
        <v>525.04382649327385</v>
      </c>
      <c r="R166" s="59">
        <f t="shared" si="109"/>
        <v>818.37715982660711</v>
      </c>
      <c r="S166" s="59">
        <f ca="1">AVERAGE(OFFSET($R$3,0,0,'Données projet'!$E$9+1,1))-AVERAGE(OFFSET($H$3,0,0,'Données projet'!$E$9+1,1))</f>
        <v>371.7282125501186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24.89815452201487</v>
      </c>
      <c r="AA166" s="21">
        <f>EXP(-LN(2)/25)*AA165+(1-EXP(-LN(2)/25))/(LN(2)/25)*Calculateur!V166*Calculateur!X166*VLOOKUP('Données projet'!$B$9,Paramètres!$A$1:$I$89,3,0)*0.475*44/12</f>
        <v>0.75078029847906558</v>
      </c>
      <c r="AB166" s="21">
        <f>EXP(-LN(2)/2)*AB165+(1-EXP(-LN(2)/2))/(LN(2)/2)*V166*Y166*VLOOKUP('Données projet'!$B$9,Paramètres!$A$1:$I$89,3,0)*0.475*44/12</f>
        <v>3.6115254515603395E-7</v>
      </c>
      <c r="AC166" s="22">
        <f t="shared" si="163"/>
        <v>25.648935181646479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305.00000000000017</v>
      </c>
      <c r="AJ166" s="13">
        <f>AI166*VLOOKUP('Données projet'!$B$10,Paramètres!$A$1:$I$89,3,0)*VLOOKUP('Données projet'!$B$10,Paramètres!$A$1:$I$89,5,0)</f>
        <v>204.59400000000011</v>
      </c>
      <c r="AK166" s="13">
        <f t="shared" si="164"/>
        <v>50.75245156043249</v>
      </c>
      <c r="AL166" s="20">
        <f t="shared" si="165"/>
        <v>444.72840313442015</v>
      </c>
      <c r="AM166" s="59">
        <f t="shared" si="113"/>
        <v>738.06173646775346</v>
      </c>
      <c r="AN166" s="59">
        <f ca="1">AVERAGE(OFFSET($AM$3,0,0,'Données projet'!$E$10+1,1))-AVERAGE(OFFSET($H$3,0,0,'Données projet'!$E$10+1,1))</f>
        <v>269.67260882504996</v>
      </c>
      <c r="AO166" s="59">
        <f t="shared" si="144"/>
        <v>272.13858200810074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5.6699365330992331</v>
      </c>
      <c r="AV166" s="21">
        <f>EXP(-LN(2)/25)*AV165+(1-EXP(-LN(2)/25))/(LN(2)/25)*Calculateur!AQ166*Calculateur!AS166*VLOOKUP('Données projet'!$B$10,Paramètres!$A$1:$I$89,3,0)*0.475*44/12</f>
        <v>0.16713565666463667</v>
      </c>
      <c r="AW166" s="21">
        <f>EXP(-LN(2)/2)*AW165+(1-EXP(-LN(2)/2))/(LN(2)/2)*AQ166*AT166*VLOOKUP('Données projet'!$B$10,Paramètres!$A$1:$I$89,3,0)*0.475*44/12</f>
        <v>8.8922479034893287E-15</v>
      </c>
      <c r="AX166" s="21">
        <f t="shared" si="166"/>
        <v>5.8370721897638784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453.99999999999977</v>
      </c>
      <c r="BE166" s="13">
        <f>BD166*VLOOKUP('Données projet'!$B$11,Paramètres!$A$1:$I$89,3,0)*VLOOKUP('Données projet'!$B$11,Paramètres!$A$1:$I$89,5,0)</f>
        <v>253.78599999999986</v>
      </c>
      <c r="BF166" s="13">
        <f t="shared" si="167"/>
        <v>61.395945216950906</v>
      </c>
      <c r="BG166" s="20">
        <f t="shared" si="168"/>
        <v>548.94188791952263</v>
      </c>
      <c r="BH166" s="59">
        <f t="shared" si="116"/>
        <v>842.275221252856</v>
      </c>
      <c r="BI166" s="59">
        <f ca="1">AVERAGE(OFFSET($BH$3,0,0,'Données projet'!$E$11+1,1))-AVERAGE(OFFSET($H$3,0,0,'Données projet'!$E$11+1,1))</f>
        <v>330.33728077846268</v>
      </c>
      <c r="BJ166" s="59">
        <f t="shared" si="146"/>
        <v>358.38872754175208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7.7864770342003515</v>
      </c>
      <c r="BQ166" s="21">
        <f>EXP(-LN(2)/25)*BQ165+(1-EXP(-LN(2)/25))/(LN(2)/25)*Calculateur!BL166*Calculateur!BN166*VLOOKUP('Données projet'!$B$11,Paramètres!$A$1:$I$89,3,0)*0.475*44/12</f>
        <v>1.8888869608526191</v>
      </c>
      <c r="BR166" s="21">
        <f>EXP(-LN(2)/2)*BR165+(1-EXP(-LN(2)/2))/(LN(2)/2)*BL166*BO166*VLOOKUP('Données projet'!$B$11,Paramètres!$A$1:$I$89,3,0)*0.475*44/12</f>
        <v>1.6046856027044995E-14</v>
      </c>
      <c r="BS166" s="22">
        <f t="shared" si="169"/>
        <v>9.6753639950529866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290.99999999999994</v>
      </c>
      <c r="BZ166" s="13">
        <f>BY166*VLOOKUP('Données projet'!$B$12,Paramètres!$A$1:$I$89,3,0)*VLOOKUP('Données projet'!$B$12,Paramètres!$A$1:$I$89,5,0)</f>
        <v>276.91559999999993</v>
      </c>
      <c r="CA166" s="13">
        <f t="shared" si="170"/>
        <v>66.314766879144742</v>
      </c>
      <c r="CB166" s="20">
        <f t="shared" si="171"/>
        <v>597.79288898117682</v>
      </c>
      <c r="CC166" s="59">
        <f t="shared" si="119"/>
        <v>891.12622231451019</v>
      </c>
      <c r="CD166" s="59">
        <f ca="1">AVERAGE(OFFSET($CC$3,0,0,'Données projet'!$E$12+1,1))-AVERAGE(OFFSET($H$3,0,0,'Données projet'!$E$12+1,1))</f>
        <v>367.39143258674738</v>
      </c>
      <c r="CE166" s="59">
        <f t="shared" si="148"/>
        <v>376.02790658970292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7.202551680729588</v>
      </c>
      <c r="CL166" s="21">
        <f>EXP(-LN(2)/25)*CL165+(1-EXP(-LN(2)/25))/(LN(2)/25)*Calculateur!CG166*Calculateur!CI166*VLOOKUP('Données projet'!$B$12,Paramètres!$A$1:$I$89,3,0)*0.475*44/12</f>
        <v>0.20770135421784938</v>
      </c>
      <c r="CM166" s="21">
        <f>EXP(-LN(2)/2)*CM165+(1-EXP(-LN(2)/2))/(LN(2)/2)*CG166*CJ166*VLOOKUP('Données projet'!$B$12,Paramètres!$A$1:$I$89,3,0)*0.475*44/12</f>
        <v>1.4583662918482701E-14</v>
      </c>
      <c r="CN166" s="22">
        <f t="shared" si="172"/>
        <v>7.4102530349474511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925.00000000000034</v>
      </c>
      <c r="CU166" s="17">
        <f>CT166*VLOOKUP('Données projet'!$B$13,Paramètres!$A$1:$I$89,3,0)*VLOOKUP('Données projet'!$B$13,Paramètres!$A$1:$I$89,5,0)</f>
        <v>408.85000000000014</v>
      </c>
      <c r="CV166" s="13">
        <f t="shared" si="173"/>
        <v>93.568575358321141</v>
      </c>
      <c r="CW166" s="20">
        <f t="shared" si="174"/>
        <v>875.04568541574281</v>
      </c>
      <c r="CX166" s="59">
        <f t="shared" si="122"/>
        <v>1168.3790187490761</v>
      </c>
      <c r="CY166" s="59">
        <f ca="1">AVERAGE(OFFSET($CX$3,0,0,'Données projet'!$E$13+1,1))-AVERAGE(OFFSET($H$3,0,0,'Données projet'!$E$13+1,1))</f>
        <v>500.13646131618248</v>
      </c>
      <c r="CZ166" s="59">
        <f t="shared" si="150"/>
        <v>417.58036817539306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13.216316224895548</v>
      </c>
      <c r="DG166" s="21">
        <f>EXP(-LN(2)/25)*DG165+(1-EXP(-LN(2)/25))/(LN(2)/25)*Calculateur!DB166*Calculateur!DD166*VLOOKUP('Données projet'!$B$13,Paramètres!$A$1:$I$89,3,0)*0.475*44/12</f>
        <v>2.9366006086120442</v>
      </c>
      <c r="DH166" s="21">
        <f>EXP(-LN(2)/2)*DH165+(1-EXP(-LN(2)/2))/(LN(2)/2)*DB166*DE166*VLOOKUP('Données projet'!$B$13,Paramètres!$A$1:$I$89,3,0)*0.475*44/12</f>
        <v>7.8867104295341468E-13</v>
      </c>
      <c r="DI166" s="22">
        <f t="shared" si="175"/>
        <v>16.152916833508382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268.00000000000011</v>
      </c>
      <c r="O167" s="13">
        <f>N167*VLOOKUP('Données projet'!$B$9,Paramètres!$A$1:$I$89,3,0)*VLOOKUP('Données projet'!$B$9,Paramètres!$A$1:$I$89,5,0)</f>
        <v>242.48640000000009</v>
      </c>
      <c r="P167" s="13">
        <f t="shared" si="141"/>
        <v>58.974170235372476</v>
      </c>
      <c r="Q167" s="20">
        <f t="shared" si="162"/>
        <v>525.04382649327385</v>
      </c>
      <c r="R167" s="59">
        <f t="shared" si="109"/>
        <v>818.37715982660711</v>
      </c>
      <c r="S167" s="59">
        <f ca="1">AVERAGE(OFFSET($R$3,0,0,'Données projet'!$E$9+1,1))-AVERAGE(OFFSET($H$3,0,0,'Données projet'!$E$9+1,1))</f>
        <v>371.7282125501186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24.409916898212888</v>
      </c>
      <c r="AA167" s="21">
        <f>EXP(-LN(2)/25)*AA166+(1-EXP(-LN(2)/25))/(LN(2)/25)*Calculateur!V167*Calculateur!X167*VLOOKUP('Données projet'!$B$9,Paramètres!$A$1:$I$89,3,0)*0.475*44/12</f>
        <v>0.73025017173533557</v>
      </c>
      <c r="AB167" s="21">
        <f>EXP(-LN(2)/2)*AB166+(1-EXP(-LN(2)/2))/(LN(2)/2)*V167*Y167*VLOOKUP('Données projet'!$B$9,Paramètres!$A$1:$I$89,3,0)*0.475*44/12</f>
        <v>2.5537341372261242E-7</v>
      </c>
      <c r="AC167" s="22">
        <f t="shared" si="163"/>
        <v>25.140167325321638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305.00000000000017</v>
      </c>
      <c r="AJ167" s="13">
        <f>AI167*VLOOKUP('Données projet'!$B$10,Paramètres!$A$1:$I$89,3,0)*VLOOKUP('Données projet'!$B$10,Paramètres!$A$1:$I$89,5,0)</f>
        <v>204.59400000000011</v>
      </c>
      <c r="AK167" s="13">
        <f t="shared" si="164"/>
        <v>50.75245156043249</v>
      </c>
      <c r="AL167" s="20">
        <f t="shared" si="165"/>
        <v>444.72840313442015</v>
      </c>
      <c r="AM167" s="59">
        <f t="shared" si="113"/>
        <v>738.06173646775346</v>
      </c>
      <c r="AN167" s="59">
        <f ca="1">AVERAGE(OFFSET($AM$3,0,0,'Données projet'!$E$10+1,1))-AVERAGE(OFFSET($H$3,0,0,'Données projet'!$E$10+1,1))</f>
        <v>269.67260882504996</v>
      </c>
      <c r="AO167" s="59">
        <f t="shared" si="144"/>
        <v>272.13858200810074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5.5587525360049614</v>
      </c>
      <c r="AV167" s="21">
        <f>EXP(-LN(2)/25)*AV166+(1-EXP(-LN(2)/25))/(LN(2)/25)*Calculateur!AQ167*Calculateur!AS167*VLOOKUP('Données projet'!$B$10,Paramètres!$A$1:$I$89,3,0)*0.475*44/12</f>
        <v>0.16256532334385998</v>
      </c>
      <c r="AW167" s="21">
        <f>EXP(-LN(2)/2)*AW166+(1-EXP(-LN(2)/2))/(LN(2)/2)*AQ167*AT167*VLOOKUP('Données projet'!$B$10,Paramètres!$A$1:$I$89,3,0)*0.475*44/12</f>
        <v>6.2877687925491648E-15</v>
      </c>
      <c r="AX167" s="21">
        <f t="shared" si="166"/>
        <v>5.7213178593488276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453.99999999999977</v>
      </c>
      <c r="BE167" s="13">
        <f>BD167*VLOOKUP('Données projet'!$B$11,Paramètres!$A$1:$I$89,3,0)*VLOOKUP('Données projet'!$B$11,Paramètres!$A$1:$I$89,5,0)</f>
        <v>253.78599999999986</v>
      </c>
      <c r="BF167" s="13">
        <f t="shared" si="167"/>
        <v>61.395945216950906</v>
      </c>
      <c r="BG167" s="20">
        <f t="shared" si="168"/>
        <v>548.94188791952263</v>
      </c>
      <c r="BH167" s="59">
        <f t="shared" si="116"/>
        <v>842.275221252856</v>
      </c>
      <c r="BI167" s="59">
        <f ca="1">AVERAGE(OFFSET($BH$3,0,0,'Données projet'!$E$11+1,1))-AVERAGE(OFFSET($H$3,0,0,'Données projet'!$E$11+1,1))</f>
        <v>330.33728077846268</v>
      </c>
      <c r="BJ167" s="59">
        <f t="shared" si="146"/>
        <v>358.38872754175208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7.6337889688417206</v>
      </c>
      <c r="BQ167" s="21">
        <f>EXP(-LN(2)/25)*BQ166+(1-EXP(-LN(2)/25))/(LN(2)/25)*Calculateur!BL167*Calculateur!BN167*VLOOKUP('Données projet'!$B$11,Paramètres!$A$1:$I$89,3,0)*0.475*44/12</f>
        <v>1.837235247575856</v>
      </c>
      <c r="BR167" s="21">
        <f>EXP(-LN(2)/2)*BR166+(1-EXP(-LN(2)/2))/(LN(2)/2)*BL167*BO167*VLOOKUP('Données projet'!$B$11,Paramètres!$A$1:$I$89,3,0)*0.475*44/12</f>
        <v>1.1346840713447737E-14</v>
      </c>
      <c r="BS167" s="22">
        <f t="shared" si="169"/>
        <v>9.4710242164175877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290.99999999999994</v>
      </c>
      <c r="BZ167" s="13">
        <f>BY167*VLOOKUP('Données projet'!$B$12,Paramètres!$A$1:$I$89,3,0)*VLOOKUP('Données projet'!$B$12,Paramètres!$A$1:$I$89,5,0)</f>
        <v>276.91559999999993</v>
      </c>
      <c r="CA167" s="13">
        <f t="shared" si="170"/>
        <v>66.314766879144742</v>
      </c>
      <c r="CB167" s="20">
        <f t="shared" si="171"/>
        <v>597.79288898117682</v>
      </c>
      <c r="CC167" s="59">
        <f t="shared" si="119"/>
        <v>891.12622231451019</v>
      </c>
      <c r="CD167" s="59">
        <f ca="1">AVERAGE(OFFSET($CC$3,0,0,'Données projet'!$E$12+1,1))-AVERAGE(OFFSET($H$3,0,0,'Données projet'!$E$12+1,1))</f>
        <v>367.39143258674738</v>
      </c>
      <c r="CE167" s="59">
        <f t="shared" si="148"/>
        <v>376.02790658970292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7.0613140353932211</v>
      </c>
      <c r="CL167" s="21">
        <f>EXP(-LN(2)/25)*CL166+(1-EXP(-LN(2)/25))/(LN(2)/25)*Calculateur!CG167*Calculateur!CI167*VLOOKUP('Données projet'!$B$12,Paramètres!$A$1:$I$89,3,0)*0.475*44/12</f>
        <v>0.20202174976422277</v>
      </c>
      <c r="CM167" s="21">
        <f>EXP(-LN(2)/2)*CM166+(1-EXP(-LN(2)/2))/(LN(2)/2)*CG167*CJ167*VLOOKUP('Données projet'!$B$12,Paramètres!$A$1:$I$89,3,0)*0.475*44/12</f>
        <v>1.0312206944197915E-14</v>
      </c>
      <c r="CN167" s="22">
        <f t="shared" si="172"/>
        <v>7.2633357851574543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925.00000000000034</v>
      </c>
      <c r="CU167" s="17">
        <f>CT167*VLOOKUP('Données projet'!$B$13,Paramètres!$A$1:$I$89,3,0)*VLOOKUP('Données projet'!$B$13,Paramètres!$A$1:$I$89,5,0)</f>
        <v>408.85000000000014</v>
      </c>
      <c r="CV167" s="13">
        <f t="shared" si="173"/>
        <v>93.568575358321141</v>
      </c>
      <c r="CW167" s="20">
        <f t="shared" si="174"/>
        <v>875.04568541574281</v>
      </c>
      <c r="CX167" s="59">
        <f t="shared" si="122"/>
        <v>1168.3790187490761</v>
      </c>
      <c r="CY167" s="59">
        <f ca="1">AVERAGE(OFFSET($CX$3,0,0,'Données projet'!$E$13+1,1))-AVERAGE(OFFSET($H$3,0,0,'Données projet'!$E$13+1,1))</f>
        <v>500.13646131618248</v>
      </c>
      <c r="CZ167" s="59">
        <f t="shared" si="150"/>
        <v>417.58036817539306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12.957152324882271</v>
      </c>
      <c r="DG167" s="21">
        <f>EXP(-LN(2)/25)*DG166+(1-EXP(-LN(2)/25))/(LN(2)/25)*Calculateur!DB167*Calculateur!DD167*VLOOKUP('Données projet'!$B$13,Paramètres!$A$1:$I$89,3,0)*0.475*44/12</f>
        <v>2.8562991105404336</v>
      </c>
      <c r="DH167" s="21">
        <f>EXP(-LN(2)/2)*DH166+(1-EXP(-LN(2)/2))/(LN(2)/2)*DB167*DE167*VLOOKUP('Données projet'!$B$13,Paramètres!$A$1:$I$89,3,0)*0.475*44/12</f>
        <v>5.5767464259782641E-13</v>
      </c>
      <c r="DI167" s="22">
        <f t="shared" si="175"/>
        <v>15.813451435423262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268.00000000000011</v>
      </c>
      <c r="O168" s="13">
        <f>N168*VLOOKUP('Données projet'!$B$9,Paramètres!$A$1:$I$89,3,0)*VLOOKUP('Données projet'!$B$9,Paramètres!$A$1:$I$89,5,0)</f>
        <v>242.48640000000009</v>
      </c>
      <c r="P168" s="13">
        <f t="shared" si="141"/>
        <v>58.974170235372476</v>
      </c>
      <c r="Q168" s="20">
        <f t="shared" si="162"/>
        <v>525.04382649327385</v>
      </c>
      <c r="R168" s="59">
        <f t="shared" si="109"/>
        <v>818.37715982660711</v>
      </c>
      <c r="S168" s="59">
        <f ca="1">AVERAGE(OFFSET($R$3,0,0,'Données projet'!$E$9+1,1))-AVERAGE(OFFSET($H$3,0,0,'Données projet'!$E$9+1,1))</f>
        <v>371.7282125501186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23.931253316418115</v>
      </c>
      <c r="AA168" s="21">
        <f>EXP(-LN(2)/25)*AA167+(1-EXP(-LN(2)/25))/(LN(2)/25)*Calculateur!V168*Calculateur!X168*VLOOKUP('Données projet'!$B$9,Paramètres!$A$1:$I$89,3,0)*0.475*44/12</f>
        <v>0.71028144238704527</v>
      </c>
      <c r="AB168" s="21">
        <f>EXP(-LN(2)/2)*AB167+(1-EXP(-LN(2)/2))/(LN(2)/2)*V168*Y168*VLOOKUP('Données projet'!$B$9,Paramètres!$A$1:$I$89,3,0)*0.475*44/12</f>
        <v>1.8057627257801697E-7</v>
      </c>
      <c r="AC168" s="22">
        <f t="shared" si="163"/>
        <v>24.641534939381433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305.00000000000017</v>
      </c>
      <c r="AJ168" s="13">
        <f>AI168*VLOOKUP('Données projet'!$B$10,Paramètres!$A$1:$I$89,3,0)*VLOOKUP('Données projet'!$B$10,Paramètres!$A$1:$I$89,5,0)</f>
        <v>204.59400000000011</v>
      </c>
      <c r="AK168" s="13">
        <f t="shared" si="164"/>
        <v>50.75245156043249</v>
      </c>
      <c r="AL168" s="20">
        <f t="shared" si="165"/>
        <v>444.72840313442015</v>
      </c>
      <c r="AM168" s="59">
        <f t="shared" si="113"/>
        <v>738.06173646775346</v>
      </c>
      <c r="AN168" s="59">
        <f ca="1">AVERAGE(OFFSET($AM$3,0,0,'Données projet'!$E$10+1,1))-AVERAGE(OFFSET($H$3,0,0,'Données projet'!$E$10+1,1))</f>
        <v>269.67260882504996</v>
      </c>
      <c r="AO168" s="59">
        <f t="shared" si="144"/>
        <v>272.13858200810074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5.4497487892781669</v>
      </c>
      <c r="AV168" s="21">
        <f>EXP(-LN(2)/25)*AV167+(1-EXP(-LN(2)/25))/(LN(2)/25)*Calculateur!AQ168*Calculateur!AS168*VLOOKUP('Données projet'!$B$10,Paramètres!$A$1:$I$89,3,0)*0.475*44/12</f>
        <v>0.15811996602808331</v>
      </c>
      <c r="AW168" s="21">
        <f>EXP(-LN(2)/2)*AW167+(1-EXP(-LN(2)/2))/(LN(2)/2)*AQ168*AT168*VLOOKUP('Données projet'!$B$10,Paramètres!$A$1:$I$89,3,0)*0.475*44/12</f>
        <v>4.4461239517446643E-15</v>
      </c>
      <c r="AX168" s="21">
        <f t="shared" si="166"/>
        <v>5.6078687553062547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453.99999999999977</v>
      </c>
      <c r="BE168" s="13">
        <f>BD168*VLOOKUP('Données projet'!$B$11,Paramètres!$A$1:$I$89,3,0)*VLOOKUP('Données projet'!$B$11,Paramètres!$A$1:$I$89,5,0)</f>
        <v>253.78599999999986</v>
      </c>
      <c r="BF168" s="13">
        <f t="shared" si="167"/>
        <v>61.395945216950906</v>
      </c>
      <c r="BG168" s="20">
        <f t="shared" si="168"/>
        <v>548.94188791952263</v>
      </c>
      <c r="BH168" s="59">
        <f t="shared" si="116"/>
        <v>842.275221252856</v>
      </c>
      <c r="BI168" s="59">
        <f ca="1">AVERAGE(OFFSET($BH$3,0,0,'Données projet'!$E$11+1,1))-AVERAGE(OFFSET($H$3,0,0,'Données projet'!$E$11+1,1))</f>
        <v>330.33728077846268</v>
      </c>
      <c r="BJ168" s="59">
        <f t="shared" si="146"/>
        <v>358.38872754175208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7.4840950233142491</v>
      </c>
      <c r="BQ168" s="21">
        <f>EXP(-LN(2)/25)*BQ167+(1-EXP(-LN(2)/25))/(LN(2)/25)*Calculateur!BL168*Calculateur!BN168*VLOOKUP('Données projet'!$B$11,Paramètres!$A$1:$I$89,3,0)*0.475*44/12</f>
        <v>1.7869959531148916</v>
      </c>
      <c r="BR168" s="21">
        <f>EXP(-LN(2)/2)*BR167+(1-EXP(-LN(2)/2))/(LN(2)/2)*BL168*BO168*VLOOKUP('Données projet'!$B$11,Paramètres!$A$1:$I$89,3,0)*0.475*44/12</f>
        <v>8.0234280135224973E-15</v>
      </c>
      <c r="BS168" s="22">
        <f t="shared" si="169"/>
        <v>9.27109097642915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290.99999999999994</v>
      </c>
      <c r="BZ168" s="13">
        <f>BY168*VLOOKUP('Données projet'!$B$12,Paramètres!$A$1:$I$89,3,0)*VLOOKUP('Données projet'!$B$12,Paramètres!$A$1:$I$89,5,0)</f>
        <v>276.91559999999993</v>
      </c>
      <c r="CA168" s="13">
        <f t="shared" si="170"/>
        <v>66.314766879144742</v>
      </c>
      <c r="CB168" s="20">
        <f t="shared" si="171"/>
        <v>597.79288898117682</v>
      </c>
      <c r="CC168" s="59">
        <f t="shared" si="119"/>
        <v>891.12622231451019</v>
      </c>
      <c r="CD168" s="59">
        <f ca="1">AVERAGE(OFFSET($CC$3,0,0,'Données projet'!$E$12+1,1))-AVERAGE(OFFSET($H$3,0,0,'Données projet'!$E$12+1,1))</f>
        <v>367.39143258674738</v>
      </c>
      <c r="CE168" s="59">
        <f t="shared" si="148"/>
        <v>376.02790658970292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6.9228459741354431</v>
      </c>
      <c r="CL168" s="21">
        <f>EXP(-LN(2)/25)*CL167+(1-EXP(-LN(2)/25))/(LN(2)/25)*Calculateur!CG168*Calculateur!CI168*VLOOKUP('Données projet'!$B$12,Paramètres!$A$1:$I$89,3,0)*0.475*44/12</f>
        <v>0.19649745439305799</v>
      </c>
      <c r="CM168" s="21">
        <f>EXP(-LN(2)/2)*CM167+(1-EXP(-LN(2)/2))/(LN(2)/2)*CG168*CJ168*VLOOKUP('Données projet'!$B$12,Paramètres!$A$1:$I$89,3,0)*0.475*44/12</f>
        <v>7.2918314592413506E-15</v>
      </c>
      <c r="CN168" s="22">
        <f t="shared" si="172"/>
        <v>7.1193434285285084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925.00000000000034</v>
      </c>
      <c r="CU168" s="17">
        <f>CT168*VLOOKUP('Données projet'!$B$13,Paramètres!$A$1:$I$89,3,0)*VLOOKUP('Données projet'!$B$13,Paramètres!$A$1:$I$89,5,0)</f>
        <v>408.85000000000014</v>
      </c>
      <c r="CV168" s="13">
        <f t="shared" si="173"/>
        <v>93.568575358321141</v>
      </c>
      <c r="CW168" s="20">
        <f t="shared" si="174"/>
        <v>875.04568541574281</v>
      </c>
      <c r="CX168" s="59">
        <f t="shared" si="122"/>
        <v>1168.3790187490761</v>
      </c>
      <c r="CY168" s="59">
        <f ca="1">AVERAGE(OFFSET($CX$3,0,0,'Données projet'!$E$13+1,1))-AVERAGE(OFFSET($H$3,0,0,'Données projet'!$E$13+1,1))</f>
        <v>500.13646131618248</v>
      </c>
      <c r="CZ168" s="59">
        <f t="shared" si="150"/>
        <v>417.58036817539306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12.703070470873884</v>
      </c>
      <c r="DG168" s="21">
        <f>EXP(-LN(2)/25)*DG167+(1-EXP(-LN(2)/25))/(LN(2)/25)*Calculateur!DB168*Calculateur!DD168*VLOOKUP('Données projet'!$B$13,Paramètres!$A$1:$I$89,3,0)*0.475*44/12</f>
        <v>2.7781934611564636</v>
      </c>
      <c r="DH168" s="21">
        <f>EXP(-LN(2)/2)*DH167+(1-EXP(-LN(2)/2))/(LN(2)/2)*DB168*DE168*VLOOKUP('Données projet'!$B$13,Paramètres!$A$1:$I$89,3,0)*0.475*44/12</f>
        <v>3.9433552147670734E-13</v>
      </c>
      <c r="DI168" s="22">
        <f t="shared" si="175"/>
        <v>15.481263932030743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268.00000000000011</v>
      </c>
      <c r="O169" s="13">
        <f>N169*VLOOKUP('Données projet'!$B$9,Paramètres!$A$1:$I$89,3,0)*VLOOKUP('Données projet'!$B$9,Paramètres!$A$1:$I$89,5,0)</f>
        <v>242.48640000000009</v>
      </c>
      <c r="P169" s="13">
        <f t="shared" si="141"/>
        <v>58.974170235372476</v>
      </c>
      <c r="Q169" s="20">
        <f t="shared" si="162"/>
        <v>525.04382649327385</v>
      </c>
      <c r="R169" s="59">
        <f t="shared" si="109"/>
        <v>818.37715982660711</v>
      </c>
      <c r="S169" s="59">
        <f ca="1">AVERAGE(OFFSET($R$3,0,0,'Données projet'!$E$9+1,1))-AVERAGE(OFFSET($H$3,0,0,'Données projet'!$E$9+1,1))</f>
        <v>371.7282125501186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23.461976035506382</v>
      </c>
      <c r="AA169" s="21">
        <f>EXP(-LN(2)/25)*AA168+(1-EXP(-LN(2)/25))/(LN(2)/25)*Calculateur!V169*Calculateur!X169*VLOOKUP('Données projet'!$B$9,Paramètres!$A$1:$I$89,3,0)*0.475*44/12</f>
        <v>0.69085875899289384</v>
      </c>
      <c r="AB169" s="21">
        <f>EXP(-LN(2)/2)*AB168+(1-EXP(-LN(2)/2))/(LN(2)/2)*V169*Y169*VLOOKUP('Données projet'!$B$9,Paramètres!$A$1:$I$89,3,0)*0.475*44/12</f>
        <v>1.2768670686130621E-7</v>
      </c>
      <c r="AC169" s="22">
        <f t="shared" si="163"/>
        <v>24.152834922185985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305.00000000000017</v>
      </c>
      <c r="AJ169" s="13">
        <f>AI169*VLOOKUP('Données projet'!$B$10,Paramètres!$A$1:$I$89,3,0)*VLOOKUP('Données projet'!$B$10,Paramètres!$A$1:$I$89,5,0)</f>
        <v>204.59400000000011</v>
      </c>
      <c r="AK169" s="13">
        <f t="shared" si="164"/>
        <v>50.75245156043249</v>
      </c>
      <c r="AL169" s="20">
        <f t="shared" si="165"/>
        <v>444.72840313442015</v>
      </c>
      <c r="AM169" s="59">
        <f t="shared" si="113"/>
        <v>738.06173646775346</v>
      </c>
      <c r="AN169" s="59">
        <f ca="1">AVERAGE(OFFSET($AM$3,0,0,'Données projet'!$E$10+1,1))-AVERAGE(OFFSET($H$3,0,0,'Données projet'!$E$10+1,1))</f>
        <v>269.67260882504996</v>
      </c>
      <c r="AO169" s="59">
        <f t="shared" si="144"/>
        <v>272.13858200810074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5.3428825395389641</v>
      </c>
      <c r="AV169" s="21">
        <f>EXP(-LN(2)/25)*AV168+(1-EXP(-LN(2)/25))/(LN(2)/25)*Calculateur!AQ169*Calculateur!AS169*VLOOKUP('Données projet'!$B$10,Paramètres!$A$1:$I$89,3,0)*0.475*44/12</f>
        <v>0.15379616724187775</v>
      </c>
      <c r="AW169" s="21">
        <f>EXP(-LN(2)/2)*AW168+(1-EXP(-LN(2)/2))/(LN(2)/2)*AQ169*AT169*VLOOKUP('Données projet'!$B$10,Paramètres!$A$1:$I$89,3,0)*0.475*44/12</f>
        <v>3.1438843962745824E-15</v>
      </c>
      <c r="AX169" s="21">
        <f t="shared" si="166"/>
        <v>5.4966787067808456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453.99999999999977</v>
      </c>
      <c r="BE169" s="13">
        <f>BD169*VLOOKUP('Données projet'!$B$11,Paramètres!$A$1:$I$89,3,0)*VLOOKUP('Données projet'!$B$11,Paramètres!$A$1:$I$89,5,0)</f>
        <v>253.78599999999986</v>
      </c>
      <c r="BF169" s="13">
        <f t="shared" si="167"/>
        <v>61.395945216950906</v>
      </c>
      <c r="BG169" s="20">
        <f t="shared" si="168"/>
        <v>548.94188791952263</v>
      </c>
      <c r="BH169" s="59">
        <f t="shared" si="116"/>
        <v>842.275221252856</v>
      </c>
      <c r="BI169" s="59">
        <f ca="1">AVERAGE(OFFSET($BH$3,0,0,'Données projet'!$E$11+1,1))-AVERAGE(OFFSET($H$3,0,0,'Données projet'!$E$11+1,1))</f>
        <v>330.33728077846268</v>
      </c>
      <c r="BJ169" s="59">
        <f t="shared" si="146"/>
        <v>358.38872754175208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7.3373364847542799</v>
      </c>
      <c r="BQ169" s="21">
        <f>EXP(-LN(2)/25)*BQ168+(1-EXP(-LN(2)/25))/(LN(2)/25)*Calculateur!BL169*Calculateur!BN169*VLOOKUP('Données projet'!$B$11,Paramètres!$A$1:$I$89,3,0)*0.475*44/12</f>
        <v>1.7381304548029319</v>
      </c>
      <c r="BR169" s="21">
        <f>EXP(-LN(2)/2)*BR168+(1-EXP(-LN(2)/2))/(LN(2)/2)*BL169*BO169*VLOOKUP('Données projet'!$B$11,Paramètres!$A$1:$I$89,3,0)*0.475*44/12</f>
        <v>5.6734203567238683E-15</v>
      </c>
      <c r="BS169" s="22">
        <f t="shared" si="169"/>
        <v>9.0754669395572165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290.99999999999994</v>
      </c>
      <c r="BZ169" s="13">
        <f>BY169*VLOOKUP('Données projet'!$B$12,Paramètres!$A$1:$I$89,3,0)*VLOOKUP('Données projet'!$B$12,Paramètres!$A$1:$I$89,5,0)</f>
        <v>276.91559999999993</v>
      </c>
      <c r="CA169" s="13">
        <f t="shared" si="170"/>
        <v>66.314766879144742</v>
      </c>
      <c r="CB169" s="20">
        <f t="shared" si="171"/>
        <v>597.79288898117682</v>
      </c>
      <c r="CC169" s="59">
        <f t="shared" si="119"/>
        <v>891.12622231451019</v>
      </c>
      <c r="CD169" s="59">
        <f ca="1">AVERAGE(OFFSET($CC$3,0,0,'Données projet'!$E$12+1,1))-AVERAGE(OFFSET($H$3,0,0,'Données projet'!$E$12+1,1))</f>
        <v>367.39143258674738</v>
      </c>
      <c r="CE169" s="59">
        <f t="shared" si="148"/>
        <v>376.02790658970292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6.7870931871017524</v>
      </c>
      <c r="CL169" s="21">
        <f>EXP(-LN(2)/25)*CL168+(1-EXP(-LN(2)/25))/(LN(2)/25)*Calculateur!CG169*Calculateur!CI169*VLOOKUP('Données projet'!$B$12,Paramètres!$A$1:$I$89,3,0)*0.475*44/12</f>
        <v>0.19112422116932778</v>
      </c>
      <c r="CM169" s="21">
        <f>EXP(-LN(2)/2)*CM168+(1-EXP(-LN(2)/2))/(LN(2)/2)*CG169*CJ169*VLOOKUP('Données projet'!$B$12,Paramètres!$A$1:$I$89,3,0)*0.475*44/12</f>
        <v>5.1561034720989574E-15</v>
      </c>
      <c r="CN169" s="22">
        <f t="shared" si="172"/>
        <v>6.9782174082710853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925.00000000000034</v>
      </c>
      <c r="CU169" s="17">
        <f>CT169*VLOOKUP('Données projet'!$B$13,Paramètres!$A$1:$I$89,3,0)*VLOOKUP('Données projet'!$B$13,Paramètres!$A$1:$I$89,5,0)</f>
        <v>408.85000000000014</v>
      </c>
      <c r="CV169" s="13">
        <f t="shared" si="173"/>
        <v>93.568575358321141</v>
      </c>
      <c r="CW169" s="20">
        <f t="shared" si="174"/>
        <v>875.04568541574281</v>
      </c>
      <c r="CX169" s="59">
        <f t="shared" si="122"/>
        <v>1168.3790187490761</v>
      </c>
      <c r="CY169" s="59">
        <f ca="1">AVERAGE(OFFSET($CX$3,0,0,'Données projet'!$E$13+1,1))-AVERAGE(OFFSET($H$3,0,0,'Données projet'!$E$13+1,1))</f>
        <v>500.13646131618248</v>
      </c>
      <c r="CZ169" s="59">
        <f t="shared" si="150"/>
        <v>417.58036817539306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12.453971007047972</v>
      </c>
      <c r="DG169" s="21">
        <f>EXP(-LN(2)/25)*DG168+(1-EXP(-LN(2)/25))/(LN(2)/25)*Calculateur!DB169*Calculateur!DD169*VLOOKUP('Données projet'!$B$13,Paramètres!$A$1:$I$89,3,0)*0.475*44/12</f>
        <v>2.7022236148622958</v>
      </c>
      <c r="DH169" s="21">
        <f>EXP(-LN(2)/2)*DH168+(1-EXP(-LN(2)/2))/(LN(2)/2)*DB169*DE169*VLOOKUP('Données projet'!$B$13,Paramètres!$A$1:$I$89,3,0)*0.475*44/12</f>
        <v>2.788373212989132E-13</v>
      </c>
      <c r="DI169" s="22">
        <f t="shared" si="175"/>
        <v>15.156194621910547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268.00000000000011</v>
      </c>
      <c r="O170" s="13">
        <f>N170*VLOOKUP('Données projet'!$B$9,Paramètres!$A$1:$I$89,3,0)*VLOOKUP('Données projet'!$B$9,Paramètres!$A$1:$I$89,5,0)</f>
        <v>242.48640000000009</v>
      </c>
      <c r="P170" s="13">
        <f t="shared" si="141"/>
        <v>58.974170235372476</v>
      </c>
      <c r="Q170" s="20">
        <f t="shared" si="162"/>
        <v>525.04382649327385</v>
      </c>
      <c r="R170" s="59">
        <f t="shared" si="109"/>
        <v>818.37715982660711</v>
      </c>
      <c r="S170" s="59">
        <f ca="1">AVERAGE(OFFSET($R$3,0,0,'Données projet'!$E$9+1,1))-AVERAGE(OFFSET($H$3,0,0,'Données projet'!$E$9+1,1))</f>
        <v>371.7282125501186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23.001900995842451</v>
      </c>
      <c r="AA170" s="21">
        <f>EXP(-LN(2)/25)*AA169+(1-EXP(-LN(2)/25))/(LN(2)/25)*Calculateur!V170*Calculateur!X170*VLOOKUP('Données projet'!$B$9,Paramètres!$A$1:$I$89,3,0)*0.475*44/12</f>
        <v>0.67196718989755</v>
      </c>
      <c r="AB170" s="21">
        <f>EXP(-LN(2)/2)*AB169+(1-EXP(-LN(2)/2))/(LN(2)/2)*V170*Y170*VLOOKUP('Données projet'!$B$9,Paramètres!$A$1:$I$89,3,0)*0.475*44/12</f>
        <v>9.0288136289008487E-8</v>
      </c>
      <c r="AC170" s="22">
        <f t="shared" si="163"/>
        <v>23.673868276028138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305.00000000000017</v>
      </c>
      <c r="AJ170" s="13">
        <f>AI170*VLOOKUP('Données projet'!$B$10,Paramètres!$A$1:$I$89,3,0)*VLOOKUP('Données projet'!$B$10,Paramètres!$A$1:$I$89,5,0)</f>
        <v>204.59400000000011</v>
      </c>
      <c r="AK170" s="13">
        <f t="shared" si="164"/>
        <v>50.75245156043249</v>
      </c>
      <c r="AL170" s="20">
        <f t="shared" si="165"/>
        <v>444.72840313442015</v>
      </c>
      <c r="AM170" s="59">
        <f t="shared" si="113"/>
        <v>738.06173646775346</v>
      </c>
      <c r="AN170" s="59">
        <f ca="1">AVERAGE(OFFSET($AM$3,0,0,'Données projet'!$E$10+1,1))-AVERAGE(OFFSET($H$3,0,0,'Données projet'!$E$10+1,1))</f>
        <v>269.67260882504996</v>
      </c>
      <c r="AO170" s="59">
        <f t="shared" si="144"/>
        <v>272.13858200810074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5.2381118717751711</v>
      </c>
      <c r="AV170" s="21">
        <f>EXP(-LN(2)/25)*AV169+(1-EXP(-LN(2)/25))/(LN(2)/25)*Calculateur!AQ170*Calculateur!AS170*VLOOKUP('Données projet'!$B$10,Paramètres!$A$1:$I$89,3,0)*0.475*44/12</f>
        <v>0.14959060296085969</v>
      </c>
      <c r="AW170" s="21">
        <f>EXP(-LN(2)/2)*AW169+(1-EXP(-LN(2)/2))/(LN(2)/2)*AQ170*AT170*VLOOKUP('Données projet'!$B$10,Paramètres!$A$1:$I$89,3,0)*0.475*44/12</f>
        <v>2.2230619758723322E-15</v>
      </c>
      <c r="AX170" s="21">
        <f t="shared" si="166"/>
        <v>5.3877024747360336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453.99999999999977</v>
      </c>
      <c r="BE170" s="13">
        <f>BD170*VLOOKUP('Données projet'!$B$11,Paramètres!$A$1:$I$89,3,0)*VLOOKUP('Données projet'!$B$11,Paramètres!$A$1:$I$89,5,0)</f>
        <v>253.78599999999986</v>
      </c>
      <c r="BF170" s="13">
        <f t="shared" si="167"/>
        <v>61.395945216950906</v>
      </c>
      <c r="BG170" s="20">
        <f t="shared" si="168"/>
        <v>548.94188791952263</v>
      </c>
      <c r="BH170" s="59">
        <f t="shared" si="116"/>
        <v>842.275221252856</v>
      </c>
      <c r="BI170" s="59">
        <f ca="1">AVERAGE(OFFSET($BH$3,0,0,'Données projet'!$E$11+1,1))-AVERAGE(OFFSET($H$3,0,0,'Données projet'!$E$11+1,1))</f>
        <v>330.33728077846268</v>
      </c>
      <c r="BJ170" s="59">
        <f t="shared" si="146"/>
        <v>358.38872754175208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7.1934557916216013</v>
      </c>
      <c r="BQ170" s="21">
        <f>EXP(-LN(2)/25)*BQ169+(1-EXP(-LN(2)/25))/(LN(2)/25)*Calculateur!BL170*Calculateur!BN170*VLOOKUP('Données projet'!$B$11,Paramètres!$A$1:$I$89,3,0)*0.475*44/12</f>
        <v>1.6906011861120378</v>
      </c>
      <c r="BR170" s="21">
        <f>EXP(-LN(2)/2)*BR169+(1-EXP(-LN(2)/2))/(LN(2)/2)*BL170*BO170*VLOOKUP('Données projet'!$B$11,Paramètres!$A$1:$I$89,3,0)*0.475*44/12</f>
        <v>4.0117140067612487E-15</v>
      </c>
      <c r="BS170" s="22">
        <f t="shared" si="169"/>
        <v>8.8840569777336427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290.99999999999994</v>
      </c>
      <c r="BZ170" s="13">
        <f>BY170*VLOOKUP('Données projet'!$B$12,Paramètres!$A$1:$I$89,3,0)*VLOOKUP('Données projet'!$B$12,Paramètres!$A$1:$I$89,5,0)</f>
        <v>276.91559999999993</v>
      </c>
      <c r="CA170" s="13">
        <f t="shared" si="170"/>
        <v>66.314766879144742</v>
      </c>
      <c r="CB170" s="20">
        <f t="shared" si="171"/>
        <v>597.79288898117682</v>
      </c>
      <c r="CC170" s="59">
        <f t="shared" si="119"/>
        <v>891.12622231451019</v>
      </c>
      <c r="CD170" s="59">
        <f ca="1">AVERAGE(OFFSET($CC$3,0,0,'Données projet'!$E$12+1,1))-AVERAGE(OFFSET($H$3,0,0,'Données projet'!$E$12+1,1))</f>
        <v>367.39143258674738</v>
      </c>
      <c r="CE170" s="59">
        <f t="shared" si="148"/>
        <v>376.02790658970292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6.6540024294207676</v>
      </c>
      <c r="CL170" s="21">
        <f>EXP(-LN(2)/25)*CL169+(1-EXP(-LN(2)/25))/(LN(2)/25)*Calculateur!CG170*Calculateur!CI170*VLOOKUP('Données projet'!$B$12,Paramètres!$A$1:$I$89,3,0)*0.475*44/12</f>
        <v>0.18589791929066654</v>
      </c>
      <c r="CM170" s="21">
        <f>EXP(-LN(2)/2)*CM169+(1-EXP(-LN(2)/2))/(LN(2)/2)*CG170*CJ170*VLOOKUP('Données projet'!$B$12,Paramètres!$A$1:$I$89,3,0)*0.475*44/12</f>
        <v>3.6459157296206753E-15</v>
      </c>
      <c r="CN170" s="22">
        <f t="shared" si="172"/>
        <v>6.8399003487114376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925.00000000000034</v>
      </c>
      <c r="CU170" s="17">
        <f>CT170*VLOOKUP('Données projet'!$B$13,Paramètres!$A$1:$I$89,3,0)*VLOOKUP('Données projet'!$B$13,Paramètres!$A$1:$I$89,5,0)</f>
        <v>408.85000000000014</v>
      </c>
      <c r="CV170" s="13">
        <f t="shared" si="173"/>
        <v>93.568575358321141</v>
      </c>
      <c r="CW170" s="20">
        <f t="shared" si="174"/>
        <v>875.04568541574281</v>
      </c>
      <c r="CX170" s="59">
        <f t="shared" si="122"/>
        <v>1168.3790187490761</v>
      </c>
      <c r="CY170" s="59">
        <f ca="1">AVERAGE(OFFSET($CX$3,0,0,'Données projet'!$E$13+1,1))-AVERAGE(OFFSET($H$3,0,0,'Données projet'!$E$13+1,1))</f>
        <v>500.13646131618248</v>
      </c>
      <c r="CZ170" s="59">
        <f t="shared" si="150"/>
        <v>417.58036817539306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12.209756231772015</v>
      </c>
      <c r="DG170" s="21">
        <f>EXP(-LN(2)/25)*DG169+(1-EXP(-LN(2)/25))/(LN(2)/25)*Calculateur!DB170*Calculateur!DD170*VLOOKUP('Données projet'!$B$13,Paramètres!$A$1:$I$89,3,0)*0.475*44/12</f>
        <v>2.6283311680101225</v>
      </c>
      <c r="DH170" s="21">
        <f>EXP(-LN(2)/2)*DH169+(1-EXP(-LN(2)/2))/(LN(2)/2)*DB170*DE170*VLOOKUP('Données projet'!$B$13,Paramètres!$A$1:$I$89,3,0)*0.475*44/12</f>
        <v>1.9716776073835367E-13</v>
      </c>
      <c r="DI170" s="22">
        <f t="shared" si="175"/>
        <v>14.838087399782335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268.00000000000011</v>
      </c>
      <c r="O171" s="13">
        <f>N171*VLOOKUP('Données projet'!$B$9,Paramètres!$A$1:$I$89,3,0)*VLOOKUP('Données projet'!$B$9,Paramètres!$A$1:$I$89,5,0)</f>
        <v>242.48640000000009</v>
      </c>
      <c r="P171" s="13">
        <f t="shared" si="141"/>
        <v>58.974170235372476</v>
      </c>
      <c r="Q171" s="20">
        <f t="shared" si="162"/>
        <v>525.04382649327385</v>
      </c>
      <c r="R171" s="59">
        <f t="shared" si="109"/>
        <v>818.37715982660711</v>
      </c>
      <c r="S171" s="59">
        <f ca="1">AVERAGE(OFFSET($R$3,0,0,'Données projet'!$E$9+1,1))-AVERAGE(OFFSET($H$3,0,0,'Données projet'!$E$9+1,1))</f>
        <v>371.7282125501186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22.550847747088262</v>
      </c>
      <c r="AA171" s="21">
        <f>EXP(-LN(2)/25)*AA170+(1-EXP(-LN(2)/25))/(LN(2)/25)*Calculateur!V171*Calculateur!X171*VLOOKUP('Données projet'!$B$9,Paramètres!$A$1:$I$89,3,0)*0.475*44/12</f>
        <v>0.65359221175258275</v>
      </c>
      <c r="AB171" s="21">
        <f>EXP(-LN(2)/2)*AB170+(1-EXP(-LN(2)/2))/(LN(2)/2)*V171*Y171*VLOOKUP('Données projet'!$B$9,Paramètres!$A$1:$I$89,3,0)*0.475*44/12</f>
        <v>6.3843353430653105E-8</v>
      </c>
      <c r="AC171" s="22">
        <f t="shared" si="163"/>
        <v>23.204440022684196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305.00000000000017</v>
      </c>
      <c r="AJ171" s="13">
        <f>AI171*VLOOKUP('Données projet'!$B$10,Paramètres!$A$1:$I$89,3,0)*VLOOKUP('Données projet'!$B$10,Paramètres!$A$1:$I$89,5,0)</f>
        <v>204.59400000000011</v>
      </c>
      <c r="AK171" s="13">
        <f t="shared" si="164"/>
        <v>50.75245156043249</v>
      </c>
      <c r="AL171" s="20">
        <f t="shared" si="165"/>
        <v>444.72840313442015</v>
      </c>
      <c r="AM171" s="59">
        <f t="shared" si="113"/>
        <v>738.06173646775346</v>
      </c>
      <c r="AN171" s="59">
        <f ca="1">AVERAGE(OFFSET($AM$3,0,0,'Données projet'!$E$10+1,1))-AVERAGE(OFFSET($H$3,0,0,'Données projet'!$E$10+1,1))</f>
        <v>269.67260882504996</v>
      </c>
      <c r="AO171" s="59">
        <f t="shared" si="144"/>
        <v>272.13858200810074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5.1353956929024287</v>
      </c>
      <c r="AV171" s="21">
        <f>EXP(-LN(2)/25)*AV170+(1-EXP(-LN(2)/25))/(LN(2)/25)*Calculateur!AQ171*Calculateur!AS171*VLOOKUP('Données projet'!$B$10,Paramètres!$A$1:$I$89,3,0)*0.475*44/12</f>
        <v>0.14550004005626707</v>
      </c>
      <c r="AW171" s="21">
        <f>EXP(-LN(2)/2)*AW170+(1-EXP(-LN(2)/2))/(LN(2)/2)*AQ171*AT171*VLOOKUP('Données projet'!$B$10,Paramètres!$A$1:$I$89,3,0)*0.475*44/12</f>
        <v>1.5719421981372912E-15</v>
      </c>
      <c r="AX171" s="21">
        <f t="shared" si="166"/>
        <v>5.2808957329586974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453.99999999999977</v>
      </c>
      <c r="BE171" s="13">
        <f>BD171*VLOOKUP('Données projet'!$B$11,Paramètres!$A$1:$I$89,3,0)*VLOOKUP('Données projet'!$B$11,Paramètres!$A$1:$I$89,5,0)</f>
        <v>253.78599999999986</v>
      </c>
      <c r="BF171" s="13">
        <f t="shared" si="167"/>
        <v>61.395945216950906</v>
      </c>
      <c r="BG171" s="20">
        <f t="shared" si="168"/>
        <v>548.94188791952263</v>
      </c>
      <c r="BH171" s="59">
        <f t="shared" si="116"/>
        <v>842.275221252856</v>
      </c>
      <c r="BI171" s="59">
        <f ca="1">AVERAGE(OFFSET($BH$3,0,0,'Données projet'!$E$11+1,1))-AVERAGE(OFFSET($H$3,0,0,'Données projet'!$E$11+1,1))</f>
        <v>330.33728077846268</v>
      </c>
      <c r="BJ171" s="59">
        <f t="shared" si="146"/>
        <v>358.38872754175208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7.0523965111226978</v>
      </c>
      <c r="BQ171" s="21">
        <f>EXP(-LN(2)/25)*BQ170+(1-EXP(-LN(2)/25))/(LN(2)/25)*Calculateur!BL171*Calculateur!BN171*VLOOKUP('Données projet'!$B$11,Paramètres!$A$1:$I$89,3,0)*0.475*44/12</f>
        <v>1.6443716077729518</v>
      </c>
      <c r="BR171" s="21">
        <f>EXP(-LN(2)/2)*BR170+(1-EXP(-LN(2)/2))/(LN(2)/2)*BL171*BO171*VLOOKUP('Données projet'!$B$11,Paramètres!$A$1:$I$89,3,0)*0.475*44/12</f>
        <v>2.8367101783619341E-15</v>
      </c>
      <c r="BS171" s="22">
        <f t="shared" si="169"/>
        <v>8.6967681188956529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290.99999999999994</v>
      </c>
      <c r="BZ171" s="13">
        <f>BY171*VLOOKUP('Données projet'!$B$12,Paramètres!$A$1:$I$89,3,0)*VLOOKUP('Données projet'!$B$12,Paramètres!$A$1:$I$89,5,0)</f>
        <v>276.91559999999993</v>
      </c>
      <c r="CA171" s="13">
        <f t="shared" si="170"/>
        <v>66.314766879144742</v>
      </c>
      <c r="CB171" s="20">
        <f t="shared" si="171"/>
        <v>597.79288898117682</v>
      </c>
      <c r="CC171" s="59">
        <f t="shared" si="119"/>
        <v>891.12622231451019</v>
      </c>
      <c r="CD171" s="59">
        <f ca="1">AVERAGE(OFFSET($CC$3,0,0,'Données projet'!$E$12+1,1))-AVERAGE(OFFSET($H$3,0,0,'Données projet'!$E$12+1,1))</f>
        <v>367.39143258674738</v>
      </c>
      <c r="CE171" s="59">
        <f t="shared" si="148"/>
        <v>376.02790658970292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6.5235215003205607</v>
      </c>
      <c r="CL171" s="21">
        <f>EXP(-LN(2)/25)*CL170+(1-EXP(-LN(2)/25))/(LN(2)/25)*Calculateur!CG171*Calculateur!CI171*VLOOKUP('Données projet'!$B$12,Paramètres!$A$1:$I$89,3,0)*0.475*44/12</f>
        <v>0.18081453091171656</v>
      </c>
      <c r="CM171" s="21">
        <f>EXP(-LN(2)/2)*CM170+(1-EXP(-LN(2)/2))/(LN(2)/2)*CG171*CJ171*VLOOKUP('Données projet'!$B$12,Paramètres!$A$1:$I$89,3,0)*0.475*44/12</f>
        <v>2.5780517360494787E-15</v>
      </c>
      <c r="CN171" s="22">
        <f t="shared" si="172"/>
        <v>6.7043360312322795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925.00000000000034</v>
      </c>
      <c r="CU171" s="17">
        <f>CT171*VLOOKUP('Données projet'!$B$13,Paramètres!$A$1:$I$89,3,0)*VLOOKUP('Données projet'!$B$13,Paramètres!$A$1:$I$89,5,0)</f>
        <v>408.85000000000014</v>
      </c>
      <c r="CV171" s="13">
        <f t="shared" si="173"/>
        <v>93.568575358321141</v>
      </c>
      <c r="CW171" s="20">
        <f t="shared" si="174"/>
        <v>875.04568541574281</v>
      </c>
      <c r="CX171" s="59">
        <f t="shared" si="122"/>
        <v>1168.3790187490761</v>
      </c>
      <c r="CY171" s="59">
        <f ca="1">AVERAGE(OFFSET($CX$3,0,0,'Données projet'!$E$13+1,1))-AVERAGE(OFFSET($H$3,0,0,'Données projet'!$E$13+1,1))</f>
        <v>500.13646131618248</v>
      </c>
      <c r="CZ171" s="59">
        <f t="shared" si="150"/>
        <v>417.58036817539306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11.970330359282917</v>
      </c>
      <c r="DG171" s="21">
        <f>EXP(-LN(2)/25)*DG170+(1-EXP(-LN(2)/25))/(LN(2)/25)*Calculateur!DB171*Calculateur!DD171*VLOOKUP('Données projet'!$B$13,Paramètres!$A$1:$I$89,3,0)*0.475*44/12</f>
        <v>2.5564593140029568</v>
      </c>
      <c r="DH171" s="21">
        <f>EXP(-LN(2)/2)*DH170+(1-EXP(-LN(2)/2))/(LN(2)/2)*DB171*DE171*VLOOKUP('Données projet'!$B$13,Paramètres!$A$1:$I$89,3,0)*0.475*44/12</f>
        <v>1.394186606494566E-13</v>
      </c>
      <c r="DI171" s="22">
        <f t="shared" si="175"/>
        <v>14.526789673286013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268.00000000000011</v>
      </c>
      <c r="O172" s="13">
        <f>N172*VLOOKUP('Données projet'!$B$9,Paramètres!$A$1:$I$89,3,0)*VLOOKUP('Données projet'!$B$9,Paramètres!$A$1:$I$89,5,0)</f>
        <v>242.48640000000009</v>
      </c>
      <c r="P172" s="13">
        <f t="shared" si="141"/>
        <v>58.974170235372476</v>
      </c>
      <c r="Q172" s="20">
        <f t="shared" si="162"/>
        <v>525.04382649327385</v>
      </c>
      <c r="R172" s="59">
        <f t="shared" si="109"/>
        <v>818.37715982660711</v>
      </c>
      <c r="S172" s="59">
        <f ca="1">AVERAGE(OFFSET($R$3,0,0,'Données projet'!$E$9+1,1))-AVERAGE(OFFSET($H$3,0,0,'Données projet'!$E$9+1,1))</f>
        <v>371.7282125501186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22.108639377426826</v>
      </c>
      <c r="AA172" s="21">
        <f>EXP(-LN(2)/25)*AA171+(1-EXP(-LN(2)/25))/(LN(2)/25)*Calculateur!V172*Calculateur!X172*VLOOKUP('Données projet'!$B$9,Paramètres!$A$1:$I$89,3,0)*0.475*44/12</f>
        <v>0.63571969835128772</v>
      </c>
      <c r="AB172" s="21">
        <f>EXP(-LN(2)/2)*AB171+(1-EXP(-LN(2)/2))/(LN(2)/2)*V172*Y172*VLOOKUP('Données projet'!$B$9,Paramètres!$A$1:$I$89,3,0)*0.475*44/12</f>
        <v>4.5144068144504243E-8</v>
      </c>
      <c r="AC172" s="22">
        <f t="shared" si="163"/>
        <v>22.744359120922184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305.00000000000017</v>
      </c>
      <c r="AJ172" s="13">
        <f>AI172*VLOOKUP('Données projet'!$B$10,Paramètres!$A$1:$I$89,3,0)*VLOOKUP('Données projet'!$B$10,Paramètres!$A$1:$I$89,5,0)</f>
        <v>204.59400000000011</v>
      </c>
      <c r="AK172" s="13">
        <f t="shared" si="164"/>
        <v>50.75245156043249</v>
      </c>
      <c r="AL172" s="20">
        <f t="shared" si="165"/>
        <v>444.72840313442015</v>
      </c>
      <c r="AM172" s="59">
        <f t="shared" si="113"/>
        <v>738.06173646775346</v>
      </c>
      <c r="AN172" s="59">
        <f ca="1">AVERAGE(OFFSET($AM$3,0,0,'Données projet'!$E$10+1,1))-AVERAGE(OFFSET($H$3,0,0,'Données projet'!$E$10+1,1))</f>
        <v>269.67260882504996</v>
      </c>
      <c r="AO172" s="59">
        <f t="shared" si="144"/>
        <v>272.13858200810074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5.0346937156466973</v>
      </c>
      <c r="AV172" s="21">
        <f>EXP(-LN(2)/25)*AV171+(1-EXP(-LN(2)/25))/(LN(2)/25)*Calculateur!AQ172*Calculateur!AS172*VLOOKUP('Données projet'!$B$10,Paramètres!$A$1:$I$89,3,0)*0.475*44/12</f>
        <v>0.1415213338094139</v>
      </c>
      <c r="AW172" s="21">
        <f>EXP(-LN(2)/2)*AW171+(1-EXP(-LN(2)/2))/(LN(2)/2)*AQ172*AT172*VLOOKUP('Données projet'!$B$10,Paramètres!$A$1:$I$89,3,0)*0.475*44/12</f>
        <v>1.1115309879361661E-15</v>
      </c>
      <c r="AX172" s="21">
        <f t="shared" si="166"/>
        <v>5.1762150494561121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453.99999999999977</v>
      </c>
      <c r="BE172" s="13">
        <f>BD172*VLOOKUP('Données projet'!$B$11,Paramètres!$A$1:$I$89,3,0)*VLOOKUP('Données projet'!$B$11,Paramètres!$A$1:$I$89,5,0)</f>
        <v>253.78599999999986</v>
      </c>
      <c r="BF172" s="13">
        <f t="shared" si="167"/>
        <v>61.395945216950906</v>
      </c>
      <c r="BG172" s="20">
        <f t="shared" si="168"/>
        <v>548.94188791952263</v>
      </c>
      <c r="BH172" s="59">
        <f t="shared" si="116"/>
        <v>842.275221252856</v>
      </c>
      <c r="BI172" s="59">
        <f ca="1">AVERAGE(OFFSET($BH$3,0,0,'Données projet'!$E$11+1,1))-AVERAGE(OFFSET($H$3,0,0,'Données projet'!$E$11+1,1))</f>
        <v>330.33728077846268</v>
      </c>
      <c r="BJ172" s="59">
        <f t="shared" si="146"/>
        <v>358.38872754175208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6.9141033170767123</v>
      </c>
      <c r="BQ172" s="21">
        <f>EXP(-LN(2)/25)*BQ171+(1-EXP(-LN(2)/25))/(LN(2)/25)*Calculateur!BL172*Calculateur!BN172*VLOOKUP('Données projet'!$B$11,Paramètres!$A$1:$I$89,3,0)*0.475*44/12</f>
        <v>1.5994061796846557</v>
      </c>
      <c r="BR172" s="21">
        <f>EXP(-LN(2)/2)*BR171+(1-EXP(-LN(2)/2))/(LN(2)/2)*BL172*BO172*VLOOKUP('Données projet'!$B$11,Paramètres!$A$1:$I$89,3,0)*0.475*44/12</f>
        <v>2.0058570033806243E-15</v>
      </c>
      <c r="BS172" s="22">
        <f t="shared" si="169"/>
        <v>8.5135094967613707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290.99999999999994</v>
      </c>
      <c r="BZ172" s="13">
        <f>BY172*VLOOKUP('Données projet'!$B$12,Paramètres!$A$1:$I$89,3,0)*VLOOKUP('Données projet'!$B$12,Paramètres!$A$1:$I$89,5,0)</f>
        <v>276.91559999999993</v>
      </c>
      <c r="CA172" s="13">
        <f t="shared" si="170"/>
        <v>66.314766879144742</v>
      </c>
      <c r="CB172" s="20">
        <f t="shared" si="171"/>
        <v>597.79288898117682</v>
      </c>
      <c r="CC172" s="59">
        <f t="shared" si="119"/>
        <v>891.12622231451019</v>
      </c>
      <c r="CD172" s="59">
        <f ca="1">AVERAGE(OFFSET($CC$3,0,0,'Données projet'!$E$12+1,1))-AVERAGE(OFFSET($H$3,0,0,'Données projet'!$E$12+1,1))</f>
        <v>367.39143258674738</v>
      </c>
      <c r="CE172" s="59">
        <f t="shared" si="148"/>
        <v>376.02790658970292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6.3955992226545009</v>
      </c>
      <c r="CL172" s="21">
        <f>EXP(-LN(2)/25)*CL171+(1-EXP(-LN(2)/25))/(LN(2)/25)*Calculateur!CG172*Calculateur!CI172*VLOOKUP('Données projet'!$B$12,Paramètres!$A$1:$I$89,3,0)*0.475*44/12</f>
        <v>0.17587014805531276</v>
      </c>
      <c r="CM172" s="21">
        <f>EXP(-LN(2)/2)*CM171+(1-EXP(-LN(2)/2))/(LN(2)/2)*CG172*CJ172*VLOOKUP('Données projet'!$B$12,Paramètres!$A$1:$I$89,3,0)*0.475*44/12</f>
        <v>1.8229578648103377E-15</v>
      </c>
      <c r="CN172" s="22">
        <f t="shared" si="172"/>
        <v>6.5714693707098153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925.00000000000034</v>
      </c>
      <c r="CU172" s="17">
        <f>CT172*VLOOKUP('Données projet'!$B$13,Paramètres!$A$1:$I$89,3,0)*VLOOKUP('Données projet'!$B$13,Paramètres!$A$1:$I$89,5,0)</f>
        <v>408.85000000000014</v>
      </c>
      <c r="CV172" s="13">
        <f t="shared" si="173"/>
        <v>93.568575358321141</v>
      </c>
      <c r="CW172" s="20">
        <f t="shared" si="174"/>
        <v>875.04568541574281</v>
      </c>
      <c r="CX172" s="59">
        <f t="shared" si="122"/>
        <v>1168.3790187490761</v>
      </c>
      <c r="CY172" s="59">
        <f ca="1">AVERAGE(OFFSET($CX$3,0,0,'Données projet'!$E$13+1,1))-AVERAGE(OFFSET($H$3,0,0,'Données projet'!$E$13+1,1))</f>
        <v>500.13646131618248</v>
      </c>
      <c r="CZ172" s="59">
        <f t="shared" si="150"/>
        <v>417.58036817539306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11.735599482117966</v>
      </c>
      <c r="DG172" s="21">
        <f>EXP(-LN(2)/25)*DG171+(1-EXP(-LN(2)/25))/(LN(2)/25)*Calculateur!DB172*Calculateur!DD172*VLOOKUP('Données projet'!$B$13,Paramètres!$A$1:$I$89,3,0)*0.475*44/12</f>
        <v>2.4865527996231935</v>
      </c>
      <c r="DH172" s="21">
        <f>EXP(-LN(2)/2)*DH171+(1-EXP(-LN(2)/2))/(LN(2)/2)*DB172*DE172*VLOOKUP('Données projet'!$B$13,Paramètres!$A$1:$I$89,3,0)*0.475*44/12</f>
        <v>9.8583880369176835E-14</v>
      </c>
      <c r="DI172" s="22">
        <f t="shared" si="175"/>
        <v>14.222152281741257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268.00000000000011</v>
      </c>
      <c r="O173" s="13">
        <f>N173*VLOOKUP('Données projet'!$B$9,Paramètres!$A$1:$I$89,3,0)*VLOOKUP('Données projet'!$B$9,Paramètres!$A$1:$I$89,5,0)</f>
        <v>242.48640000000009</v>
      </c>
      <c r="P173" s="13">
        <f t="shared" si="141"/>
        <v>58.974170235372476</v>
      </c>
      <c r="Q173" s="20">
        <f t="shared" si="162"/>
        <v>525.04382649327385</v>
      </c>
      <c r="R173" s="59">
        <f t="shared" si="109"/>
        <v>818.37715982660711</v>
      </c>
      <c r="S173" s="59">
        <f ca="1">AVERAGE(OFFSET($R$3,0,0,'Données projet'!$E$9+1,1))-AVERAGE(OFFSET($H$3,0,0,'Données projet'!$E$9+1,1))</f>
        <v>371.7282125501186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21.67510244417398</v>
      </c>
      <c r="AA173" s="21">
        <f>EXP(-LN(2)/25)*AA172+(1-EXP(-LN(2)/25))/(LN(2)/25)*Calculateur!V173*Calculateur!X173*VLOOKUP('Données projet'!$B$9,Paramètres!$A$1:$I$89,3,0)*0.475*44/12</f>
        <v>0.6183359097688258</v>
      </c>
      <c r="AB173" s="21">
        <f>EXP(-LN(2)/2)*AB172+(1-EXP(-LN(2)/2))/(LN(2)/2)*V173*Y173*VLOOKUP('Données projet'!$B$9,Paramètres!$A$1:$I$89,3,0)*0.475*44/12</f>
        <v>3.1921676715326552E-8</v>
      </c>
      <c r="AC173" s="22">
        <f t="shared" si="163"/>
        <v>22.293438385864484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305.00000000000017</v>
      </c>
      <c r="AJ173" s="13">
        <f>AI173*VLOOKUP('Données projet'!$B$10,Paramètres!$A$1:$I$89,3,0)*VLOOKUP('Données projet'!$B$10,Paramètres!$A$1:$I$89,5,0)</f>
        <v>204.59400000000011</v>
      </c>
      <c r="AK173" s="13">
        <f t="shared" si="164"/>
        <v>50.75245156043249</v>
      </c>
      <c r="AL173" s="20">
        <f t="shared" si="165"/>
        <v>444.72840313442015</v>
      </c>
      <c r="AM173" s="59">
        <f t="shared" si="113"/>
        <v>738.06173646775346</v>
      </c>
      <c r="AN173" s="59">
        <f ca="1">AVERAGE(OFFSET($AM$3,0,0,'Données projet'!$E$10+1,1))-AVERAGE(OFFSET($H$3,0,0,'Données projet'!$E$10+1,1))</f>
        <v>269.67260882504996</v>
      </c>
      <c r="AO173" s="59">
        <f t="shared" si="144"/>
        <v>272.13858200810074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4.93596644274281</v>
      </c>
      <c r="AV173" s="21">
        <f>EXP(-LN(2)/25)*AV172+(1-EXP(-LN(2)/25))/(LN(2)/25)*Calculateur!AQ173*Calculateur!AS173*VLOOKUP('Données projet'!$B$10,Paramètres!$A$1:$I$89,3,0)*0.475*44/12</f>
        <v>0.13765142549411197</v>
      </c>
      <c r="AW173" s="21">
        <f>EXP(-LN(2)/2)*AW172+(1-EXP(-LN(2)/2))/(LN(2)/2)*AQ173*AT173*VLOOKUP('Données projet'!$B$10,Paramètres!$A$1:$I$89,3,0)*0.475*44/12</f>
        <v>7.859710990686456E-16</v>
      </c>
      <c r="AX173" s="21">
        <f t="shared" si="166"/>
        <v>5.0736178682369228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453.99999999999977</v>
      </c>
      <c r="BE173" s="13">
        <f>BD173*VLOOKUP('Données projet'!$B$11,Paramètres!$A$1:$I$89,3,0)*VLOOKUP('Données projet'!$B$11,Paramètres!$A$1:$I$89,5,0)</f>
        <v>253.78599999999986</v>
      </c>
      <c r="BF173" s="13">
        <f t="shared" si="167"/>
        <v>61.395945216950906</v>
      </c>
      <c r="BG173" s="20">
        <f t="shared" si="168"/>
        <v>548.94188791952263</v>
      </c>
      <c r="BH173" s="59">
        <f t="shared" si="116"/>
        <v>842.275221252856</v>
      </c>
      <c r="BI173" s="59">
        <f ca="1">AVERAGE(OFFSET($BH$3,0,0,'Données projet'!$E$11+1,1))-AVERAGE(OFFSET($H$3,0,0,'Données projet'!$E$11+1,1))</f>
        <v>330.33728077846268</v>
      </c>
      <c r="BJ173" s="59">
        <f t="shared" si="146"/>
        <v>358.38872754175208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6.7785219682154487</v>
      </c>
      <c r="BQ173" s="21">
        <f>EXP(-LN(2)/25)*BQ172+(1-EXP(-LN(2)/25))/(LN(2)/25)*Calculateur!BL173*Calculateur!BN173*VLOOKUP('Données projet'!$B$11,Paramètres!$A$1:$I$89,3,0)*0.475*44/12</f>
        <v>1.5556703335920632</v>
      </c>
      <c r="BR173" s="21">
        <f>EXP(-LN(2)/2)*BR172+(1-EXP(-LN(2)/2))/(LN(2)/2)*BL173*BO173*VLOOKUP('Données projet'!$B$11,Paramètres!$A$1:$I$89,3,0)*0.475*44/12</f>
        <v>1.4183550891809671E-15</v>
      </c>
      <c r="BS173" s="22">
        <f t="shared" si="169"/>
        <v>8.3341923018075139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290.99999999999994</v>
      </c>
      <c r="BZ173" s="13">
        <f>BY173*VLOOKUP('Données projet'!$B$12,Paramètres!$A$1:$I$89,3,0)*VLOOKUP('Données projet'!$B$12,Paramètres!$A$1:$I$89,5,0)</f>
        <v>276.91559999999993</v>
      </c>
      <c r="CA173" s="13">
        <f t="shared" si="170"/>
        <v>66.314766879144742</v>
      </c>
      <c r="CB173" s="20">
        <f t="shared" si="171"/>
        <v>597.79288898117682</v>
      </c>
      <c r="CC173" s="59">
        <f t="shared" si="119"/>
        <v>891.12622231451019</v>
      </c>
      <c r="CD173" s="59">
        <f ca="1">AVERAGE(OFFSET($CC$3,0,0,'Données projet'!$E$12+1,1))-AVERAGE(OFFSET($H$3,0,0,'Données projet'!$E$12+1,1))</f>
        <v>367.39143258674738</v>
      </c>
      <c r="CE173" s="59">
        <f t="shared" si="148"/>
        <v>376.02790658970292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6.2701854228285869</v>
      </c>
      <c r="CL173" s="21">
        <f>EXP(-LN(2)/25)*CL172+(1-EXP(-LN(2)/25))/(LN(2)/25)*Calculateur!CG173*Calculateur!CI173*VLOOKUP('Données projet'!$B$12,Paramètres!$A$1:$I$89,3,0)*0.475*44/12</f>
        <v>0.17106096960813111</v>
      </c>
      <c r="CM173" s="21">
        <f>EXP(-LN(2)/2)*CM172+(1-EXP(-LN(2)/2))/(LN(2)/2)*CG173*CJ173*VLOOKUP('Données projet'!$B$12,Paramètres!$A$1:$I$89,3,0)*0.475*44/12</f>
        <v>1.2890258680247393E-15</v>
      </c>
      <c r="CN173" s="22">
        <f t="shared" si="172"/>
        <v>6.4412463924367191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925.00000000000034</v>
      </c>
      <c r="CU173" s="17">
        <f>CT173*VLOOKUP('Données projet'!$B$13,Paramètres!$A$1:$I$89,3,0)*VLOOKUP('Données projet'!$B$13,Paramètres!$A$1:$I$89,5,0)</f>
        <v>408.85000000000014</v>
      </c>
      <c r="CV173" s="13">
        <f t="shared" si="173"/>
        <v>93.568575358321141</v>
      </c>
      <c r="CW173" s="20">
        <f t="shared" si="174"/>
        <v>875.04568541574281</v>
      </c>
      <c r="CX173" s="59">
        <f t="shared" si="122"/>
        <v>1168.3790187490761</v>
      </c>
      <c r="CY173" s="59">
        <f ca="1">AVERAGE(OFFSET($CX$3,0,0,'Données projet'!$E$13+1,1))-AVERAGE(OFFSET($H$3,0,0,'Données projet'!$E$13+1,1))</f>
        <v>500.13646131618248</v>
      </c>
      <c r="CZ173" s="59">
        <f t="shared" si="150"/>
        <v>417.58036817539306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11.505471534282522</v>
      </c>
      <c r="DG173" s="21">
        <f>EXP(-LN(2)/25)*DG172+(1-EXP(-LN(2)/25))/(LN(2)/25)*Calculateur!DB173*Calculateur!DD173*VLOOKUP('Données projet'!$B$13,Paramètres!$A$1:$I$89,3,0)*0.475*44/12</f>
        <v>2.4185578825553686</v>
      </c>
      <c r="DH173" s="21">
        <f>EXP(-LN(2)/2)*DH172+(1-EXP(-LN(2)/2))/(LN(2)/2)*DB173*DE173*VLOOKUP('Données projet'!$B$13,Paramètres!$A$1:$I$89,3,0)*0.475*44/12</f>
        <v>6.9709330324728301E-14</v>
      </c>
      <c r="DI173" s="22">
        <f t="shared" si="175"/>
        <v>13.924029416837961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268.00000000000011</v>
      </c>
      <c r="O174" s="13">
        <f>N174*VLOOKUP('Données projet'!$B$9,Paramètres!$A$1:$I$89,3,0)*VLOOKUP('Données projet'!$B$9,Paramètres!$A$1:$I$89,5,0)</f>
        <v>242.48640000000009</v>
      </c>
      <c r="P174" s="13">
        <f t="shared" si="141"/>
        <v>58.974170235372476</v>
      </c>
      <c r="Q174" s="20">
        <f t="shared" si="162"/>
        <v>525.04382649327385</v>
      </c>
      <c r="R174" s="59">
        <f t="shared" si="109"/>
        <v>818.37715982660711</v>
      </c>
      <c r="S174" s="59">
        <f ca="1">AVERAGE(OFFSET($R$3,0,0,'Données projet'!$E$9+1,1))-AVERAGE(OFFSET($H$3,0,0,'Données projet'!$E$9+1,1))</f>
        <v>371.7282125501186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21.250066905750803</v>
      </c>
      <c r="AA174" s="21">
        <f>EXP(-LN(2)/25)*AA173+(1-EXP(-LN(2)/25))/(LN(2)/25)*Calculateur!V174*Calculateur!X174*VLOOKUP('Données projet'!$B$9,Paramètres!$A$1:$I$89,3,0)*0.475*44/12</f>
        <v>0.60142748179932504</v>
      </c>
      <c r="AB174" s="21">
        <f>EXP(-LN(2)/2)*AB173+(1-EXP(-LN(2)/2))/(LN(2)/2)*V174*Y174*VLOOKUP('Données projet'!$B$9,Paramètres!$A$1:$I$89,3,0)*0.475*44/12</f>
        <v>2.2572034072252122E-8</v>
      </c>
      <c r="AC174" s="22">
        <f t="shared" si="163"/>
        <v>21.851494410122161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305.00000000000017</v>
      </c>
      <c r="AJ174" s="13">
        <f>AI174*VLOOKUP('Données projet'!$B$10,Paramètres!$A$1:$I$89,3,0)*VLOOKUP('Données projet'!$B$10,Paramètres!$A$1:$I$89,5,0)</f>
        <v>204.59400000000011</v>
      </c>
      <c r="AK174" s="13">
        <f t="shared" si="164"/>
        <v>50.75245156043249</v>
      </c>
      <c r="AL174" s="20">
        <f t="shared" si="165"/>
        <v>444.72840313442015</v>
      </c>
      <c r="AM174" s="59">
        <f t="shared" si="113"/>
        <v>738.06173646775346</v>
      </c>
      <c r="AN174" s="59">
        <f ca="1">AVERAGE(OFFSET($AM$3,0,0,'Données projet'!$E$10+1,1))-AVERAGE(OFFSET($H$3,0,0,'Données projet'!$E$10+1,1))</f>
        <v>269.67260882504996</v>
      </c>
      <c r="AO174" s="59">
        <f t="shared" si="144"/>
        <v>272.13858200810074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4.8391751514428778</v>
      </c>
      <c r="AV174" s="21">
        <f>EXP(-LN(2)/25)*AV173+(1-EXP(-LN(2)/25))/(LN(2)/25)*Calculateur!AQ174*Calculateur!AS174*VLOOKUP('Données projet'!$B$10,Paramètres!$A$1:$I$89,3,0)*0.475*44/12</f>
        <v>0.13388734002520161</v>
      </c>
      <c r="AW174" s="21">
        <f>EXP(-LN(2)/2)*AW173+(1-EXP(-LN(2)/2))/(LN(2)/2)*AQ174*AT174*VLOOKUP('Données projet'!$B$10,Paramètres!$A$1:$I$89,3,0)*0.475*44/12</f>
        <v>5.5576549396808304E-16</v>
      </c>
      <c r="AX174" s="21">
        <f t="shared" si="166"/>
        <v>4.9730624914680801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453.99999999999977</v>
      </c>
      <c r="BE174" s="13">
        <f>BD174*VLOOKUP('Données projet'!$B$11,Paramètres!$A$1:$I$89,3,0)*VLOOKUP('Données projet'!$B$11,Paramètres!$A$1:$I$89,5,0)</f>
        <v>253.78599999999986</v>
      </c>
      <c r="BF174" s="13">
        <f t="shared" si="167"/>
        <v>61.395945216950906</v>
      </c>
      <c r="BG174" s="20">
        <f t="shared" si="168"/>
        <v>548.94188791952263</v>
      </c>
      <c r="BH174" s="59">
        <f t="shared" si="116"/>
        <v>842.275221252856</v>
      </c>
      <c r="BI174" s="59">
        <f ca="1">AVERAGE(OFFSET($BH$3,0,0,'Données projet'!$E$11+1,1))-AVERAGE(OFFSET($H$3,0,0,'Données projet'!$E$11+1,1))</f>
        <v>330.33728077846268</v>
      </c>
      <c r="BJ174" s="59">
        <f t="shared" si="146"/>
        <v>358.38872754175208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6.6455992869088973</v>
      </c>
      <c r="BQ174" s="21">
        <f>EXP(-LN(2)/25)*BQ173+(1-EXP(-LN(2)/25))/(LN(2)/25)*Calculateur!BL174*Calculateur!BN174*VLOOKUP('Données projet'!$B$11,Paramètres!$A$1:$I$89,3,0)*0.475*44/12</f>
        <v>1.5131304465108408</v>
      </c>
      <c r="BR174" s="21">
        <f>EXP(-LN(2)/2)*BR173+(1-EXP(-LN(2)/2))/(LN(2)/2)*BL174*BO174*VLOOKUP('Données projet'!$B$11,Paramètres!$A$1:$I$89,3,0)*0.475*44/12</f>
        <v>1.0029285016903122E-15</v>
      </c>
      <c r="BS174" s="22">
        <f t="shared" si="169"/>
        <v>8.1587297334197402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290.99999999999994</v>
      </c>
      <c r="BZ174" s="13">
        <f>BY174*VLOOKUP('Données projet'!$B$12,Paramètres!$A$1:$I$89,3,0)*VLOOKUP('Données projet'!$B$12,Paramètres!$A$1:$I$89,5,0)</f>
        <v>276.91559999999993</v>
      </c>
      <c r="CA174" s="13">
        <f t="shared" si="170"/>
        <v>66.314766879144742</v>
      </c>
      <c r="CB174" s="20">
        <f t="shared" si="171"/>
        <v>597.79288898117682</v>
      </c>
      <c r="CC174" s="59">
        <f t="shared" si="119"/>
        <v>891.12622231451019</v>
      </c>
      <c r="CD174" s="59">
        <f ca="1">AVERAGE(OFFSET($CC$3,0,0,'Données projet'!$E$12+1,1))-AVERAGE(OFFSET($H$3,0,0,'Données projet'!$E$12+1,1))</f>
        <v>367.39143258674738</v>
      </c>
      <c r="CE174" s="59">
        <f t="shared" si="148"/>
        <v>376.02790658970292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6.1472309111223948</v>
      </c>
      <c r="CL174" s="21">
        <f>EXP(-LN(2)/25)*CL173+(1-EXP(-LN(2)/25))/(LN(2)/25)*Calculateur!CG174*Calculateur!CI174*VLOOKUP('Données projet'!$B$12,Paramètres!$A$1:$I$89,3,0)*0.475*44/12</f>
        <v>0.16638329839849134</v>
      </c>
      <c r="CM174" s="21">
        <f>EXP(-LN(2)/2)*CM173+(1-EXP(-LN(2)/2))/(LN(2)/2)*CG174*CJ174*VLOOKUP('Données projet'!$B$12,Paramètres!$A$1:$I$89,3,0)*0.475*44/12</f>
        <v>9.1147893240516883E-16</v>
      </c>
      <c r="CN174" s="22">
        <f t="shared" si="172"/>
        <v>6.3136142095208871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925.00000000000034</v>
      </c>
      <c r="CU174" s="17">
        <f>CT174*VLOOKUP('Données projet'!$B$13,Paramètres!$A$1:$I$89,3,0)*VLOOKUP('Données projet'!$B$13,Paramètres!$A$1:$I$89,5,0)</f>
        <v>408.85000000000014</v>
      </c>
      <c r="CV174" s="13">
        <f t="shared" si="173"/>
        <v>93.568575358321141</v>
      </c>
      <c r="CW174" s="20">
        <f t="shared" si="174"/>
        <v>875.04568541574281</v>
      </c>
      <c r="CX174" s="59">
        <f t="shared" si="122"/>
        <v>1168.3790187490761</v>
      </c>
      <c r="CY174" s="59">
        <f ca="1">AVERAGE(OFFSET($CX$3,0,0,'Données projet'!$E$13+1,1))-AVERAGE(OFFSET($H$3,0,0,'Données projet'!$E$13+1,1))</f>
        <v>500.13646131618248</v>
      </c>
      <c r="CZ174" s="59">
        <f t="shared" si="150"/>
        <v>417.58036817539306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11.279856255139943</v>
      </c>
      <c r="DG174" s="21">
        <f>EXP(-LN(2)/25)*DG173+(1-EXP(-LN(2)/25))/(LN(2)/25)*Calculateur!DB174*Calculateur!DD174*VLOOKUP('Données projet'!$B$13,Paramètres!$A$1:$I$89,3,0)*0.475*44/12</f>
        <v>2.3524222900704608</v>
      </c>
      <c r="DH174" s="21">
        <f>EXP(-LN(2)/2)*DH173+(1-EXP(-LN(2)/2))/(LN(2)/2)*DB174*DE174*VLOOKUP('Données projet'!$B$13,Paramètres!$A$1:$I$89,3,0)*0.475*44/12</f>
        <v>4.9291940184588417E-14</v>
      </c>
      <c r="DI174" s="22">
        <f t="shared" si="175"/>
        <v>13.632278545210454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268.00000000000011</v>
      </c>
      <c r="O175" s="13">
        <f>N175*VLOOKUP('Données projet'!$B$9,Paramètres!$A$1:$I$89,3,0)*VLOOKUP('Données projet'!$B$9,Paramètres!$A$1:$I$89,5,0)</f>
        <v>242.48640000000009</v>
      </c>
      <c r="P175" s="13">
        <f t="shared" si="141"/>
        <v>58.974170235372476</v>
      </c>
      <c r="Q175" s="20">
        <f t="shared" si="162"/>
        <v>525.04382649327385</v>
      </c>
      <c r="R175" s="59">
        <f t="shared" si="109"/>
        <v>818.37715982660711</v>
      </c>
      <c r="S175" s="59">
        <f ca="1">AVERAGE(OFFSET($R$3,0,0,'Données projet'!$E$9+1,1))-AVERAGE(OFFSET($H$3,0,0,'Données projet'!$E$9+1,1))</f>
        <v>371.7282125501186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20.833366054990023</v>
      </c>
      <c r="AA175" s="21">
        <f>EXP(-LN(2)/25)*AA174+(1-EXP(-LN(2)/25))/(LN(2)/25)*Calculateur!V175*Calculateur!X175*VLOOKUP('Données projet'!$B$9,Paramètres!$A$1:$I$89,3,0)*0.475*44/12</f>
        <v>0.58498141568182582</v>
      </c>
      <c r="AB175" s="21">
        <f>EXP(-LN(2)/2)*AB174+(1-EXP(-LN(2)/2))/(LN(2)/2)*V175*Y175*VLOOKUP('Données projet'!$B$9,Paramètres!$A$1:$I$89,3,0)*0.475*44/12</f>
        <v>1.5960838357663276E-8</v>
      </c>
      <c r="AC175" s="22">
        <f t="shared" si="163"/>
        <v>21.418347486632687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305.00000000000017</v>
      </c>
      <c r="AJ175" s="13">
        <f>AI175*VLOOKUP('Données projet'!$B$10,Paramètres!$A$1:$I$89,3,0)*VLOOKUP('Données projet'!$B$10,Paramètres!$A$1:$I$89,5,0)</f>
        <v>204.59400000000011</v>
      </c>
      <c r="AK175" s="13">
        <f t="shared" si="164"/>
        <v>50.75245156043249</v>
      </c>
      <c r="AL175" s="20">
        <f t="shared" si="165"/>
        <v>444.72840313442015</v>
      </c>
      <c r="AM175" s="59">
        <f t="shared" si="113"/>
        <v>738.06173646775346</v>
      </c>
      <c r="AN175" s="59">
        <f ca="1">AVERAGE(OFFSET($AM$3,0,0,'Données projet'!$E$10+1,1))-AVERAGE(OFFSET($H$3,0,0,'Données projet'!$E$10+1,1))</f>
        <v>269.67260882504996</v>
      </c>
      <c r="AO175" s="59">
        <f t="shared" si="144"/>
        <v>272.13858200810074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4.7442818783284784</v>
      </c>
      <c r="AV175" s="21">
        <f>EXP(-LN(2)/25)*AV174+(1-EXP(-LN(2)/25))/(LN(2)/25)*Calculateur!AQ175*Calculateur!AS175*VLOOKUP('Données projet'!$B$10,Paramètres!$A$1:$I$89,3,0)*0.475*44/12</f>
        <v>0.13022618367138328</v>
      </c>
      <c r="AW175" s="21">
        <f>EXP(-LN(2)/2)*AW174+(1-EXP(-LN(2)/2))/(LN(2)/2)*AQ175*AT175*VLOOKUP('Données projet'!$B$10,Paramètres!$A$1:$I$89,3,0)*0.475*44/12</f>
        <v>3.929855495343228E-16</v>
      </c>
      <c r="AX175" s="21">
        <f t="shared" si="166"/>
        <v>4.8745080619998618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453.99999999999977</v>
      </c>
      <c r="BE175" s="13">
        <f>BD175*VLOOKUP('Données projet'!$B$11,Paramètres!$A$1:$I$89,3,0)*VLOOKUP('Données projet'!$B$11,Paramètres!$A$1:$I$89,5,0)</f>
        <v>253.78599999999986</v>
      </c>
      <c r="BF175" s="13">
        <f t="shared" si="167"/>
        <v>61.395945216950906</v>
      </c>
      <c r="BG175" s="20">
        <f t="shared" si="168"/>
        <v>548.94188791952263</v>
      </c>
      <c r="BH175" s="59">
        <f t="shared" si="116"/>
        <v>842.275221252856</v>
      </c>
      <c r="BI175" s="59">
        <f ca="1">AVERAGE(OFFSET($BH$3,0,0,'Données projet'!$E$11+1,1))-AVERAGE(OFFSET($H$3,0,0,'Données projet'!$E$11+1,1))</f>
        <v>330.33728077846268</v>
      </c>
      <c r="BJ175" s="59">
        <f t="shared" si="146"/>
        <v>358.38872754175208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6.5152831383079377</v>
      </c>
      <c r="BQ175" s="21">
        <f>EXP(-LN(2)/25)*BQ174+(1-EXP(-LN(2)/25))/(LN(2)/25)*Calculateur!BL175*Calculateur!BN175*VLOOKUP('Données projet'!$B$11,Paramètres!$A$1:$I$89,3,0)*0.475*44/12</f>
        <v>1.47175381487893</v>
      </c>
      <c r="BR175" s="21">
        <f>EXP(-LN(2)/2)*BR174+(1-EXP(-LN(2)/2))/(LN(2)/2)*BL175*BO175*VLOOKUP('Données projet'!$B$11,Paramètres!$A$1:$I$89,3,0)*0.475*44/12</f>
        <v>7.0917754459048354E-16</v>
      </c>
      <c r="BS175" s="22">
        <f t="shared" si="169"/>
        <v>7.9870369531868688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290.99999999999994</v>
      </c>
      <c r="BZ175" s="13">
        <f>BY175*VLOOKUP('Données projet'!$B$12,Paramètres!$A$1:$I$89,3,0)*VLOOKUP('Données projet'!$B$12,Paramètres!$A$1:$I$89,5,0)</f>
        <v>276.91559999999993</v>
      </c>
      <c r="CA175" s="13">
        <f t="shared" si="170"/>
        <v>66.314766879144742</v>
      </c>
      <c r="CB175" s="20">
        <f t="shared" si="171"/>
        <v>597.79288898117682</v>
      </c>
      <c r="CC175" s="59">
        <f t="shared" si="119"/>
        <v>891.12622231451019</v>
      </c>
      <c r="CD175" s="59">
        <f ca="1">AVERAGE(OFFSET($CC$3,0,0,'Données projet'!$E$12+1,1))-AVERAGE(OFFSET($H$3,0,0,'Données projet'!$E$12+1,1))</f>
        <v>367.39143258674738</v>
      </c>
      <c r="CE175" s="59">
        <f t="shared" si="148"/>
        <v>376.02790658970292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6.0266874623959144</v>
      </c>
      <c r="CL175" s="21">
        <f>EXP(-LN(2)/25)*CL174+(1-EXP(-LN(2)/25))/(LN(2)/25)*Calculateur!CG175*Calculateur!CI175*VLOOKUP('Données projet'!$B$12,Paramètres!$A$1:$I$89,3,0)*0.475*44/12</f>
        <v>0.16183353835406719</v>
      </c>
      <c r="CM175" s="21">
        <f>EXP(-LN(2)/2)*CM174+(1-EXP(-LN(2)/2))/(LN(2)/2)*CG175*CJ175*VLOOKUP('Données projet'!$B$12,Paramètres!$A$1:$I$89,3,0)*0.475*44/12</f>
        <v>6.4451293401236967E-16</v>
      </c>
      <c r="CN175" s="22">
        <f t="shared" si="172"/>
        <v>6.188521000749982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925.00000000000034</v>
      </c>
      <c r="CU175" s="17">
        <f>CT175*VLOOKUP('Données projet'!$B$13,Paramètres!$A$1:$I$89,3,0)*VLOOKUP('Données projet'!$B$13,Paramètres!$A$1:$I$89,5,0)</f>
        <v>408.85000000000014</v>
      </c>
      <c r="CV175" s="13">
        <f t="shared" si="173"/>
        <v>93.568575358321141</v>
      </c>
      <c r="CW175" s="20">
        <f t="shared" si="174"/>
        <v>875.04568541574281</v>
      </c>
      <c r="CX175" s="59">
        <f t="shared" si="122"/>
        <v>1168.3790187490761</v>
      </c>
      <c r="CY175" s="59">
        <f ca="1">AVERAGE(OFFSET($CX$3,0,0,'Données projet'!$E$13+1,1))-AVERAGE(OFFSET($H$3,0,0,'Données projet'!$E$13+1,1))</f>
        <v>500.13646131618248</v>
      </c>
      <c r="CZ175" s="59">
        <f t="shared" si="150"/>
        <v>417.58036817539306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11.058665154009619</v>
      </c>
      <c r="DG175" s="21">
        <f>EXP(-LN(2)/25)*DG174+(1-EXP(-LN(2)/25))/(LN(2)/25)*Calculateur!DB175*Calculateur!DD175*VLOOKUP('Données projet'!$B$13,Paramètres!$A$1:$I$89,3,0)*0.475*44/12</f>
        <v>2.2880951788399724</v>
      </c>
      <c r="DH175" s="21">
        <f>EXP(-LN(2)/2)*DH174+(1-EXP(-LN(2)/2))/(LN(2)/2)*DB175*DE175*VLOOKUP('Données projet'!$B$13,Paramètres!$A$1:$I$89,3,0)*0.475*44/12</f>
        <v>3.485466516236415E-14</v>
      </c>
      <c r="DI175" s="22">
        <f t="shared" si="175"/>
        <v>13.346760332849627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268.00000000000011</v>
      </c>
      <c r="O176" s="13">
        <f>N176*VLOOKUP('Données projet'!$B$9,Paramètres!$A$1:$I$89,3,0)*VLOOKUP('Données projet'!$B$9,Paramètres!$A$1:$I$89,5,0)</f>
        <v>242.48640000000009</v>
      </c>
      <c r="P176" s="13">
        <f t="shared" si="141"/>
        <v>58.974170235372476</v>
      </c>
      <c r="Q176" s="20">
        <f t="shared" si="162"/>
        <v>525.04382649327385</v>
      </c>
      <c r="R176" s="59">
        <f t="shared" si="109"/>
        <v>818.37715982660711</v>
      </c>
      <c r="S176" s="59">
        <f ca="1">AVERAGE(OFFSET($R$3,0,0,'Données projet'!$E$9+1,1))-AVERAGE(OFFSET($H$3,0,0,'Données projet'!$E$9+1,1))</f>
        <v>371.7282125501186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20.424836453750242</v>
      </c>
      <c r="AA176" s="21">
        <f>EXP(-LN(2)/25)*AA175+(1-EXP(-LN(2)/25))/(LN(2)/25)*Calculateur!V176*Calculateur!X176*VLOOKUP('Données projet'!$B$9,Paramètres!$A$1:$I$89,3,0)*0.475*44/12</f>
        <v>0.56898506810717064</v>
      </c>
      <c r="AB176" s="21">
        <f>EXP(-LN(2)/2)*AB175+(1-EXP(-LN(2)/2))/(LN(2)/2)*V176*Y176*VLOOKUP('Données projet'!$B$9,Paramètres!$A$1:$I$89,3,0)*0.475*44/12</f>
        <v>1.1286017036126061E-8</v>
      </c>
      <c r="AC176" s="22">
        <f t="shared" si="163"/>
        <v>20.993821533143429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305.00000000000017</v>
      </c>
      <c r="AJ176" s="13">
        <f>AI176*VLOOKUP('Données projet'!$B$10,Paramètres!$A$1:$I$89,3,0)*VLOOKUP('Données projet'!$B$10,Paramètres!$A$1:$I$89,5,0)</f>
        <v>204.59400000000011</v>
      </c>
      <c r="AK176" s="13">
        <f t="shared" si="164"/>
        <v>50.75245156043249</v>
      </c>
      <c r="AL176" s="20">
        <f t="shared" si="165"/>
        <v>444.72840313442015</v>
      </c>
      <c r="AM176" s="59">
        <f t="shared" si="113"/>
        <v>738.06173646775346</v>
      </c>
      <c r="AN176" s="59">
        <f ca="1">AVERAGE(OFFSET($AM$3,0,0,'Données projet'!$E$10+1,1))-AVERAGE(OFFSET($H$3,0,0,'Données projet'!$E$10+1,1))</f>
        <v>269.67260882504996</v>
      </c>
      <c r="AO176" s="59">
        <f t="shared" si="144"/>
        <v>272.13858200810074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4.6512494044206711</v>
      </c>
      <c r="AV176" s="21">
        <f>EXP(-LN(2)/25)*AV175+(1-EXP(-LN(2)/25))/(LN(2)/25)*Calculateur!AQ176*Calculateur!AS176*VLOOKUP('Données projet'!$B$10,Paramètres!$A$1:$I$89,3,0)*0.475*44/12</f>
        <v>0.12666514183059194</v>
      </c>
      <c r="AW176" s="21">
        <f>EXP(-LN(2)/2)*AW175+(1-EXP(-LN(2)/2))/(LN(2)/2)*AQ176*AT176*VLOOKUP('Données projet'!$B$10,Paramètres!$A$1:$I$89,3,0)*0.475*44/12</f>
        <v>2.7788274698404152E-16</v>
      </c>
      <c r="AX176" s="21">
        <f t="shared" si="166"/>
        <v>4.7779145462512629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453.99999999999977</v>
      </c>
      <c r="BE176" s="13">
        <f>BD176*VLOOKUP('Données projet'!$B$11,Paramètres!$A$1:$I$89,3,0)*VLOOKUP('Données projet'!$B$11,Paramètres!$A$1:$I$89,5,0)</f>
        <v>253.78599999999986</v>
      </c>
      <c r="BF176" s="13">
        <f t="shared" si="167"/>
        <v>61.395945216950906</v>
      </c>
      <c r="BG176" s="20">
        <f t="shared" si="168"/>
        <v>548.94188791952263</v>
      </c>
      <c r="BH176" s="59">
        <f t="shared" si="116"/>
        <v>842.275221252856</v>
      </c>
      <c r="BI176" s="59">
        <f ca="1">AVERAGE(OFFSET($BH$3,0,0,'Données projet'!$E$11+1,1))-AVERAGE(OFFSET($H$3,0,0,'Données projet'!$E$11+1,1))</f>
        <v>330.33728077846268</v>
      </c>
      <c r="BJ176" s="59">
        <f t="shared" si="146"/>
        <v>358.38872754175208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6.3875224098960404</v>
      </c>
      <c r="BQ176" s="21">
        <f>EXP(-LN(2)/25)*BQ175+(1-EXP(-LN(2)/25))/(LN(2)/25)*Calculateur!BL176*Calculateur!BN176*VLOOKUP('Données projet'!$B$11,Paramètres!$A$1:$I$89,3,0)*0.475*44/12</f>
        <v>1.4315086294148962</v>
      </c>
      <c r="BR176" s="21">
        <f>EXP(-LN(2)/2)*BR175+(1-EXP(-LN(2)/2))/(LN(2)/2)*BL176*BO176*VLOOKUP('Données projet'!$B$11,Paramètres!$A$1:$I$89,3,0)*0.475*44/12</f>
        <v>5.0146425084515608E-16</v>
      </c>
      <c r="BS176" s="22">
        <f t="shared" si="169"/>
        <v>7.8190310393109375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290.99999999999994</v>
      </c>
      <c r="BZ176" s="13">
        <f>BY176*VLOOKUP('Données projet'!$B$12,Paramètres!$A$1:$I$89,3,0)*VLOOKUP('Données projet'!$B$12,Paramètres!$A$1:$I$89,5,0)</f>
        <v>276.91559999999993</v>
      </c>
      <c r="CA176" s="13">
        <f t="shared" si="170"/>
        <v>66.314766879144742</v>
      </c>
      <c r="CB176" s="20">
        <f t="shared" si="171"/>
        <v>597.79288898117682</v>
      </c>
      <c r="CC176" s="59">
        <f t="shared" si="119"/>
        <v>891.12622231451019</v>
      </c>
      <c r="CD176" s="59">
        <f ca="1">AVERAGE(OFFSET($CC$3,0,0,'Données projet'!$E$12+1,1))-AVERAGE(OFFSET($H$3,0,0,'Données projet'!$E$12+1,1))</f>
        <v>367.39143258674738</v>
      </c>
      <c r="CE176" s="59">
        <f t="shared" si="148"/>
        <v>376.02790658970292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5.9085077971747157</v>
      </c>
      <c r="CL176" s="21">
        <f>EXP(-LN(2)/25)*CL175+(1-EXP(-LN(2)/25))/(LN(2)/25)*Calculateur!CG176*Calculateur!CI176*VLOOKUP('Données projet'!$B$12,Paramètres!$A$1:$I$89,3,0)*0.475*44/12</f>
        <v>0.15740819173731932</v>
      </c>
      <c r="CM176" s="21">
        <f>EXP(-LN(2)/2)*CM175+(1-EXP(-LN(2)/2))/(LN(2)/2)*CG176*CJ176*VLOOKUP('Données projet'!$B$12,Paramètres!$A$1:$I$89,3,0)*0.475*44/12</f>
        <v>4.5573946620258441E-16</v>
      </c>
      <c r="CN176" s="22">
        <f t="shared" si="172"/>
        <v>6.0659159889120362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925.00000000000034</v>
      </c>
      <c r="CU176" s="17">
        <f>CT176*VLOOKUP('Données projet'!$B$13,Paramètres!$A$1:$I$89,3,0)*VLOOKUP('Données projet'!$B$13,Paramètres!$A$1:$I$89,5,0)</f>
        <v>408.85000000000014</v>
      </c>
      <c r="CV176" s="13">
        <f t="shared" si="173"/>
        <v>93.568575358321141</v>
      </c>
      <c r="CW176" s="20">
        <f t="shared" si="174"/>
        <v>875.04568541574281</v>
      </c>
      <c r="CX176" s="59">
        <f t="shared" si="122"/>
        <v>1168.3790187490761</v>
      </c>
      <c r="CY176" s="59">
        <f ca="1">AVERAGE(OFFSET($CX$3,0,0,'Données projet'!$E$13+1,1))-AVERAGE(OFFSET($H$3,0,0,'Données projet'!$E$13+1,1))</f>
        <v>500.13646131618248</v>
      </c>
      <c r="CZ176" s="59">
        <f t="shared" si="150"/>
        <v>417.58036817539306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10.84181147545921</v>
      </c>
      <c r="DG176" s="21">
        <f>EXP(-LN(2)/25)*DG175+(1-EXP(-LN(2)/25))/(LN(2)/25)*Calculateur!DB176*Calculateur!DD176*VLOOKUP('Données projet'!$B$13,Paramètres!$A$1:$I$89,3,0)*0.475*44/12</f>
        <v>2.2255270958488973</v>
      </c>
      <c r="DH176" s="21">
        <f>EXP(-LN(2)/2)*DH175+(1-EXP(-LN(2)/2))/(LN(2)/2)*DB176*DE176*VLOOKUP('Données projet'!$B$13,Paramètres!$A$1:$I$89,3,0)*0.475*44/12</f>
        <v>2.4645970092294209E-14</v>
      </c>
      <c r="DI176" s="22">
        <f t="shared" si="175"/>
        <v>13.067338571308131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268.00000000000011</v>
      </c>
      <c r="O177" s="13">
        <f>N177*VLOOKUP('Données projet'!$B$9,Paramètres!$A$1:$I$89,3,0)*VLOOKUP('Données projet'!$B$9,Paramètres!$A$1:$I$89,5,0)</f>
        <v>242.48640000000009</v>
      </c>
      <c r="P177" s="13">
        <f t="shared" si="141"/>
        <v>58.974170235372476</v>
      </c>
      <c r="Q177" s="20">
        <f t="shared" si="162"/>
        <v>525.04382649327385</v>
      </c>
      <c r="R177" s="59">
        <f t="shared" si="109"/>
        <v>818.37715982660711</v>
      </c>
      <c r="S177" s="59">
        <f ca="1">AVERAGE(OFFSET($R$3,0,0,'Données projet'!$E$9+1,1))-AVERAGE(OFFSET($H$3,0,0,'Données projet'!$E$9+1,1))</f>
        <v>371.7282125501186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20.024317868812318</v>
      </c>
      <c r="AA177" s="21">
        <f>EXP(-LN(2)/25)*AA176+(1-EXP(-LN(2)/25))/(LN(2)/25)*Calculateur!V177*Calculateur!X177*VLOOKUP('Données projet'!$B$9,Paramètres!$A$1:$I$89,3,0)*0.475*44/12</f>
        <v>0.55342614149815572</v>
      </c>
      <c r="AB177" s="21">
        <f>EXP(-LN(2)/2)*AB176+(1-EXP(-LN(2)/2))/(LN(2)/2)*V177*Y177*VLOOKUP('Données projet'!$B$9,Paramètres!$A$1:$I$89,3,0)*0.475*44/12</f>
        <v>7.9804191788316381E-9</v>
      </c>
      <c r="AC177" s="22">
        <f t="shared" si="163"/>
        <v>20.577744018290893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305.00000000000017</v>
      </c>
      <c r="AJ177" s="13">
        <f>AI177*VLOOKUP('Données projet'!$B$10,Paramètres!$A$1:$I$89,3,0)*VLOOKUP('Données projet'!$B$10,Paramètres!$A$1:$I$89,5,0)</f>
        <v>204.59400000000011</v>
      </c>
      <c r="AK177" s="13">
        <f t="shared" si="164"/>
        <v>50.75245156043249</v>
      </c>
      <c r="AL177" s="20">
        <f t="shared" si="165"/>
        <v>444.72840313442015</v>
      </c>
      <c r="AM177" s="59">
        <f t="shared" si="113"/>
        <v>738.06173646775346</v>
      </c>
      <c r="AN177" s="59">
        <f ca="1">AVERAGE(OFFSET($AM$3,0,0,'Données projet'!$E$10+1,1))-AVERAGE(OFFSET($H$3,0,0,'Données projet'!$E$10+1,1))</f>
        <v>269.67260882504996</v>
      </c>
      <c r="AO177" s="59">
        <f t="shared" si="144"/>
        <v>272.13858200810074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4.5600412405819899</v>
      </c>
      <c r="AV177" s="21">
        <f>EXP(-LN(2)/25)*AV176+(1-EXP(-LN(2)/25))/(LN(2)/25)*Calculateur!AQ177*Calculateur!AS177*VLOOKUP('Données projet'!$B$10,Paramètres!$A$1:$I$89,3,0)*0.475*44/12</f>
        <v>0.12320147686620408</v>
      </c>
      <c r="AW177" s="21">
        <f>EXP(-LN(2)/2)*AW176+(1-EXP(-LN(2)/2))/(LN(2)/2)*AQ177*AT177*VLOOKUP('Données projet'!$B$10,Paramètres!$A$1:$I$89,3,0)*0.475*44/12</f>
        <v>1.964927747671614E-16</v>
      </c>
      <c r="AX177" s="21">
        <f t="shared" si="166"/>
        <v>4.6832427174481941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453.99999999999977</v>
      </c>
      <c r="BE177" s="13">
        <f>BD177*VLOOKUP('Données projet'!$B$11,Paramètres!$A$1:$I$89,3,0)*VLOOKUP('Données projet'!$B$11,Paramètres!$A$1:$I$89,5,0)</f>
        <v>253.78599999999986</v>
      </c>
      <c r="BF177" s="13">
        <f t="shared" si="167"/>
        <v>61.395945216950906</v>
      </c>
      <c r="BG177" s="20">
        <f t="shared" si="168"/>
        <v>548.94188791952263</v>
      </c>
      <c r="BH177" s="59">
        <f t="shared" si="116"/>
        <v>842.275221252856</v>
      </c>
      <c r="BI177" s="59">
        <f ca="1">AVERAGE(OFFSET($BH$3,0,0,'Données projet'!$E$11+1,1))-AVERAGE(OFFSET($H$3,0,0,'Données projet'!$E$11+1,1))</f>
        <v>330.33728077846268</v>
      </c>
      <c r="BJ177" s="59">
        <f t="shared" si="146"/>
        <v>358.38872754175208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6.2622669914419502</v>
      </c>
      <c r="BQ177" s="21">
        <f>EXP(-LN(2)/25)*BQ176+(1-EXP(-LN(2)/25))/(LN(2)/25)*Calculateur!BL177*Calculateur!BN177*VLOOKUP('Données projet'!$B$11,Paramètres!$A$1:$I$89,3,0)*0.475*44/12</f>
        <v>1.3923639506637788</v>
      </c>
      <c r="BR177" s="21">
        <f>EXP(-LN(2)/2)*BR176+(1-EXP(-LN(2)/2))/(LN(2)/2)*BL177*BO177*VLOOKUP('Données projet'!$B$11,Paramètres!$A$1:$I$89,3,0)*0.475*44/12</f>
        <v>3.5458877229524177E-16</v>
      </c>
      <c r="BS177" s="22">
        <f t="shared" si="169"/>
        <v>7.6546309421057295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290.99999999999994</v>
      </c>
      <c r="BZ177" s="13">
        <f>BY177*VLOOKUP('Données projet'!$B$12,Paramètres!$A$1:$I$89,3,0)*VLOOKUP('Données projet'!$B$12,Paramètres!$A$1:$I$89,5,0)</f>
        <v>276.91559999999993</v>
      </c>
      <c r="CA177" s="13">
        <f t="shared" si="170"/>
        <v>66.314766879144742</v>
      </c>
      <c r="CB177" s="20">
        <f t="shared" si="171"/>
        <v>597.79288898117682</v>
      </c>
      <c r="CC177" s="59">
        <f t="shared" si="119"/>
        <v>891.12622231451019</v>
      </c>
      <c r="CD177" s="59">
        <f ca="1">AVERAGE(OFFSET($CC$3,0,0,'Données projet'!$E$12+1,1))-AVERAGE(OFFSET($H$3,0,0,'Données projet'!$E$12+1,1))</f>
        <v>367.39143258674738</v>
      </c>
      <c r="CE177" s="59">
        <f t="shared" si="148"/>
        <v>376.02790658970292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5.792645563106027</v>
      </c>
      <c r="CL177" s="21">
        <f>EXP(-LN(2)/25)*CL176+(1-EXP(-LN(2)/25))/(LN(2)/25)*Calculateur!CG177*Calculateur!CI177*VLOOKUP('Données projet'!$B$12,Paramètres!$A$1:$I$89,3,0)*0.475*44/12</f>
        <v>0.15310385645652527</v>
      </c>
      <c r="CM177" s="21">
        <f>EXP(-LN(2)/2)*CM176+(1-EXP(-LN(2)/2))/(LN(2)/2)*CG177*CJ177*VLOOKUP('Données projet'!$B$12,Paramètres!$A$1:$I$89,3,0)*0.475*44/12</f>
        <v>3.2225646700618484E-16</v>
      </c>
      <c r="CN177" s="22">
        <f t="shared" si="172"/>
        <v>5.945749419562552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925.00000000000034</v>
      </c>
      <c r="CU177" s="17">
        <f>CT177*VLOOKUP('Données projet'!$B$13,Paramètres!$A$1:$I$89,3,0)*VLOOKUP('Données projet'!$B$13,Paramètres!$A$1:$I$89,5,0)</f>
        <v>408.85000000000014</v>
      </c>
      <c r="CV177" s="13">
        <f t="shared" si="173"/>
        <v>93.568575358321141</v>
      </c>
      <c r="CW177" s="20">
        <f t="shared" si="174"/>
        <v>875.04568541574281</v>
      </c>
      <c r="CX177" s="59">
        <f t="shared" si="122"/>
        <v>1168.3790187490761</v>
      </c>
      <c r="CY177" s="59">
        <f ca="1">AVERAGE(OFFSET($CX$3,0,0,'Données projet'!$E$13+1,1))-AVERAGE(OFFSET($H$3,0,0,'Données projet'!$E$13+1,1))</f>
        <v>500.13646131618248</v>
      </c>
      <c r="CZ177" s="59">
        <f t="shared" si="150"/>
        <v>417.58036817539306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10.62921016527749</v>
      </c>
      <c r="DG177" s="21">
        <f>EXP(-LN(2)/25)*DG176+(1-EXP(-LN(2)/25))/(LN(2)/25)*Calculateur!DB177*Calculateur!DD177*VLOOKUP('Données projet'!$B$13,Paramètres!$A$1:$I$89,3,0)*0.475*44/12</f>
        <v>2.1646699403775256</v>
      </c>
      <c r="DH177" s="21">
        <f>EXP(-LN(2)/2)*DH176+(1-EXP(-LN(2)/2))/(LN(2)/2)*DB177*DE177*VLOOKUP('Données projet'!$B$13,Paramètres!$A$1:$I$89,3,0)*0.475*44/12</f>
        <v>1.7427332581182075E-14</v>
      </c>
      <c r="DI177" s="22">
        <f t="shared" si="175"/>
        <v>12.793880105655033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268.00000000000011</v>
      </c>
      <c r="O178" s="13">
        <f>N178*VLOOKUP('Données projet'!$B$9,Paramètres!$A$1:$I$89,3,0)*VLOOKUP('Données projet'!$B$9,Paramètres!$A$1:$I$89,5,0)</f>
        <v>242.48640000000009</v>
      </c>
      <c r="P178" s="13">
        <f t="shared" si="141"/>
        <v>58.974170235372476</v>
      </c>
      <c r="Q178" s="20">
        <f t="shared" si="162"/>
        <v>525.04382649327385</v>
      </c>
      <c r="R178" s="59">
        <f t="shared" si="109"/>
        <v>818.37715982660711</v>
      </c>
      <c r="S178" s="59">
        <f ca="1">AVERAGE(OFFSET($R$3,0,0,'Données projet'!$E$9+1,1))-AVERAGE(OFFSET($H$3,0,0,'Données projet'!$E$9+1,1))</f>
        <v>371.7282125501186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19.631653209032812</v>
      </c>
      <c r="AA178" s="21">
        <f>EXP(-LN(2)/25)*AA177+(1-EXP(-LN(2)/25))/(LN(2)/25)*Calculateur!V178*Calculateur!X178*VLOOKUP('Données projet'!$B$9,Paramètres!$A$1:$I$89,3,0)*0.475*44/12</f>
        <v>0.53829267455547269</v>
      </c>
      <c r="AB178" s="21">
        <f>EXP(-LN(2)/2)*AB177+(1-EXP(-LN(2)/2))/(LN(2)/2)*V178*Y178*VLOOKUP('Données projet'!$B$9,Paramètres!$A$1:$I$89,3,0)*0.475*44/12</f>
        <v>5.6430085180630304E-9</v>
      </c>
      <c r="AC178" s="22">
        <f t="shared" si="163"/>
        <v>20.169945889231293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305.00000000000017</v>
      </c>
      <c r="AJ178" s="13">
        <f>AI178*VLOOKUP('Données projet'!$B$10,Paramètres!$A$1:$I$89,3,0)*VLOOKUP('Données projet'!$B$10,Paramètres!$A$1:$I$89,5,0)</f>
        <v>204.59400000000011</v>
      </c>
      <c r="AK178" s="13">
        <f t="shared" si="164"/>
        <v>50.75245156043249</v>
      </c>
      <c r="AL178" s="20">
        <f t="shared" si="165"/>
        <v>444.72840313442015</v>
      </c>
      <c r="AM178" s="59">
        <f t="shared" si="113"/>
        <v>738.06173646775346</v>
      </c>
      <c r="AN178" s="59">
        <f ca="1">AVERAGE(OFFSET($AM$3,0,0,'Données projet'!$E$10+1,1))-AVERAGE(OFFSET($H$3,0,0,'Données projet'!$E$10+1,1))</f>
        <v>269.67260882504996</v>
      </c>
      <c r="AO178" s="59">
        <f t="shared" si="144"/>
        <v>272.13858200810074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4.4706216132046981</v>
      </c>
      <c r="AV178" s="21">
        <f>EXP(-LN(2)/25)*AV177+(1-EXP(-LN(2)/25))/(LN(2)/25)*Calculateur!AQ178*Calculateur!AS178*VLOOKUP('Données projet'!$B$10,Paramètres!$A$1:$I$89,3,0)*0.475*44/12</f>
        <v>0.11983252600241365</v>
      </c>
      <c r="AW178" s="21">
        <f>EXP(-LN(2)/2)*AW177+(1-EXP(-LN(2)/2))/(LN(2)/2)*AQ178*AT178*VLOOKUP('Données projet'!$B$10,Paramètres!$A$1:$I$89,3,0)*0.475*44/12</f>
        <v>1.3894137349202076E-16</v>
      </c>
      <c r="AX178" s="21">
        <f t="shared" si="166"/>
        <v>4.5904541392071119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453.99999999999977</v>
      </c>
      <c r="BE178" s="13">
        <f>BD178*VLOOKUP('Données projet'!$B$11,Paramètres!$A$1:$I$89,3,0)*VLOOKUP('Données projet'!$B$11,Paramètres!$A$1:$I$89,5,0)</f>
        <v>253.78599999999986</v>
      </c>
      <c r="BF178" s="13">
        <f t="shared" si="167"/>
        <v>61.395945216950906</v>
      </c>
      <c r="BG178" s="20">
        <f t="shared" si="168"/>
        <v>548.94188791952263</v>
      </c>
      <c r="BH178" s="59">
        <f t="shared" si="116"/>
        <v>842.275221252856</v>
      </c>
      <c r="BI178" s="59">
        <f ca="1">AVERAGE(OFFSET($BH$3,0,0,'Données projet'!$E$11+1,1))-AVERAGE(OFFSET($H$3,0,0,'Données projet'!$E$11+1,1))</f>
        <v>330.33728077846268</v>
      </c>
      <c r="BJ178" s="59">
        <f t="shared" si="146"/>
        <v>358.38872754175208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6.1394677553454837</v>
      </c>
      <c r="BQ178" s="21">
        <f>EXP(-LN(2)/25)*BQ177+(1-EXP(-LN(2)/25))/(LN(2)/25)*Calculateur!BL178*Calculateur!BN178*VLOOKUP('Données projet'!$B$11,Paramètres!$A$1:$I$89,3,0)*0.475*44/12</f>
        <v>1.3542896852116399</v>
      </c>
      <c r="BR178" s="21">
        <f>EXP(-LN(2)/2)*BR177+(1-EXP(-LN(2)/2))/(LN(2)/2)*BL178*BO178*VLOOKUP('Données projet'!$B$11,Paramètres!$A$1:$I$89,3,0)*0.475*44/12</f>
        <v>2.5073212542257804E-16</v>
      </c>
      <c r="BS178" s="22">
        <f t="shared" si="169"/>
        <v>7.4937574405571237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290.99999999999994</v>
      </c>
      <c r="BZ178" s="13">
        <f>BY178*VLOOKUP('Données projet'!$B$12,Paramètres!$A$1:$I$89,3,0)*VLOOKUP('Données projet'!$B$12,Paramètres!$A$1:$I$89,5,0)</f>
        <v>276.91559999999993</v>
      </c>
      <c r="CA178" s="13">
        <f t="shared" si="170"/>
        <v>66.314766879144742</v>
      </c>
      <c r="CB178" s="20">
        <f t="shared" si="171"/>
        <v>597.79288898117682</v>
      </c>
      <c r="CC178" s="59">
        <f t="shared" si="119"/>
        <v>891.12622231451019</v>
      </c>
      <c r="CD178" s="59">
        <f ca="1">AVERAGE(OFFSET($CC$3,0,0,'Données projet'!$E$12+1,1))-AVERAGE(OFFSET($H$3,0,0,'Données projet'!$E$12+1,1))</f>
        <v>367.39143258674738</v>
      </c>
      <c r="CE178" s="59">
        <f t="shared" si="148"/>
        <v>376.02790658970292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5.6790553167784399</v>
      </c>
      <c r="CL178" s="21">
        <f>EXP(-LN(2)/25)*CL177+(1-EXP(-LN(2)/25))/(LN(2)/25)*Calculateur!CG178*Calculateur!CI178*VLOOKUP('Données projet'!$B$12,Paramètres!$A$1:$I$89,3,0)*0.475*44/12</f>
        <v>0.1489172234503397</v>
      </c>
      <c r="CM178" s="21">
        <f>EXP(-LN(2)/2)*CM177+(1-EXP(-LN(2)/2))/(LN(2)/2)*CG178*CJ178*VLOOKUP('Données projet'!$B$12,Paramètres!$A$1:$I$89,3,0)*0.475*44/12</f>
        <v>2.2786973310129221E-16</v>
      </c>
      <c r="CN178" s="22">
        <f t="shared" si="172"/>
        <v>5.8279725402287799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925.00000000000034</v>
      </c>
      <c r="CU178" s="17">
        <f>CT178*VLOOKUP('Données projet'!$B$13,Paramètres!$A$1:$I$89,3,0)*VLOOKUP('Données projet'!$B$13,Paramètres!$A$1:$I$89,5,0)</f>
        <v>408.85000000000014</v>
      </c>
      <c r="CV178" s="13">
        <f t="shared" si="173"/>
        <v>93.568575358321141</v>
      </c>
      <c r="CW178" s="20">
        <f t="shared" si="174"/>
        <v>875.04568541574281</v>
      </c>
      <c r="CX178" s="59">
        <f t="shared" si="122"/>
        <v>1168.3790187490761</v>
      </c>
      <c r="CY178" s="59">
        <f ca="1">AVERAGE(OFFSET($CX$3,0,0,'Données projet'!$E$13+1,1))-AVERAGE(OFFSET($H$3,0,0,'Données projet'!$E$13+1,1))</f>
        <v>500.13646131618248</v>
      </c>
      <c r="CZ178" s="59">
        <f t="shared" si="150"/>
        <v>417.58036817539306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10.420777837114439</v>
      </c>
      <c r="DG178" s="21">
        <f>EXP(-LN(2)/25)*DG177+(1-EXP(-LN(2)/25))/(LN(2)/25)*Calculateur!DB178*Calculateur!DD178*VLOOKUP('Données projet'!$B$13,Paramètres!$A$1:$I$89,3,0)*0.475*44/12</f>
        <v>2.1054769270228575</v>
      </c>
      <c r="DH178" s="21">
        <f>EXP(-LN(2)/2)*DH177+(1-EXP(-LN(2)/2))/(LN(2)/2)*DB178*DE178*VLOOKUP('Données projet'!$B$13,Paramètres!$A$1:$I$89,3,0)*0.475*44/12</f>
        <v>1.2322985046147104E-14</v>
      </c>
      <c r="DI178" s="22">
        <f t="shared" si="175"/>
        <v>12.52625476413731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268.00000000000011</v>
      </c>
      <c r="O179" s="13">
        <f>N179*VLOOKUP('Données projet'!$B$9,Paramètres!$A$1:$I$89,3,0)*VLOOKUP('Données projet'!$B$9,Paramètres!$A$1:$I$89,5,0)</f>
        <v>242.48640000000009</v>
      </c>
      <c r="P179" s="13">
        <f t="shared" si="141"/>
        <v>58.974170235372476</v>
      </c>
      <c r="Q179" s="20">
        <f t="shared" si="162"/>
        <v>525.04382649327385</v>
      </c>
      <c r="R179" s="59">
        <f t="shared" si="109"/>
        <v>818.37715982660711</v>
      </c>
      <c r="S179" s="59">
        <f ca="1">AVERAGE(OFFSET($R$3,0,0,'Données projet'!$E$9+1,1))-AVERAGE(OFFSET($H$3,0,0,'Données projet'!$E$9+1,1))</f>
        <v>371.7282125501186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19.246688463729789</v>
      </c>
      <c r="AA179" s="21">
        <f>EXP(-LN(2)/25)*AA178+(1-EXP(-LN(2)/25))/(LN(2)/25)*Calculateur!V179*Calculateur!X179*VLOOKUP('Données projet'!$B$9,Paramètres!$A$1:$I$89,3,0)*0.475*44/12</f>
        <v>0.52357303306217184</v>
      </c>
      <c r="AB179" s="21">
        <f>EXP(-LN(2)/2)*AB178+(1-EXP(-LN(2)/2))/(LN(2)/2)*V179*Y179*VLOOKUP('Données projet'!$B$9,Paramètres!$A$1:$I$89,3,0)*0.475*44/12</f>
        <v>3.990209589415819E-9</v>
      </c>
      <c r="AC179" s="22">
        <f t="shared" si="163"/>
        <v>19.770261500782169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305.00000000000017</v>
      </c>
      <c r="AJ179" s="13">
        <f>AI179*VLOOKUP('Données projet'!$B$10,Paramètres!$A$1:$I$89,3,0)*VLOOKUP('Données projet'!$B$10,Paramètres!$A$1:$I$89,5,0)</f>
        <v>204.59400000000011</v>
      </c>
      <c r="AK179" s="13">
        <f t="shared" si="164"/>
        <v>50.75245156043249</v>
      </c>
      <c r="AL179" s="20">
        <f t="shared" si="165"/>
        <v>444.72840313442015</v>
      </c>
      <c r="AM179" s="59">
        <f t="shared" si="113"/>
        <v>738.06173646775346</v>
      </c>
      <c r="AN179" s="59">
        <f ca="1">AVERAGE(OFFSET($AM$3,0,0,'Données projet'!$E$10+1,1))-AVERAGE(OFFSET($H$3,0,0,'Données projet'!$E$10+1,1))</f>
        <v>269.67260882504996</v>
      </c>
      <c r="AO179" s="59">
        <f t="shared" si="144"/>
        <v>272.13858200810074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4.3829554501796881</v>
      </c>
      <c r="AV179" s="21">
        <f>EXP(-LN(2)/25)*AV178+(1-EXP(-LN(2)/25))/(LN(2)/25)*Calculateur!AQ179*Calculateur!AS179*VLOOKUP('Données projet'!$B$10,Paramètres!$A$1:$I$89,3,0)*0.475*44/12</f>
        <v>0.11655569927715899</v>
      </c>
      <c r="AW179" s="21">
        <f>EXP(-LN(2)/2)*AW178+(1-EXP(-LN(2)/2))/(LN(2)/2)*AQ179*AT179*VLOOKUP('Données projet'!$B$10,Paramètres!$A$1:$I$89,3,0)*0.475*44/12</f>
        <v>9.82463873835807E-17</v>
      </c>
      <c r="AX179" s="21">
        <f t="shared" si="166"/>
        <v>4.4995111494568469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453.99999999999977</v>
      </c>
      <c r="BE179" s="13">
        <f>BD179*VLOOKUP('Données projet'!$B$11,Paramètres!$A$1:$I$89,3,0)*VLOOKUP('Données projet'!$B$11,Paramètres!$A$1:$I$89,5,0)</f>
        <v>253.78599999999986</v>
      </c>
      <c r="BF179" s="13">
        <f t="shared" si="167"/>
        <v>61.395945216950906</v>
      </c>
      <c r="BG179" s="20">
        <f t="shared" si="168"/>
        <v>548.94188791952263</v>
      </c>
      <c r="BH179" s="59">
        <f t="shared" si="116"/>
        <v>842.275221252856</v>
      </c>
      <c r="BI179" s="59">
        <f ca="1">AVERAGE(OFFSET($BH$3,0,0,'Données projet'!$E$11+1,1))-AVERAGE(OFFSET($H$3,0,0,'Données projet'!$E$11+1,1))</f>
        <v>330.33728077846268</v>
      </c>
      <c r="BJ179" s="59">
        <f t="shared" si="146"/>
        <v>358.38872754175208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6.0190765373687309</v>
      </c>
      <c r="BQ179" s="21">
        <f>EXP(-LN(2)/25)*BQ178+(1-EXP(-LN(2)/25))/(LN(2)/25)*Calculateur!BL179*Calculateur!BN179*VLOOKUP('Données projet'!$B$11,Paramètres!$A$1:$I$89,3,0)*0.475*44/12</f>
        <v>1.3172565625505284</v>
      </c>
      <c r="BR179" s="21">
        <f>EXP(-LN(2)/2)*BR178+(1-EXP(-LN(2)/2))/(LN(2)/2)*BL179*BO179*VLOOKUP('Données projet'!$B$11,Paramètres!$A$1:$I$89,3,0)*0.475*44/12</f>
        <v>1.7729438614762088E-16</v>
      </c>
      <c r="BS179" s="22">
        <f t="shared" si="169"/>
        <v>7.3363330999192593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290.99999999999994</v>
      </c>
      <c r="BZ179" s="13">
        <f>BY179*VLOOKUP('Données projet'!$B$12,Paramètres!$A$1:$I$89,3,0)*VLOOKUP('Données projet'!$B$12,Paramètres!$A$1:$I$89,5,0)</f>
        <v>276.91559999999993</v>
      </c>
      <c r="CA179" s="13">
        <f t="shared" si="170"/>
        <v>66.314766879144742</v>
      </c>
      <c r="CB179" s="20">
        <f t="shared" si="171"/>
        <v>597.79288898117682</v>
      </c>
      <c r="CC179" s="59">
        <f t="shared" si="119"/>
        <v>891.12622231451019</v>
      </c>
      <c r="CD179" s="59">
        <f ca="1">AVERAGE(OFFSET($CC$3,0,0,'Données projet'!$E$12+1,1))-AVERAGE(OFFSET($H$3,0,0,'Données projet'!$E$12+1,1))</f>
        <v>367.39143258674738</v>
      </c>
      <c r="CE179" s="59">
        <f t="shared" si="148"/>
        <v>376.02790658970292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5.5676925058981279</v>
      </c>
      <c r="CL179" s="21">
        <f>EXP(-LN(2)/25)*CL178+(1-EXP(-LN(2)/25))/(LN(2)/25)*Calculateur!CG179*Calculateur!CI179*VLOOKUP('Données projet'!$B$12,Paramètres!$A$1:$I$89,3,0)*0.475*44/12</f>
        <v>0.14484507414387374</v>
      </c>
      <c r="CM179" s="21">
        <f>EXP(-LN(2)/2)*CM178+(1-EXP(-LN(2)/2))/(LN(2)/2)*CG179*CJ179*VLOOKUP('Données projet'!$B$12,Paramètres!$A$1:$I$89,3,0)*0.475*44/12</f>
        <v>1.6112823350309242E-16</v>
      </c>
      <c r="CN179" s="22">
        <f t="shared" si="172"/>
        <v>5.7125375800420013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925.00000000000034</v>
      </c>
      <c r="CU179" s="17">
        <f>CT179*VLOOKUP('Données projet'!$B$13,Paramètres!$A$1:$I$89,3,0)*VLOOKUP('Données projet'!$B$13,Paramètres!$A$1:$I$89,5,0)</f>
        <v>408.85000000000014</v>
      </c>
      <c r="CV179" s="13">
        <f t="shared" si="173"/>
        <v>93.568575358321141</v>
      </c>
      <c r="CW179" s="20">
        <f t="shared" si="174"/>
        <v>875.04568541574281</v>
      </c>
      <c r="CX179" s="59">
        <f t="shared" si="122"/>
        <v>1168.3790187490761</v>
      </c>
      <c r="CY179" s="59">
        <f ca="1">AVERAGE(OFFSET($CX$3,0,0,'Données projet'!$E$13+1,1))-AVERAGE(OFFSET($H$3,0,0,'Données projet'!$E$13+1,1))</f>
        <v>500.13646131618248</v>
      </c>
      <c r="CZ179" s="59">
        <f t="shared" si="150"/>
        <v>417.58036817539306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10.216432739775499</v>
      </c>
      <c r="DG179" s="21">
        <f>EXP(-LN(2)/25)*DG178+(1-EXP(-LN(2)/25))/(LN(2)/25)*Calculateur!DB179*Calculateur!DD179*VLOOKUP('Données projet'!$B$13,Paramètres!$A$1:$I$89,3,0)*0.475*44/12</f>
        <v>2.047902549731198</v>
      </c>
      <c r="DH179" s="21">
        <f>EXP(-LN(2)/2)*DH178+(1-EXP(-LN(2)/2))/(LN(2)/2)*DB179*DE179*VLOOKUP('Données projet'!$B$13,Paramètres!$A$1:$I$89,3,0)*0.475*44/12</f>
        <v>8.7136662905910376E-15</v>
      </c>
      <c r="DI179" s="22">
        <f t="shared" si="175"/>
        <v>12.264335289506706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268.00000000000011</v>
      </c>
      <c r="O180" s="13">
        <f>N180*VLOOKUP('Données projet'!$B$9,Paramètres!$A$1:$I$89,3,0)*VLOOKUP('Données projet'!$B$9,Paramètres!$A$1:$I$89,5,0)</f>
        <v>242.48640000000009</v>
      </c>
      <c r="P180" s="13">
        <f t="shared" si="141"/>
        <v>58.974170235372476</v>
      </c>
      <c r="Q180" s="20">
        <f t="shared" si="162"/>
        <v>525.04382649327385</v>
      </c>
      <c r="R180" s="59">
        <f t="shared" si="109"/>
        <v>818.37715982660711</v>
      </c>
      <c r="S180" s="59">
        <f ca="1">AVERAGE(OFFSET($R$3,0,0,'Données projet'!$E$9+1,1))-AVERAGE(OFFSET($H$3,0,0,'Données projet'!$E$9+1,1))</f>
        <v>371.7282125501186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18.869272642276851</v>
      </c>
      <c r="AA180" s="21">
        <f>EXP(-LN(2)/25)*AA179+(1-EXP(-LN(2)/25))/(LN(2)/25)*Calculateur!V180*Calculateur!X180*VLOOKUP('Données projet'!$B$9,Paramètres!$A$1:$I$89,3,0)*0.475*44/12</f>
        <v>0.50925590093957762</v>
      </c>
      <c r="AB180" s="21">
        <f>EXP(-LN(2)/2)*AB179+(1-EXP(-LN(2)/2))/(LN(2)/2)*V180*Y180*VLOOKUP('Données projet'!$B$9,Paramètres!$A$1:$I$89,3,0)*0.475*44/12</f>
        <v>2.8215042590315152E-9</v>
      </c>
      <c r="AC180" s="22">
        <f t="shared" si="163"/>
        <v>19.378528546037934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305.00000000000017</v>
      </c>
      <c r="AJ180" s="13">
        <f>AI180*VLOOKUP('Données projet'!$B$10,Paramètres!$A$1:$I$89,3,0)*VLOOKUP('Données projet'!$B$10,Paramètres!$A$1:$I$89,5,0)</f>
        <v>204.59400000000011</v>
      </c>
      <c r="AK180" s="13">
        <f t="shared" si="164"/>
        <v>50.75245156043249</v>
      </c>
      <c r="AL180" s="20">
        <f t="shared" si="165"/>
        <v>444.72840313442015</v>
      </c>
      <c r="AM180" s="59">
        <f t="shared" si="113"/>
        <v>738.06173646775346</v>
      </c>
      <c r="AN180" s="59">
        <f ca="1">AVERAGE(OFFSET($AM$3,0,0,'Données projet'!$E$10+1,1))-AVERAGE(OFFSET($H$3,0,0,'Données projet'!$E$10+1,1))</f>
        <v>269.67260882504996</v>
      </c>
      <c r="AO180" s="59">
        <f t="shared" si="144"/>
        <v>272.13858200810074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4.2970083671405188</v>
      </c>
      <c r="AV180" s="21">
        <f>EXP(-LN(2)/25)*AV179+(1-EXP(-LN(2)/25))/(LN(2)/25)*Calculateur!AQ180*Calculateur!AS180*VLOOKUP('Données projet'!$B$10,Paramètres!$A$1:$I$89,3,0)*0.475*44/12</f>
        <v>0.11336847755102725</v>
      </c>
      <c r="AW180" s="21">
        <f>EXP(-LN(2)/2)*AW179+(1-EXP(-LN(2)/2))/(LN(2)/2)*AQ180*AT180*VLOOKUP('Données projet'!$B$10,Paramètres!$A$1:$I$89,3,0)*0.475*44/12</f>
        <v>6.947068674601038E-17</v>
      </c>
      <c r="AX180" s="21">
        <f t="shared" si="166"/>
        <v>4.4103768446915463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453.99999999999977</v>
      </c>
      <c r="BE180" s="13">
        <f>BD180*VLOOKUP('Données projet'!$B$11,Paramètres!$A$1:$I$89,3,0)*VLOOKUP('Données projet'!$B$11,Paramètres!$A$1:$I$89,5,0)</f>
        <v>253.78599999999986</v>
      </c>
      <c r="BF180" s="13">
        <f t="shared" si="167"/>
        <v>61.395945216950906</v>
      </c>
      <c r="BG180" s="20">
        <f t="shared" si="168"/>
        <v>548.94188791952263</v>
      </c>
      <c r="BH180" s="59">
        <f t="shared" si="116"/>
        <v>842.275221252856</v>
      </c>
      <c r="BI180" s="59">
        <f ca="1">AVERAGE(OFFSET($BH$3,0,0,'Données projet'!$E$11+1,1))-AVERAGE(OFFSET($H$3,0,0,'Données projet'!$E$11+1,1))</f>
        <v>330.33728077846268</v>
      </c>
      <c r="BJ180" s="59">
        <f t="shared" si="146"/>
        <v>358.38872754175208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5.9010461177451097</v>
      </c>
      <c r="BQ180" s="21">
        <f>EXP(-LN(2)/25)*BQ179+(1-EXP(-LN(2)/25))/(LN(2)/25)*Calculateur!BL180*Calculateur!BN180*VLOOKUP('Données projet'!$B$11,Paramètres!$A$1:$I$89,3,0)*0.475*44/12</f>
        <v>1.2812361125760723</v>
      </c>
      <c r="BR180" s="21">
        <f>EXP(-LN(2)/2)*BR179+(1-EXP(-LN(2)/2))/(LN(2)/2)*BL180*BO180*VLOOKUP('Données projet'!$B$11,Paramètres!$A$1:$I$89,3,0)*0.475*44/12</f>
        <v>1.2536606271128902E-16</v>
      </c>
      <c r="BS180" s="22">
        <f t="shared" si="169"/>
        <v>7.1822822303211815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290.99999999999994</v>
      </c>
      <c r="BZ180" s="13">
        <f>BY180*VLOOKUP('Données projet'!$B$12,Paramètres!$A$1:$I$89,3,0)*VLOOKUP('Données projet'!$B$12,Paramètres!$A$1:$I$89,5,0)</f>
        <v>276.91559999999993</v>
      </c>
      <c r="CA180" s="13">
        <f t="shared" si="170"/>
        <v>66.314766879144742</v>
      </c>
      <c r="CB180" s="20">
        <f t="shared" si="171"/>
        <v>597.79288898117682</v>
      </c>
      <c r="CC180" s="59">
        <f t="shared" si="119"/>
        <v>891.12622231451019</v>
      </c>
      <c r="CD180" s="59">
        <f ca="1">AVERAGE(OFFSET($CC$3,0,0,'Données projet'!$E$12+1,1))-AVERAGE(OFFSET($H$3,0,0,'Données projet'!$E$12+1,1))</f>
        <v>367.39143258674738</v>
      </c>
      <c r="CE180" s="59">
        <f t="shared" si="148"/>
        <v>376.02790658970292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5.4585134518145715</v>
      </c>
      <c r="CL180" s="21">
        <f>EXP(-LN(2)/25)*CL179+(1-EXP(-LN(2)/25))/(LN(2)/25)*Calculateur!CG180*Calculateur!CI180*VLOOKUP('Données projet'!$B$12,Paramètres!$A$1:$I$89,3,0)*0.475*44/12</f>
        <v>0.14088427797433811</v>
      </c>
      <c r="CM180" s="21">
        <f>EXP(-LN(2)/2)*CM179+(1-EXP(-LN(2)/2))/(LN(2)/2)*CG180*CJ180*VLOOKUP('Données projet'!$B$12,Paramètres!$A$1:$I$89,3,0)*0.475*44/12</f>
        <v>1.139348665506461E-16</v>
      </c>
      <c r="CN180" s="22">
        <f t="shared" si="172"/>
        <v>5.5993977297889099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925.00000000000034</v>
      </c>
      <c r="CU180" s="17">
        <f>CT180*VLOOKUP('Données projet'!$B$13,Paramètres!$A$1:$I$89,3,0)*VLOOKUP('Données projet'!$B$13,Paramètres!$A$1:$I$89,5,0)</f>
        <v>408.85000000000014</v>
      </c>
      <c r="CV180" s="13">
        <f t="shared" si="173"/>
        <v>93.568575358321141</v>
      </c>
      <c r="CW180" s="20">
        <f t="shared" si="174"/>
        <v>875.04568541574281</v>
      </c>
      <c r="CX180" s="59">
        <f t="shared" si="122"/>
        <v>1168.3790187490761</v>
      </c>
      <c r="CY180" s="59">
        <f ca="1">AVERAGE(OFFSET($CX$3,0,0,'Données projet'!$E$13+1,1))-AVERAGE(OFFSET($H$3,0,0,'Données projet'!$E$13+1,1))</f>
        <v>500.13646131618248</v>
      </c>
      <c r="CZ180" s="59">
        <f t="shared" si="150"/>
        <v>417.58036817539306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10.016094725157172</v>
      </c>
      <c r="DG180" s="21">
        <f>EXP(-LN(2)/25)*DG179+(1-EXP(-LN(2)/25))/(LN(2)/25)*Calculateur!DB180*Calculateur!DD180*VLOOKUP('Données projet'!$B$13,Paramètres!$A$1:$I$89,3,0)*0.475*44/12</f>
        <v>1.9919025468142839</v>
      </c>
      <c r="DH180" s="21">
        <f>EXP(-LN(2)/2)*DH179+(1-EXP(-LN(2)/2))/(LN(2)/2)*DB180*DE180*VLOOKUP('Données projet'!$B$13,Paramètres!$A$1:$I$89,3,0)*0.475*44/12</f>
        <v>6.1614925230735522E-15</v>
      </c>
      <c r="DI180" s="22">
        <f t="shared" si="175"/>
        <v>12.007997271971462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268.00000000000011</v>
      </c>
      <c r="O181" s="13">
        <f>N181*VLOOKUP('Données projet'!$B$9,Paramètres!$A$1:$I$89,3,0)*VLOOKUP('Données projet'!$B$9,Paramètres!$A$1:$I$89,5,0)</f>
        <v>242.48640000000009</v>
      </c>
      <c r="P181" s="13">
        <f t="shared" si="141"/>
        <v>58.974170235372476</v>
      </c>
      <c r="Q181" s="20">
        <f t="shared" si="162"/>
        <v>525.04382649327385</v>
      </c>
      <c r="R181" s="59">
        <f t="shared" si="109"/>
        <v>818.37715982660711</v>
      </c>
      <c r="S181" s="59">
        <f ca="1">AVERAGE(OFFSET($R$3,0,0,'Données projet'!$E$9+1,1))-AVERAGE(OFFSET($H$3,0,0,'Données projet'!$E$9+1,1))</f>
        <v>371.7282125501186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18.499257714881683</v>
      </c>
      <c r="AA181" s="21">
        <f>EXP(-LN(2)/25)*AA180+(1-EXP(-LN(2)/25))/(LN(2)/25)*Calculateur!V181*Calculateur!X181*VLOOKUP('Données projet'!$B$9,Paramètres!$A$1:$I$89,3,0)*0.475*44/12</f>
        <v>0.49533027154778098</v>
      </c>
      <c r="AB181" s="21">
        <f>EXP(-LN(2)/2)*AB180+(1-EXP(-LN(2)/2))/(LN(2)/2)*V181*Y181*VLOOKUP('Données projet'!$B$9,Paramètres!$A$1:$I$89,3,0)*0.475*44/12</f>
        <v>1.9951047947079095E-9</v>
      </c>
      <c r="AC181" s="22">
        <f t="shared" si="163"/>
        <v>18.99458798842457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305.00000000000017</v>
      </c>
      <c r="AJ181" s="13">
        <f>AI181*VLOOKUP('Données projet'!$B$10,Paramètres!$A$1:$I$89,3,0)*VLOOKUP('Données projet'!$B$10,Paramètres!$A$1:$I$89,5,0)</f>
        <v>204.59400000000011</v>
      </c>
      <c r="AK181" s="13">
        <f t="shared" si="164"/>
        <v>50.75245156043249</v>
      </c>
      <c r="AL181" s="20">
        <f t="shared" si="165"/>
        <v>444.72840313442015</v>
      </c>
      <c r="AM181" s="59">
        <f t="shared" si="113"/>
        <v>738.06173646775346</v>
      </c>
      <c r="AN181" s="59">
        <f ca="1">AVERAGE(OFFSET($AM$3,0,0,'Données projet'!$E$10+1,1))-AVERAGE(OFFSET($H$3,0,0,'Données projet'!$E$10+1,1))</f>
        <v>269.67260882504996</v>
      </c>
      <c r="AO181" s="59">
        <f t="shared" si="144"/>
        <v>272.13858200810074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4.2127466539772032</v>
      </c>
      <c r="AV181" s="21">
        <f>EXP(-LN(2)/25)*AV180+(1-EXP(-LN(2)/25))/(LN(2)/25)*Calculateur!AQ181*Calculateur!AS181*VLOOKUP('Données projet'!$B$10,Paramètres!$A$1:$I$89,3,0)*0.475*44/12</f>
        <v>0.11026841057060528</v>
      </c>
      <c r="AW181" s="21">
        <f>EXP(-LN(2)/2)*AW180+(1-EXP(-LN(2)/2))/(LN(2)/2)*AQ181*AT181*VLOOKUP('Données projet'!$B$10,Paramètres!$A$1:$I$89,3,0)*0.475*44/12</f>
        <v>4.912319369179035E-17</v>
      </c>
      <c r="AX181" s="21">
        <f t="shared" si="166"/>
        <v>4.3230150645478087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453.99999999999977</v>
      </c>
      <c r="BE181" s="13">
        <f>BD181*VLOOKUP('Données projet'!$B$11,Paramètres!$A$1:$I$89,3,0)*VLOOKUP('Données projet'!$B$11,Paramètres!$A$1:$I$89,5,0)</f>
        <v>253.78599999999986</v>
      </c>
      <c r="BF181" s="13">
        <f t="shared" si="167"/>
        <v>61.395945216950906</v>
      </c>
      <c r="BG181" s="20">
        <f t="shared" si="168"/>
        <v>548.94188791952263</v>
      </c>
      <c r="BH181" s="59">
        <f t="shared" si="116"/>
        <v>842.275221252856</v>
      </c>
      <c r="BI181" s="59">
        <f ca="1">AVERAGE(OFFSET($BH$3,0,0,'Données projet'!$E$11+1,1))-AVERAGE(OFFSET($H$3,0,0,'Données projet'!$E$11+1,1))</f>
        <v>330.33728077846268</v>
      </c>
      <c r="BJ181" s="59">
        <f t="shared" si="146"/>
        <v>358.38872754175208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5.7853302026588604</v>
      </c>
      <c r="BQ181" s="21">
        <f>EXP(-LN(2)/25)*BQ180+(1-EXP(-LN(2)/25))/(LN(2)/25)*Calculateur!BL181*Calculateur!BN181*VLOOKUP('Données projet'!$B$11,Paramètres!$A$1:$I$89,3,0)*0.475*44/12</f>
        <v>1.2462006437004007</v>
      </c>
      <c r="BR181" s="21">
        <f>EXP(-LN(2)/2)*BR180+(1-EXP(-LN(2)/2))/(LN(2)/2)*BL181*BO181*VLOOKUP('Données projet'!$B$11,Paramètres!$A$1:$I$89,3,0)*0.475*44/12</f>
        <v>8.8647193073810442E-17</v>
      </c>
      <c r="BS181" s="22">
        <f t="shared" si="169"/>
        <v>7.031530846359261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290.99999999999994</v>
      </c>
      <c r="BZ181" s="13">
        <f>BY181*VLOOKUP('Données projet'!$B$12,Paramètres!$A$1:$I$89,3,0)*VLOOKUP('Données projet'!$B$12,Paramètres!$A$1:$I$89,5,0)</f>
        <v>276.91559999999993</v>
      </c>
      <c r="CA181" s="13">
        <f t="shared" si="170"/>
        <v>66.314766879144742</v>
      </c>
      <c r="CB181" s="20">
        <f t="shared" si="171"/>
        <v>597.79288898117682</v>
      </c>
      <c r="CC181" s="59">
        <f t="shared" si="119"/>
        <v>891.12622231451019</v>
      </c>
      <c r="CD181" s="59">
        <f ca="1">AVERAGE(OFFSET($CC$3,0,0,'Données projet'!$E$12+1,1))-AVERAGE(OFFSET($H$3,0,0,'Données projet'!$E$12+1,1))</f>
        <v>367.39143258674738</v>
      </c>
      <c r="CE181" s="59">
        <f t="shared" si="148"/>
        <v>376.02790658970292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5.3514753323889463</v>
      </c>
      <c r="CL181" s="21">
        <f>EXP(-LN(2)/25)*CL180+(1-EXP(-LN(2)/25))/(LN(2)/25)*Calculateur!CG181*Calculateur!CI181*VLOOKUP('Données projet'!$B$12,Paramètres!$A$1:$I$89,3,0)*0.475*44/12</f>
        <v>0.13703178998434765</v>
      </c>
      <c r="CM181" s="21">
        <f>EXP(-LN(2)/2)*CM180+(1-EXP(-LN(2)/2))/(LN(2)/2)*CG181*CJ181*VLOOKUP('Données projet'!$B$12,Paramètres!$A$1:$I$89,3,0)*0.475*44/12</f>
        <v>8.0564116751546209E-17</v>
      </c>
      <c r="CN181" s="22">
        <f t="shared" si="172"/>
        <v>5.488507122373294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925.00000000000034</v>
      </c>
      <c r="CU181" s="17">
        <f>CT181*VLOOKUP('Données projet'!$B$13,Paramètres!$A$1:$I$89,3,0)*VLOOKUP('Données projet'!$B$13,Paramètres!$A$1:$I$89,5,0)</f>
        <v>408.85000000000014</v>
      </c>
      <c r="CV181" s="13">
        <f t="shared" si="173"/>
        <v>93.568575358321141</v>
      </c>
      <c r="CW181" s="20">
        <f t="shared" si="174"/>
        <v>875.04568541574281</v>
      </c>
      <c r="CX181" s="59">
        <f t="shared" si="122"/>
        <v>1168.3790187490761</v>
      </c>
      <c r="CY181" s="59">
        <f ca="1">AVERAGE(OFFSET($CX$3,0,0,'Données projet'!$E$13+1,1))-AVERAGE(OFFSET($H$3,0,0,'Données projet'!$E$13+1,1))</f>
        <v>500.13646131618248</v>
      </c>
      <c r="CZ181" s="59">
        <f t="shared" si="150"/>
        <v>417.58036817539306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9.8196852168113882</v>
      </c>
      <c r="DG181" s="21">
        <f>EXP(-LN(2)/25)*DG180+(1-EXP(-LN(2)/25))/(LN(2)/25)*Calculateur!DB181*Calculateur!DD181*VLOOKUP('Données projet'!$B$13,Paramètres!$A$1:$I$89,3,0)*0.475*44/12</f>
        <v>1.937433866922045</v>
      </c>
      <c r="DH181" s="21">
        <f>EXP(-LN(2)/2)*DH180+(1-EXP(-LN(2)/2))/(LN(2)/2)*DB181*DE181*VLOOKUP('Données projet'!$B$13,Paramètres!$A$1:$I$89,3,0)*0.475*44/12</f>
        <v>4.3568331452955188E-15</v>
      </c>
      <c r="DI181" s="22">
        <f t="shared" si="175"/>
        <v>11.757119083733437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268.00000000000011</v>
      </c>
      <c r="O182" s="13">
        <f>N182*VLOOKUP('Données projet'!$B$9,Paramètres!$A$1:$I$89,3,0)*VLOOKUP('Données projet'!$B$9,Paramètres!$A$1:$I$89,5,0)</f>
        <v>242.48640000000009</v>
      </c>
      <c r="P182" s="13">
        <f t="shared" si="141"/>
        <v>58.974170235372476</v>
      </c>
      <c r="Q182" s="20">
        <f t="shared" si="162"/>
        <v>525.04382649327385</v>
      </c>
      <c r="R182" s="59">
        <f t="shared" si="109"/>
        <v>818.37715982660711</v>
      </c>
      <c r="S182" s="59">
        <f ca="1">AVERAGE(OFFSET($R$3,0,0,'Données projet'!$E$9+1,1))-AVERAGE(OFFSET($H$3,0,0,'Données projet'!$E$9+1,1))</f>
        <v>371.7282125501186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18.136498554525911</v>
      </c>
      <c r="AA182" s="21">
        <f>EXP(-LN(2)/25)*AA181+(1-EXP(-LN(2)/25))/(LN(2)/25)*Calculateur!V182*Calculateur!X182*VLOOKUP('Données projet'!$B$9,Paramètres!$A$1:$I$89,3,0)*0.475*44/12</f>
        <v>0.48178543922402001</v>
      </c>
      <c r="AB182" s="21">
        <f>EXP(-LN(2)/2)*AB181+(1-EXP(-LN(2)/2))/(LN(2)/2)*V182*Y182*VLOOKUP('Données projet'!$B$9,Paramètres!$A$1:$I$89,3,0)*0.475*44/12</f>
        <v>1.4107521295157576E-9</v>
      </c>
      <c r="AC182" s="22">
        <f t="shared" si="163"/>
        <v>18.618283995160681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305.00000000000017</v>
      </c>
      <c r="AJ182" s="13">
        <f>AI182*VLOOKUP('Données projet'!$B$10,Paramètres!$A$1:$I$89,3,0)*VLOOKUP('Données projet'!$B$10,Paramètres!$A$1:$I$89,5,0)</f>
        <v>204.59400000000011</v>
      </c>
      <c r="AK182" s="13">
        <f t="shared" si="164"/>
        <v>50.75245156043249</v>
      </c>
      <c r="AL182" s="20">
        <f t="shared" si="165"/>
        <v>444.72840313442015</v>
      </c>
      <c r="AM182" s="59">
        <f t="shared" si="113"/>
        <v>738.06173646775346</v>
      </c>
      <c r="AN182" s="59">
        <f ca="1">AVERAGE(OFFSET($AM$3,0,0,'Données projet'!$E$10+1,1))-AVERAGE(OFFSET($H$3,0,0,'Données projet'!$E$10+1,1))</f>
        <v>269.67260882504996</v>
      </c>
      <c r="AO182" s="59">
        <f t="shared" si="144"/>
        <v>272.13858200810074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4.1301372616144496</v>
      </c>
      <c r="AV182" s="21">
        <f>EXP(-LN(2)/25)*AV181+(1-EXP(-LN(2)/25))/(LN(2)/25)*Calculateur!AQ182*Calculateur!AS182*VLOOKUP('Données projet'!$B$10,Paramètres!$A$1:$I$89,3,0)*0.475*44/12</f>
        <v>0.10725311508478839</v>
      </c>
      <c r="AW182" s="21">
        <f>EXP(-LN(2)/2)*AW181+(1-EXP(-LN(2)/2))/(LN(2)/2)*AQ182*AT182*VLOOKUP('Données projet'!$B$10,Paramètres!$A$1:$I$89,3,0)*0.475*44/12</f>
        <v>3.473534337300519E-17</v>
      </c>
      <c r="AX182" s="21">
        <f t="shared" si="166"/>
        <v>4.2373903766992376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453.99999999999977</v>
      </c>
      <c r="BE182" s="13">
        <f>BD182*VLOOKUP('Données projet'!$B$11,Paramètres!$A$1:$I$89,3,0)*VLOOKUP('Données projet'!$B$11,Paramètres!$A$1:$I$89,5,0)</f>
        <v>253.78599999999986</v>
      </c>
      <c r="BF182" s="13">
        <f t="shared" si="167"/>
        <v>61.395945216950906</v>
      </c>
      <c r="BG182" s="20">
        <f t="shared" si="168"/>
        <v>548.94188791952263</v>
      </c>
      <c r="BH182" s="59">
        <f t="shared" si="116"/>
        <v>842.275221252856</v>
      </c>
      <c r="BI182" s="59">
        <f ca="1">AVERAGE(OFFSET($BH$3,0,0,'Données projet'!$E$11+1,1))-AVERAGE(OFFSET($H$3,0,0,'Données projet'!$E$11+1,1))</f>
        <v>330.33728077846268</v>
      </c>
      <c r="BJ182" s="59">
        <f t="shared" si="146"/>
        <v>358.38872754175208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5.671883406087713</v>
      </c>
      <c r="BQ182" s="21">
        <f>EXP(-LN(2)/25)*BQ181+(1-EXP(-LN(2)/25))/(LN(2)/25)*Calculateur!BL182*Calculateur!BN182*VLOOKUP('Données projet'!$B$11,Paramètres!$A$1:$I$89,3,0)*0.475*44/12</f>
        <v>1.2121232215635696</v>
      </c>
      <c r="BR182" s="21">
        <f>EXP(-LN(2)/2)*BR181+(1-EXP(-LN(2)/2))/(LN(2)/2)*BL182*BO182*VLOOKUP('Données projet'!$B$11,Paramètres!$A$1:$I$89,3,0)*0.475*44/12</f>
        <v>6.268303135564451E-17</v>
      </c>
      <c r="BS182" s="22">
        <f t="shared" si="169"/>
        <v>6.8840066276512824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290.99999999999994</v>
      </c>
      <c r="BZ182" s="13">
        <f>BY182*VLOOKUP('Données projet'!$B$12,Paramètres!$A$1:$I$89,3,0)*VLOOKUP('Données projet'!$B$12,Paramètres!$A$1:$I$89,5,0)</f>
        <v>276.91559999999993</v>
      </c>
      <c r="CA182" s="13">
        <f t="shared" si="170"/>
        <v>66.314766879144742</v>
      </c>
      <c r="CB182" s="20">
        <f t="shared" si="171"/>
        <v>597.79288898117682</v>
      </c>
      <c r="CC182" s="59">
        <f t="shared" si="119"/>
        <v>891.12622231451019</v>
      </c>
      <c r="CD182" s="59">
        <f ca="1">AVERAGE(OFFSET($CC$3,0,0,'Données projet'!$E$12+1,1))-AVERAGE(OFFSET($H$3,0,0,'Données projet'!$E$12+1,1))</f>
        <v>367.39143258674738</v>
      </c>
      <c r="CE182" s="59">
        <f t="shared" si="148"/>
        <v>376.02790658970292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5.2465361651984512</v>
      </c>
      <c r="CL182" s="21">
        <f>EXP(-LN(2)/25)*CL181+(1-EXP(-LN(2)/25))/(LN(2)/25)*Calculateur!CG182*Calculateur!CI182*VLOOKUP('Données projet'!$B$12,Paramètres!$A$1:$I$89,3,0)*0.475*44/12</f>
        <v>0.13328464848103702</v>
      </c>
      <c r="CM182" s="21">
        <f>EXP(-LN(2)/2)*CM181+(1-EXP(-LN(2)/2))/(LN(2)/2)*CG182*CJ182*VLOOKUP('Données projet'!$B$12,Paramètres!$A$1:$I$89,3,0)*0.475*44/12</f>
        <v>5.6967433275323052E-17</v>
      </c>
      <c r="CN182" s="22">
        <f t="shared" si="172"/>
        <v>5.3798208136794878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925.00000000000034</v>
      </c>
      <c r="CU182" s="17">
        <f>CT182*VLOOKUP('Données projet'!$B$13,Paramètres!$A$1:$I$89,3,0)*VLOOKUP('Données projet'!$B$13,Paramètres!$A$1:$I$89,5,0)</f>
        <v>408.85000000000014</v>
      </c>
      <c r="CV182" s="13">
        <f t="shared" si="173"/>
        <v>93.568575358321141</v>
      </c>
      <c r="CW182" s="20">
        <f t="shared" si="174"/>
        <v>875.04568541574281</v>
      </c>
      <c r="CX182" s="59">
        <f t="shared" si="122"/>
        <v>1168.3790187490761</v>
      </c>
      <c r="CY182" s="59">
        <f ca="1">AVERAGE(OFFSET($CX$3,0,0,'Données projet'!$E$13+1,1))-AVERAGE(OFFSET($H$3,0,0,'Données projet'!$E$13+1,1))</f>
        <v>500.13646131618248</v>
      </c>
      <c r="CZ182" s="59">
        <f t="shared" si="150"/>
        <v>417.58036817539306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9.627127179126294</v>
      </c>
      <c r="DG182" s="21">
        <f>EXP(-LN(2)/25)*DG181+(1-EXP(-LN(2)/25))/(LN(2)/25)*Calculateur!DB182*Calculateur!DD182*VLOOKUP('Données projet'!$B$13,Paramètres!$A$1:$I$89,3,0)*0.475*44/12</f>
        <v>1.8844546359458427</v>
      </c>
      <c r="DH182" s="21">
        <f>EXP(-LN(2)/2)*DH181+(1-EXP(-LN(2)/2))/(LN(2)/2)*DB182*DE182*VLOOKUP('Données projet'!$B$13,Paramètres!$A$1:$I$89,3,0)*0.475*44/12</f>
        <v>3.0807462615367761E-15</v>
      </c>
      <c r="DI182" s="22">
        <f t="shared" si="175"/>
        <v>11.511581815072141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268.00000000000011</v>
      </c>
      <c r="O183" s="13">
        <f>N183*VLOOKUP('Données projet'!$B$9,Paramètres!$A$1:$I$89,3,0)*VLOOKUP('Données projet'!$B$9,Paramètres!$A$1:$I$89,5,0)</f>
        <v>242.48640000000009</v>
      </c>
      <c r="P183" s="13">
        <f t="shared" si="141"/>
        <v>58.974170235372476</v>
      </c>
      <c r="Q183" s="20">
        <f t="shared" si="162"/>
        <v>525.04382649327385</v>
      </c>
      <c r="R183" s="59">
        <f t="shared" si="109"/>
        <v>818.37715982660711</v>
      </c>
      <c r="S183" s="59">
        <f ca="1">AVERAGE(OFFSET($R$3,0,0,'Données projet'!$E$9+1,1))-AVERAGE(OFFSET($H$3,0,0,'Données projet'!$E$9+1,1))</f>
        <v>371.7282125501186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17.780852880043476</v>
      </c>
      <c r="AA183" s="21">
        <f>EXP(-LN(2)/25)*AA182+(1-EXP(-LN(2)/25))/(LN(2)/25)*Calculateur!V183*Calculateur!X183*VLOOKUP('Données projet'!$B$9,Paramètres!$A$1:$I$89,3,0)*0.475*44/12</f>
        <v>0.46861099105244408</v>
      </c>
      <c r="AB183" s="21">
        <f>EXP(-LN(2)/2)*AB182+(1-EXP(-LN(2)/2))/(LN(2)/2)*V183*Y183*VLOOKUP('Données projet'!$B$9,Paramètres!$A$1:$I$89,3,0)*0.475*44/12</f>
        <v>9.9755239735395476E-10</v>
      </c>
      <c r="AC183" s="22">
        <f t="shared" si="163"/>
        <v>18.249463872093472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305.00000000000017</v>
      </c>
      <c r="AJ183" s="13">
        <f>AI183*VLOOKUP('Données projet'!$B$10,Paramètres!$A$1:$I$89,3,0)*VLOOKUP('Données projet'!$B$10,Paramètres!$A$1:$I$89,5,0)</f>
        <v>204.59400000000011</v>
      </c>
      <c r="AK183" s="13">
        <f t="shared" si="164"/>
        <v>50.75245156043249</v>
      </c>
      <c r="AL183" s="20">
        <f t="shared" si="165"/>
        <v>444.72840313442015</v>
      </c>
      <c r="AM183" s="59">
        <f t="shared" si="113"/>
        <v>738.06173646775346</v>
      </c>
      <c r="AN183" s="59">
        <f ca="1">AVERAGE(OFFSET($AM$3,0,0,'Données projet'!$E$10+1,1))-AVERAGE(OFFSET($H$3,0,0,'Données projet'!$E$10+1,1))</f>
        <v>269.67260882504996</v>
      </c>
      <c r="AO183" s="59">
        <f t="shared" si="144"/>
        <v>272.13858200810074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4.0491477890491758</v>
      </c>
      <c r="AV183" s="21">
        <f>EXP(-LN(2)/25)*AV182+(1-EXP(-LN(2)/25))/(LN(2)/25)*Calculateur!AQ183*Calculateur!AS183*VLOOKUP('Données projet'!$B$10,Paramètres!$A$1:$I$89,3,0)*0.475*44/12</f>
        <v>0.10432027301259866</v>
      </c>
      <c r="AW183" s="21">
        <f>EXP(-LN(2)/2)*AW182+(1-EXP(-LN(2)/2))/(LN(2)/2)*AQ183*AT183*VLOOKUP('Données projet'!$B$10,Paramètres!$A$1:$I$89,3,0)*0.475*44/12</f>
        <v>2.4561596845895175E-17</v>
      </c>
      <c r="AX183" s="21">
        <f t="shared" si="166"/>
        <v>4.1534680620617745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453.99999999999977</v>
      </c>
      <c r="BE183" s="13">
        <f>BD183*VLOOKUP('Données projet'!$B$11,Paramètres!$A$1:$I$89,3,0)*VLOOKUP('Données projet'!$B$11,Paramètres!$A$1:$I$89,5,0)</f>
        <v>253.78599999999986</v>
      </c>
      <c r="BF183" s="13">
        <f t="shared" si="167"/>
        <v>61.395945216950906</v>
      </c>
      <c r="BG183" s="20">
        <f t="shared" si="168"/>
        <v>548.94188791952263</v>
      </c>
      <c r="BH183" s="59">
        <f t="shared" si="116"/>
        <v>842.275221252856</v>
      </c>
      <c r="BI183" s="59">
        <f ca="1">AVERAGE(OFFSET($BH$3,0,0,'Données projet'!$E$11+1,1))-AVERAGE(OFFSET($H$3,0,0,'Données projet'!$E$11+1,1))</f>
        <v>330.33728077846268</v>
      </c>
      <c r="BJ183" s="59">
        <f t="shared" si="146"/>
        <v>358.38872754175208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5.5606612320016131</v>
      </c>
      <c r="BQ183" s="21">
        <f>EXP(-LN(2)/25)*BQ182+(1-EXP(-LN(2)/25))/(LN(2)/25)*Calculateur!BL183*Calculateur!BN183*VLOOKUP('Données projet'!$B$11,Paramètres!$A$1:$I$89,3,0)*0.475*44/12</f>
        <v>1.1789776483271239</v>
      </c>
      <c r="BR183" s="21">
        <f>EXP(-LN(2)/2)*BR182+(1-EXP(-LN(2)/2))/(LN(2)/2)*BL183*BO183*VLOOKUP('Données projet'!$B$11,Paramètres!$A$1:$I$89,3,0)*0.475*44/12</f>
        <v>4.4323596536905221E-17</v>
      </c>
      <c r="BS183" s="22">
        <f t="shared" si="169"/>
        <v>6.7396388803287373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290.99999999999994</v>
      </c>
      <c r="BZ183" s="13">
        <f>BY183*VLOOKUP('Données projet'!$B$12,Paramètres!$A$1:$I$89,3,0)*VLOOKUP('Données projet'!$B$12,Paramètres!$A$1:$I$89,5,0)</f>
        <v>276.91559999999993</v>
      </c>
      <c r="CA183" s="13">
        <f t="shared" si="170"/>
        <v>66.314766879144742</v>
      </c>
      <c r="CB183" s="20">
        <f t="shared" si="171"/>
        <v>597.79288898117682</v>
      </c>
      <c r="CC183" s="59">
        <f t="shared" si="119"/>
        <v>891.12622231451019</v>
      </c>
      <c r="CD183" s="59">
        <f ca="1">AVERAGE(OFFSET($CC$3,0,0,'Données projet'!$E$12+1,1))-AVERAGE(OFFSET($H$3,0,0,'Données projet'!$E$12+1,1))</f>
        <v>367.39143258674738</v>
      </c>
      <c r="CE183" s="59">
        <f t="shared" si="148"/>
        <v>376.02790658970292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5.1436547910699897</v>
      </c>
      <c r="CL183" s="21">
        <f>EXP(-LN(2)/25)*CL182+(1-EXP(-LN(2)/25))/(LN(2)/25)*Calculateur!CG183*Calculateur!CI183*VLOOKUP('Données projet'!$B$12,Paramètres!$A$1:$I$89,3,0)*0.475*44/12</f>
        <v>0.12963997275918804</v>
      </c>
      <c r="CM183" s="21">
        <f>EXP(-LN(2)/2)*CM182+(1-EXP(-LN(2)/2))/(LN(2)/2)*CG183*CJ183*VLOOKUP('Données projet'!$B$12,Paramètres!$A$1:$I$89,3,0)*0.475*44/12</f>
        <v>4.0282058375773105E-17</v>
      </c>
      <c r="CN183" s="22">
        <f t="shared" si="172"/>
        <v>5.2732947638291776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925.00000000000034</v>
      </c>
      <c r="CU183" s="17">
        <f>CT183*VLOOKUP('Données projet'!$B$13,Paramètres!$A$1:$I$89,3,0)*VLOOKUP('Données projet'!$B$13,Paramètres!$A$1:$I$89,5,0)</f>
        <v>408.85000000000014</v>
      </c>
      <c r="CV183" s="13">
        <f t="shared" si="173"/>
        <v>93.568575358321141</v>
      </c>
      <c r="CW183" s="20">
        <f t="shared" si="174"/>
        <v>875.04568541574281</v>
      </c>
      <c r="CX183" s="59">
        <f t="shared" si="122"/>
        <v>1168.3790187490761</v>
      </c>
      <c r="CY183" s="59">
        <f ca="1">AVERAGE(OFFSET($CX$3,0,0,'Données projet'!$E$13+1,1))-AVERAGE(OFFSET($H$3,0,0,'Données projet'!$E$13+1,1))</f>
        <v>500.13646131618248</v>
      </c>
      <c r="CZ183" s="59">
        <f t="shared" si="150"/>
        <v>417.58036817539306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9.4383450871113972</v>
      </c>
      <c r="DG183" s="21">
        <f>EXP(-LN(2)/25)*DG182+(1-EXP(-LN(2)/25))/(LN(2)/25)*Calculateur!DB183*Calculateur!DD183*VLOOKUP('Données projet'!$B$13,Paramètres!$A$1:$I$89,3,0)*0.475*44/12</f>
        <v>1.8329241248267414</v>
      </c>
      <c r="DH183" s="21">
        <f>EXP(-LN(2)/2)*DH182+(1-EXP(-LN(2)/2))/(LN(2)/2)*DB183*DE183*VLOOKUP('Données projet'!$B$13,Paramètres!$A$1:$I$89,3,0)*0.475*44/12</f>
        <v>2.1784165726477594E-15</v>
      </c>
      <c r="DI183" s="22">
        <f t="shared" si="175"/>
        <v>11.27126921193814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268.00000000000011</v>
      </c>
      <c r="O184" s="13">
        <f>N184*VLOOKUP('Données projet'!$B$9,Paramètres!$A$1:$I$89,3,0)*VLOOKUP('Données projet'!$B$9,Paramètres!$A$1:$I$89,5,0)</f>
        <v>242.48640000000009</v>
      </c>
      <c r="P184" s="13">
        <f t="shared" si="141"/>
        <v>58.974170235372476</v>
      </c>
      <c r="Q184" s="20">
        <f t="shared" si="162"/>
        <v>525.04382649327385</v>
      </c>
      <c r="R184" s="59">
        <f t="shared" si="109"/>
        <v>818.37715982660711</v>
      </c>
      <c r="S184" s="59">
        <f ca="1">AVERAGE(OFFSET($R$3,0,0,'Données projet'!$E$9+1,1))-AVERAGE(OFFSET($H$3,0,0,'Données projet'!$E$9+1,1))</f>
        <v>371.7282125501186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17.432181200315199</v>
      </c>
      <c r="AA184" s="21">
        <f>EXP(-LN(2)/25)*AA183+(1-EXP(-LN(2)/25))/(LN(2)/25)*Calculateur!V184*Calculateur!X184*VLOOKUP('Données projet'!$B$9,Paramètres!$A$1:$I$89,3,0)*0.475*44/12</f>
        <v>0.45579679885893398</v>
      </c>
      <c r="AB184" s="21">
        <f>EXP(-LN(2)/2)*AB183+(1-EXP(-LN(2)/2))/(LN(2)/2)*V184*Y184*VLOOKUP('Données projet'!$B$9,Paramètres!$A$1:$I$89,3,0)*0.475*44/12</f>
        <v>7.053760647578788E-10</v>
      </c>
      <c r="AC184" s="22">
        <f t="shared" si="163"/>
        <v>17.88797799987951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305.00000000000017</v>
      </c>
      <c r="AJ184" s="13">
        <f>AI184*VLOOKUP('Données projet'!$B$10,Paramètres!$A$1:$I$89,3,0)*VLOOKUP('Données projet'!$B$10,Paramètres!$A$1:$I$89,5,0)</f>
        <v>204.59400000000011</v>
      </c>
      <c r="AK184" s="13">
        <f t="shared" si="164"/>
        <v>50.75245156043249</v>
      </c>
      <c r="AL184" s="20">
        <f t="shared" si="165"/>
        <v>444.72840313442015</v>
      </c>
      <c r="AM184" s="59">
        <f t="shared" si="113"/>
        <v>738.06173646775346</v>
      </c>
      <c r="AN184" s="59">
        <f ca="1">AVERAGE(OFFSET($AM$3,0,0,'Données projet'!$E$10+1,1))-AVERAGE(OFFSET($H$3,0,0,'Données projet'!$E$10+1,1))</f>
        <v>269.67260882504996</v>
      </c>
      <c r="AO184" s="59">
        <f t="shared" si="144"/>
        <v>272.13858200810074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3.9697464706422068</v>
      </c>
      <c r="AV184" s="21">
        <f>EXP(-LN(2)/25)*AV183+(1-EXP(-LN(2)/25))/(LN(2)/25)*Calculateur!AQ184*Calculateur!AS184*VLOOKUP('Données projet'!$B$10,Paramètres!$A$1:$I$89,3,0)*0.475*44/12</f>
        <v>0.10146762966110442</v>
      </c>
      <c r="AW184" s="21">
        <f>EXP(-LN(2)/2)*AW183+(1-EXP(-LN(2)/2))/(LN(2)/2)*AQ184*AT184*VLOOKUP('Données projet'!$B$10,Paramètres!$A$1:$I$89,3,0)*0.475*44/12</f>
        <v>1.7367671686502595E-17</v>
      </c>
      <c r="AX184" s="21">
        <f t="shared" si="166"/>
        <v>4.0712141003033109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453.99999999999977</v>
      </c>
      <c r="BE184" s="13">
        <f>BD184*VLOOKUP('Données projet'!$B$11,Paramètres!$A$1:$I$89,3,0)*VLOOKUP('Données projet'!$B$11,Paramètres!$A$1:$I$89,5,0)</f>
        <v>253.78599999999986</v>
      </c>
      <c r="BF184" s="13">
        <f t="shared" si="167"/>
        <v>61.395945216950906</v>
      </c>
      <c r="BG184" s="20">
        <f t="shared" si="168"/>
        <v>548.94188791952263</v>
      </c>
      <c r="BH184" s="59">
        <f t="shared" si="116"/>
        <v>842.275221252856</v>
      </c>
      <c r="BI184" s="59">
        <f ca="1">AVERAGE(OFFSET($BH$3,0,0,'Données projet'!$E$11+1,1))-AVERAGE(OFFSET($H$3,0,0,'Données projet'!$E$11+1,1))</f>
        <v>330.33728077846268</v>
      </c>
      <c r="BJ184" s="59">
        <f t="shared" si="146"/>
        <v>358.38872754175208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5.4516200569105138</v>
      </c>
      <c r="BQ184" s="21">
        <f>EXP(-LN(2)/25)*BQ183+(1-EXP(-LN(2)/25))/(LN(2)/25)*Calculateur!BL184*Calculateur!BN184*VLOOKUP('Données projet'!$B$11,Paramètres!$A$1:$I$89,3,0)*0.475*44/12</f>
        <v>1.1467384425338787</v>
      </c>
      <c r="BR184" s="21">
        <f>EXP(-LN(2)/2)*BR183+(1-EXP(-LN(2)/2))/(LN(2)/2)*BL184*BO184*VLOOKUP('Données projet'!$B$11,Paramètres!$A$1:$I$89,3,0)*0.475*44/12</f>
        <v>3.1341515677822255E-17</v>
      </c>
      <c r="BS184" s="22">
        <f t="shared" si="169"/>
        <v>6.5983584994443927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290.99999999999994</v>
      </c>
      <c r="BZ184" s="13">
        <f>BY184*VLOOKUP('Données projet'!$B$12,Paramètres!$A$1:$I$89,3,0)*VLOOKUP('Données projet'!$B$12,Paramètres!$A$1:$I$89,5,0)</f>
        <v>276.91559999999993</v>
      </c>
      <c r="CA184" s="13">
        <f t="shared" si="170"/>
        <v>66.314766879144742</v>
      </c>
      <c r="CB184" s="20">
        <f t="shared" si="171"/>
        <v>597.79288898117682</v>
      </c>
      <c r="CC184" s="59">
        <f t="shared" si="119"/>
        <v>891.12622231451019</v>
      </c>
      <c r="CD184" s="59">
        <f ca="1">AVERAGE(OFFSET($CC$3,0,0,'Données projet'!$E$12+1,1))-AVERAGE(OFFSET($H$3,0,0,'Données projet'!$E$12+1,1))</f>
        <v>367.39143258674738</v>
      </c>
      <c r="CE184" s="59">
        <f t="shared" si="148"/>
        <v>376.02790658970292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5.0427908579367449</v>
      </c>
      <c r="CL184" s="21">
        <f>EXP(-LN(2)/25)*CL183+(1-EXP(-LN(2)/25))/(LN(2)/25)*Calculateur!CG184*Calculateur!CI184*VLOOKUP('Données projet'!$B$12,Paramètres!$A$1:$I$89,3,0)*0.475*44/12</f>
        <v>0.12609496088661817</v>
      </c>
      <c r="CM184" s="21">
        <f>EXP(-LN(2)/2)*CM183+(1-EXP(-LN(2)/2))/(LN(2)/2)*CG184*CJ184*VLOOKUP('Données projet'!$B$12,Paramètres!$A$1:$I$89,3,0)*0.475*44/12</f>
        <v>2.8483716637661526E-17</v>
      </c>
      <c r="CN184" s="22">
        <f t="shared" si="172"/>
        <v>5.1688858188233633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925.00000000000034</v>
      </c>
      <c r="CU184" s="17">
        <f>CT184*VLOOKUP('Données projet'!$B$13,Paramètres!$A$1:$I$89,3,0)*VLOOKUP('Données projet'!$B$13,Paramètres!$A$1:$I$89,5,0)</f>
        <v>408.85000000000014</v>
      </c>
      <c r="CV184" s="13">
        <f t="shared" si="173"/>
        <v>93.568575358321141</v>
      </c>
      <c r="CW184" s="20">
        <f t="shared" si="174"/>
        <v>875.04568541574281</v>
      </c>
      <c r="CX184" s="59">
        <f t="shared" si="122"/>
        <v>1168.3790187490761</v>
      </c>
      <c r="CY184" s="59">
        <f ca="1">AVERAGE(OFFSET($CX$3,0,0,'Données projet'!$E$13+1,1))-AVERAGE(OFFSET($H$3,0,0,'Données projet'!$E$13+1,1))</f>
        <v>500.13646131618248</v>
      </c>
      <c r="CZ184" s="59">
        <f t="shared" si="150"/>
        <v>417.58036817539306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9.2532648967752067</v>
      </c>
      <c r="DG184" s="21">
        <f>EXP(-LN(2)/25)*DG183+(1-EXP(-LN(2)/25))/(LN(2)/25)*Calculateur!DB184*Calculateur!DD184*VLOOKUP('Données projet'!$B$13,Paramètres!$A$1:$I$89,3,0)*0.475*44/12</f>
        <v>1.7828027182440636</v>
      </c>
      <c r="DH184" s="21">
        <f>EXP(-LN(2)/2)*DH183+(1-EXP(-LN(2)/2))/(LN(2)/2)*DB184*DE184*VLOOKUP('Données projet'!$B$13,Paramètres!$A$1:$I$89,3,0)*0.475*44/12</f>
        <v>1.540373130768388E-15</v>
      </c>
      <c r="DI184" s="22">
        <f t="shared" si="175"/>
        <v>11.036067615019272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268.00000000000011</v>
      </c>
      <c r="O185" s="13">
        <f>N185*VLOOKUP('Données projet'!$B$9,Paramètres!$A$1:$I$89,3,0)*VLOOKUP('Données projet'!$B$9,Paramètres!$A$1:$I$89,5,0)</f>
        <v>242.48640000000009</v>
      </c>
      <c r="P185" s="13">
        <f t="shared" si="141"/>
        <v>58.974170235372476</v>
      </c>
      <c r="Q185" s="20">
        <f t="shared" si="162"/>
        <v>525.04382649327385</v>
      </c>
      <c r="R185" s="59">
        <f t="shared" si="109"/>
        <v>818.37715982660711</v>
      </c>
      <c r="S185" s="59">
        <f ca="1">AVERAGE(OFFSET($R$3,0,0,'Données projet'!$E$9+1,1))-AVERAGE(OFFSET($H$3,0,0,'Données projet'!$E$9+1,1))</f>
        <v>371.7282125501186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17.090346759557669</v>
      </c>
      <c r="AA185" s="21">
        <f>EXP(-LN(2)/25)*AA184+(1-EXP(-LN(2)/25))/(LN(2)/25)*Calculateur!V185*Calculateur!X185*VLOOKUP('Données projet'!$B$9,Paramètres!$A$1:$I$89,3,0)*0.475*44/12</f>
        <v>0.44333301142482451</v>
      </c>
      <c r="AB185" s="21">
        <f>EXP(-LN(2)/2)*AB184+(1-EXP(-LN(2)/2))/(LN(2)/2)*V185*Y185*VLOOKUP('Données projet'!$B$9,Paramètres!$A$1:$I$89,3,0)*0.475*44/12</f>
        <v>4.9877619867697738E-10</v>
      </c>
      <c r="AC185" s="22">
        <f t="shared" si="163"/>
        <v>17.533679771481268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305.00000000000017</v>
      </c>
      <c r="AJ185" s="13">
        <f>AI185*VLOOKUP('Données projet'!$B$10,Paramètres!$A$1:$I$89,3,0)*VLOOKUP('Données projet'!$B$10,Paramètres!$A$1:$I$89,5,0)</f>
        <v>204.59400000000011</v>
      </c>
      <c r="AK185" s="13">
        <f t="shared" si="164"/>
        <v>50.75245156043249</v>
      </c>
      <c r="AL185" s="20">
        <f t="shared" si="165"/>
        <v>444.72840313442015</v>
      </c>
      <c r="AM185" s="59">
        <f t="shared" si="113"/>
        <v>738.06173646775346</v>
      </c>
      <c r="AN185" s="59">
        <f ca="1">AVERAGE(OFFSET($AM$3,0,0,'Données projet'!$E$10+1,1))-AVERAGE(OFFSET($H$3,0,0,'Données projet'!$E$10+1,1))</f>
        <v>269.67260882504996</v>
      </c>
      <c r="AO185" s="59">
        <f t="shared" si="144"/>
        <v>272.13858200810074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3.891902163659176</v>
      </c>
      <c r="AV185" s="21">
        <f>EXP(-LN(2)/25)*AV184+(1-EXP(-LN(2)/25))/(LN(2)/25)*Calculateur!AQ185*Calculateur!AS185*VLOOKUP('Données projet'!$B$10,Paramètres!$A$1:$I$89,3,0)*0.475*44/12</f>
        <v>9.8692991992070794E-2</v>
      </c>
      <c r="AW185" s="21">
        <f>EXP(-LN(2)/2)*AW184+(1-EXP(-LN(2)/2))/(LN(2)/2)*AQ185*AT185*VLOOKUP('Données projet'!$B$10,Paramètres!$A$1:$I$89,3,0)*0.475*44/12</f>
        <v>1.2280798422947588E-17</v>
      </c>
      <c r="AX185" s="21">
        <f t="shared" si="166"/>
        <v>3.9905951556512469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453.99999999999977</v>
      </c>
      <c r="BE185" s="13">
        <f>BD185*VLOOKUP('Données projet'!$B$11,Paramètres!$A$1:$I$89,3,0)*VLOOKUP('Données projet'!$B$11,Paramètres!$A$1:$I$89,5,0)</f>
        <v>253.78599999999986</v>
      </c>
      <c r="BF185" s="13">
        <f t="shared" si="167"/>
        <v>61.395945216950906</v>
      </c>
      <c r="BG185" s="20">
        <f t="shared" si="168"/>
        <v>548.94188791952263</v>
      </c>
      <c r="BH185" s="59">
        <f t="shared" si="116"/>
        <v>842.275221252856</v>
      </c>
      <c r="BI185" s="59">
        <f ca="1">AVERAGE(OFFSET($BH$3,0,0,'Données projet'!$E$11+1,1))-AVERAGE(OFFSET($H$3,0,0,'Données projet'!$E$11+1,1))</f>
        <v>330.33728077846268</v>
      </c>
      <c r="BJ185" s="59">
        <f t="shared" si="146"/>
        <v>358.38872754175208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5.3447171127544006</v>
      </c>
      <c r="BQ185" s="21">
        <f>EXP(-LN(2)/25)*BQ184+(1-EXP(-LN(2)/25))/(LN(2)/25)*Calculateur!BL185*Calculateur!BN185*VLOOKUP('Données projet'!$B$11,Paramètres!$A$1:$I$89,3,0)*0.475*44/12</f>
        <v>1.115380819518436</v>
      </c>
      <c r="BR185" s="21">
        <f>EXP(-LN(2)/2)*BR184+(1-EXP(-LN(2)/2))/(LN(2)/2)*BL185*BO185*VLOOKUP('Données projet'!$B$11,Paramètres!$A$1:$I$89,3,0)*0.475*44/12</f>
        <v>2.216179826845261E-17</v>
      </c>
      <c r="BS185" s="22">
        <f t="shared" si="169"/>
        <v>6.4600979322728369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290.99999999999994</v>
      </c>
      <c r="BZ185" s="13">
        <f>BY185*VLOOKUP('Données projet'!$B$12,Paramètres!$A$1:$I$89,3,0)*VLOOKUP('Données projet'!$B$12,Paramètres!$A$1:$I$89,5,0)</f>
        <v>276.91559999999993</v>
      </c>
      <c r="CA185" s="13">
        <f t="shared" si="170"/>
        <v>66.314766879144742</v>
      </c>
      <c r="CB185" s="20">
        <f t="shared" si="171"/>
        <v>597.79288898117682</v>
      </c>
      <c r="CC185" s="59">
        <f t="shared" si="119"/>
        <v>891.12622231451019</v>
      </c>
      <c r="CD185" s="59">
        <f ca="1">AVERAGE(OFFSET($CC$3,0,0,'Données projet'!$E$12+1,1))-AVERAGE(OFFSET($H$3,0,0,'Données projet'!$E$12+1,1))</f>
        <v>367.39143258674738</v>
      </c>
      <c r="CE185" s="59">
        <f t="shared" si="148"/>
        <v>376.02790658970292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4.9439048050113188</v>
      </c>
      <c r="CL185" s="21">
        <f>EXP(-LN(2)/25)*CL184+(1-EXP(-LN(2)/25))/(LN(2)/25)*Calculateur!CG185*Calculateur!CI185*VLOOKUP('Données projet'!$B$12,Paramètres!$A$1:$I$89,3,0)*0.475*44/12</f>
        <v>0.1226468875501278</v>
      </c>
      <c r="CM185" s="21">
        <f>EXP(-LN(2)/2)*CM184+(1-EXP(-LN(2)/2))/(LN(2)/2)*CG185*CJ185*VLOOKUP('Données projet'!$B$12,Paramètres!$A$1:$I$89,3,0)*0.475*44/12</f>
        <v>2.0141029187886552E-17</v>
      </c>
      <c r="CN185" s="22">
        <f t="shared" si="172"/>
        <v>5.0665516925614469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925.00000000000034</v>
      </c>
      <c r="CU185" s="17">
        <f>CT185*VLOOKUP('Données projet'!$B$13,Paramètres!$A$1:$I$89,3,0)*VLOOKUP('Données projet'!$B$13,Paramètres!$A$1:$I$89,5,0)</f>
        <v>408.85000000000014</v>
      </c>
      <c r="CV185" s="13">
        <f t="shared" si="173"/>
        <v>93.568575358321141</v>
      </c>
      <c r="CW185" s="20">
        <f t="shared" si="174"/>
        <v>875.04568541574281</v>
      </c>
      <c r="CX185" s="59">
        <f t="shared" si="122"/>
        <v>1168.3790187490761</v>
      </c>
      <c r="CY185" s="59">
        <f ca="1">AVERAGE(OFFSET($CX$3,0,0,'Données projet'!$E$13+1,1))-AVERAGE(OFFSET($H$3,0,0,'Données projet'!$E$13+1,1))</f>
        <v>500.13646131618248</v>
      </c>
      <c r="CZ185" s="59">
        <f t="shared" si="150"/>
        <v>417.58036817539306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9.0718140160837404</v>
      </c>
      <c r="DG185" s="21">
        <f>EXP(-LN(2)/25)*DG184+(1-EXP(-LN(2)/25))/(LN(2)/25)*Calculateur!DB185*Calculateur!DD185*VLOOKUP('Données projet'!$B$13,Paramètres!$A$1:$I$89,3,0)*0.475*44/12</f>
        <v>1.7340518841601593</v>
      </c>
      <c r="DH185" s="21">
        <f>EXP(-LN(2)/2)*DH184+(1-EXP(-LN(2)/2))/(LN(2)/2)*DB185*DE185*VLOOKUP('Données projet'!$B$13,Paramètres!$A$1:$I$89,3,0)*0.475*44/12</f>
        <v>1.0892082863238797E-15</v>
      </c>
      <c r="DI185" s="22">
        <f t="shared" si="175"/>
        <v>10.805865900243901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268.00000000000011</v>
      </c>
      <c r="O186" s="13">
        <f>N186*VLOOKUP('Données projet'!$B$9,Paramètres!$A$1:$I$89,3,0)*VLOOKUP('Données projet'!$B$9,Paramètres!$A$1:$I$89,5,0)</f>
        <v>242.48640000000009</v>
      </c>
      <c r="P186" s="13">
        <f t="shared" si="141"/>
        <v>58.974170235372476</v>
      </c>
      <c r="Q186" s="20">
        <f t="shared" si="162"/>
        <v>525.04382649327385</v>
      </c>
      <c r="R186" s="59">
        <f t="shared" si="109"/>
        <v>818.37715982660711</v>
      </c>
      <c r="S186" s="59">
        <f ca="1">AVERAGE(OFFSET($R$3,0,0,'Données projet'!$E$9+1,1))-AVERAGE(OFFSET($H$3,0,0,'Données projet'!$E$9+1,1))</f>
        <v>371.7282125501186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16.755215483684974</v>
      </c>
      <c r="AA186" s="21">
        <f>EXP(-LN(2)/25)*AA185+(1-EXP(-LN(2)/25))/(LN(2)/25)*Calculateur!V186*Calculateur!X186*VLOOKUP('Données projet'!$B$9,Paramètres!$A$1:$I$89,3,0)*0.475*44/12</f>
        <v>0.43121004691354287</v>
      </c>
      <c r="AB186" s="21">
        <f>EXP(-LN(2)/2)*AB185+(1-EXP(-LN(2)/2))/(LN(2)/2)*V186*Y186*VLOOKUP('Données projet'!$B$9,Paramètres!$A$1:$I$89,3,0)*0.475*44/12</f>
        <v>3.526880323789394E-10</v>
      </c>
      <c r="AC186" s="22">
        <f t="shared" si="163"/>
        <v>17.186425530951205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305.00000000000017</v>
      </c>
      <c r="AJ186" s="13">
        <f>AI186*VLOOKUP('Données projet'!$B$10,Paramètres!$A$1:$I$89,3,0)*VLOOKUP('Données projet'!$B$10,Paramètres!$A$1:$I$89,5,0)</f>
        <v>204.59400000000011</v>
      </c>
      <c r="AK186" s="13">
        <f t="shared" si="164"/>
        <v>50.75245156043249</v>
      </c>
      <c r="AL186" s="20">
        <f t="shared" si="165"/>
        <v>444.72840313442015</v>
      </c>
      <c r="AM186" s="59">
        <f t="shared" si="113"/>
        <v>738.06173646775346</v>
      </c>
      <c r="AN186" s="59">
        <f ca="1">AVERAGE(OFFSET($AM$3,0,0,'Données projet'!$E$10+1,1))-AVERAGE(OFFSET($H$3,0,0,'Données projet'!$E$10+1,1))</f>
        <v>269.67260882504996</v>
      </c>
      <c r="AO186" s="59">
        <f t="shared" si="144"/>
        <v>272.13858200810074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3.8155843360557435</v>
      </c>
      <c r="AV186" s="21">
        <f>EXP(-LN(2)/25)*AV185+(1-EXP(-LN(2)/25))/(LN(2)/25)*Calculateur!AQ186*Calculateur!AS186*VLOOKUP('Données projet'!$B$10,Paramètres!$A$1:$I$89,3,0)*0.475*44/12</f>
        <v>9.5994226936008731E-2</v>
      </c>
      <c r="AW186" s="21">
        <f>EXP(-LN(2)/2)*AW185+(1-EXP(-LN(2)/2))/(LN(2)/2)*AQ186*AT186*VLOOKUP('Données projet'!$B$10,Paramètres!$A$1:$I$89,3,0)*0.475*44/12</f>
        <v>8.6838358432512975E-18</v>
      </c>
      <c r="AX186" s="21">
        <f t="shared" si="166"/>
        <v>3.9115785629917523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453.99999999999977</v>
      </c>
      <c r="BE186" s="13">
        <f>BD186*VLOOKUP('Données projet'!$B$11,Paramètres!$A$1:$I$89,3,0)*VLOOKUP('Données projet'!$B$11,Paramètres!$A$1:$I$89,5,0)</f>
        <v>253.78599999999986</v>
      </c>
      <c r="BF186" s="13">
        <f t="shared" si="167"/>
        <v>61.395945216950906</v>
      </c>
      <c r="BG186" s="20">
        <f t="shared" si="168"/>
        <v>548.94188791952263</v>
      </c>
      <c r="BH186" s="59">
        <f t="shared" si="116"/>
        <v>842.275221252856</v>
      </c>
      <c r="BI186" s="59">
        <f ca="1">AVERAGE(OFFSET($BH$3,0,0,'Données projet'!$E$11+1,1))-AVERAGE(OFFSET($H$3,0,0,'Données projet'!$E$11+1,1))</f>
        <v>330.33728077846268</v>
      </c>
      <c r="BJ186" s="59">
        <f t="shared" si="146"/>
        <v>358.38872754175208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5.2399104701288319</v>
      </c>
      <c r="BQ186" s="21">
        <f>EXP(-LN(2)/25)*BQ185+(1-EXP(-LN(2)/25))/(LN(2)/25)*Calculateur!BL186*Calculateur!BN186*VLOOKUP('Données projet'!$B$11,Paramètres!$A$1:$I$89,3,0)*0.475*44/12</f>
        <v>1.0848806723533764</v>
      </c>
      <c r="BR186" s="21">
        <f>EXP(-LN(2)/2)*BR185+(1-EXP(-LN(2)/2))/(LN(2)/2)*BL186*BO186*VLOOKUP('Données projet'!$B$11,Paramètres!$A$1:$I$89,3,0)*0.475*44/12</f>
        <v>1.5670757838911128E-17</v>
      </c>
      <c r="BS186" s="22">
        <f t="shared" si="169"/>
        <v>6.3247911424822085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290.99999999999994</v>
      </c>
      <c r="BZ186" s="13">
        <f>BY186*VLOOKUP('Données projet'!$B$12,Paramètres!$A$1:$I$89,3,0)*VLOOKUP('Données projet'!$B$12,Paramètres!$A$1:$I$89,5,0)</f>
        <v>276.91559999999993</v>
      </c>
      <c r="CA186" s="13">
        <f t="shared" si="170"/>
        <v>66.314766879144742</v>
      </c>
      <c r="CB186" s="20">
        <f t="shared" si="171"/>
        <v>597.79288898117682</v>
      </c>
      <c r="CC186" s="59">
        <f t="shared" si="119"/>
        <v>891.12622231451019</v>
      </c>
      <c r="CD186" s="59">
        <f ca="1">AVERAGE(OFFSET($CC$3,0,0,'Données projet'!$E$12+1,1))-AVERAGE(OFFSET($H$3,0,0,'Données projet'!$E$12+1,1))</f>
        <v>367.39143258674738</v>
      </c>
      <c r="CE186" s="59">
        <f t="shared" si="148"/>
        <v>376.02790658970292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4.8469578472692234</v>
      </c>
      <c r="CL186" s="21">
        <f>EXP(-LN(2)/25)*CL185+(1-EXP(-LN(2)/25))/(LN(2)/25)*Calculateur!CG186*Calculateur!CI186*VLOOKUP('Données projet'!$B$12,Paramètres!$A$1:$I$89,3,0)*0.475*44/12</f>
        <v>0.11929310196035005</v>
      </c>
      <c r="CM186" s="21">
        <f>EXP(-LN(2)/2)*CM185+(1-EXP(-LN(2)/2))/(LN(2)/2)*CG186*CJ186*VLOOKUP('Données projet'!$B$12,Paramètres!$A$1:$I$89,3,0)*0.475*44/12</f>
        <v>1.4241858318830763E-17</v>
      </c>
      <c r="CN186" s="22">
        <f t="shared" si="172"/>
        <v>4.9662509492295737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925.00000000000034</v>
      </c>
      <c r="CU186" s="17">
        <f>CT186*VLOOKUP('Données projet'!$B$13,Paramètres!$A$1:$I$89,3,0)*VLOOKUP('Données projet'!$B$13,Paramètres!$A$1:$I$89,5,0)</f>
        <v>408.85000000000014</v>
      </c>
      <c r="CV186" s="13">
        <f t="shared" si="173"/>
        <v>93.568575358321141</v>
      </c>
      <c r="CW186" s="20">
        <f t="shared" si="174"/>
        <v>875.04568541574281</v>
      </c>
      <c r="CX186" s="59">
        <f t="shared" si="122"/>
        <v>1168.3790187490761</v>
      </c>
      <c r="CY186" s="59">
        <f ca="1">AVERAGE(OFFSET($CX$3,0,0,'Données projet'!$E$13+1,1))-AVERAGE(OFFSET($H$3,0,0,'Données projet'!$E$13+1,1))</f>
        <v>500.13646131618248</v>
      </c>
      <c r="CZ186" s="59">
        <f t="shared" si="150"/>
        <v>417.58036817539306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8.8939212764885234</v>
      </c>
      <c r="DG186" s="21">
        <f>EXP(-LN(2)/25)*DG185+(1-EXP(-LN(2)/25))/(LN(2)/25)*Calculateur!DB186*Calculateur!DD186*VLOOKUP('Données projet'!$B$13,Paramètres!$A$1:$I$89,3,0)*0.475*44/12</f>
        <v>1.6866341441979744</v>
      </c>
      <c r="DH186" s="21">
        <f>EXP(-LN(2)/2)*DH185+(1-EXP(-LN(2)/2))/(LN(2)/2)*DB186*DE186*VLOOKUP('Données projet'!$B$13,Paramètres!$A$1:$I$89,3,0)*0.475*44/12</f>
        <v>7.7018656538419402E-16</v>
      </c>
      <c r="DI186" s="22">
        <f t="shared" si="175"/>
        <v>10.580555420686498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268.00000000000011</v>
      </c>
      <c r="O187" s="13">
        <f>N187*VLOOKUP('Données projet'!$B$9,Paramètres!$A$1:$I$89,3,0)*VLOOKUP('Données projet'!$B$9,Paramètres!$A$1:$I$89,5,0)</f>
        <v>242.48640000000009</v>
      </c>
      <c r="P187" s="13">
        <f t="shared" si="141"/>
        <v>58.974170235372476</v>
      </c>
      <c r="Q187" s="20">
        <f t="shared" si="162"/>
        <v>525.04382649327385</v>
      </c>
      <c r="R187" s="59">
        <f t="shared" si="109"/>
        <v>818.37715982660711</v>
      </c>
      <c r="S187" s="59">
        <f ca="1">AVERAGE(OFFSET($R$3,0,0,'Données projet'!$E$9+1,1))-AVERAGE(OFFSET($H$3,0,0,'Données projet'!$E$9+1,1))</f>
        <v>371.7282125501186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16.426655927722248</v>
      </c>
      <c r="AA187" s="21">
        <f>EXP(-LN(2)/25)*AA186+(1-EXP(-LN(2)/25))/(LN(2)/25)*Calculateur!V187*Calculateur!X187*VLOOKUP('Données projet'!$B$9,Paramètres!$A$1:$I$89,3,0)*0.475*44/12</f>
        <v>0.41941858550434119</v>
      </c>
      <c r="AB187" s="21">
        <f>EXP(-LN(2)/2)*AB186+(1-EXP(-LN(2)/2))/(LN(2)/2)*V187*Y187*VLOOKUP('Données projet'!$B$9,Paramètres!$A$1:$I$89,3,0)*0.475*44/12</f>
        <v>2.4938809933848869E-10</v>
      </c>
      <c r="AC187" s="22">
        <f t="shared" si="163"/>
        <v>16.84607451347598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305.00000000000017</v>
      </c>
      <c r="AJ187" s="13">
        <f>AI187*VLOOKUP('Données projet'!$B$10,Paramètres!$A$1:$I$89,3,0)*VLOOKUP('Données projet'!$B$10,Paramètres!$A$1:$I$89,5,0)</f>
        <v>204.59400000000011</v>
      </c>
      <c r="AK187" s="13">
        <f t="shared" si="164"/>
        <v>50.75245156043249</v>
      </c>
      <c r="AL187" s="20">
        <f t="shared" si="165"/>
        <v>444.72840313442015</v>
      </c>
      <c r="AM187" s="59">
        <f t="shared" si="113"/>
        <v>738.06173646775346</v>
      </c>
      <c r="AN187" s="59">
        <f ca="1">AVERAGE(OFFSET($AM$3,0,0,'Données projet'!$E$10+1,1))-AVERAGE(OFFSET($H$3,0,0,'Données projet'!$E$10+1,1))</f>
        <v>269.67260882504996</v>
      </c>
      <c r="AO187" s="59">
        <f t="shared" si="144"/>
        <v>272.13858200810074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3.7407630545023358</v>
      </c>
      <c r="AV187" s="21">
        <f>EXP(-LN(2)/25)*AV186+(1-EXP(-LN(2)/25))/(LN(2)/25)*Calculateur!AQ187*Calculateur!AS187*VLOOKUP('Données projet'!$B$10,Paramètres!$A$1:$I$89,3,0)*0.475*44/12</f>
        <v>9.3369259752326572E-2</v>
      </c>
      <c r="AW187" s="21">
        <f>EXP(-LN(2)/2)*AW186+(1-EXP(-LN(2)/2))/(LN(2)/2)*AQ187*AT187*VLOOKUP('Données projet'!$B$10,Paramètres!$A$1:$I$89,3,0)*0.475*44/12</f>
        <v>6.1403992114737938E-18</v>
      </c>
      <c r="AX187" s="21">
        <f t="shared" si="166"/>
        <v>3.8341323142546626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453.99999999999977</v>
      </c>
      <c r="BE187" s="13">
        <f>BD187*VLOOKUP('Données projet'!$B$11,Paramètres!$A$1:$I$89,3,0)*VLOOKUP('Données projet'!$B$11,Paramètres!$A$1:$I$89,5,0)</f>
        <v>253.78599999999986</v>
      </c>
      <c r="BF187" s="13">
        <f t="shared" si="167"/>
        <v>61.395945216950906</v>
      </c>
      <c r="BG187" s="20">
        <f t="shared" si="168"/>
        <v>548.94188791952263</v>
      </c>
      <c r="BH187" s="59">
        <f t="shared" si="116"/>
        <v>842.275221252856</v>
      </c>
      <c r="BI187" s="59">
        <f ca="1">AVERAGE(OFFSET($BH$3,0,0,'Données projet'!$E$11+1,1))-AVERAGE(OFFSET($H$3,0,0,'Données projet'!$E$11+1,1))</f>
        <v>330.33728077846268</v>
      </c>
      <c r="BJ187" s="59">
        <f t="shared" si="146"/>
        <v>358.38872754175208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5.1371590218394108</v>
      </c>
      <c r="BQ187" s="21">
        <f>EXP(-LN(2)/25)*BQ186+(1-EXP(-LN(2)/25))/(LN(2)/25)*Calculateur!BL187*Calculateur!BN187*VLOOKUP('Données projet'!$B$11,Paramètres!$A$1:$I$89,3,0)*0.475*44/12</f>
        <v>1.0552145533164783</v>
      </c>
      <c r="BR187" s="21">
        <f>EXP(-LN(2)/2)*BR186+(1-EXP(-LN(2)/2))/(LN(2)/2)*BL187*BO187*VLOOKUP('Données projet'!$B$11,Paramètres!$A$1:$I$89,3,0)*0.475*44/12</f>
        <v>1.1080899134226305E-17</v>
      </c>
      <c r="BS187" s="22">
        <f t="shared" si="169"/>
        <v>6.192373575155889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290.99999999999994</v>
      </c>
      <c r="BZ187" s="13">
        <f>BY187*VLOOKUP('Données projet'!$B$12,Paramètres!$A$1:$I$89,3,0)*VLOOKUP('Données projet'!$B$12,Paramètres!$A$1:$I$89,5,0)</f>
        <v>276.91559999999993</v>
      </c>
      <c r="CA187" s="13">
        <f t="shared" si="170"/>
        <v>66.314766879144742</v>
      </c>
      <c r="CB187" s="20">
        <f t="shared" si="171"/>
        <v>597.79288898117682</v>
      </c>
      <c r="CC187" s="59">
        <f t="shared" si="119"/>
        <v>891.12622231451019</v>
      </c>
      <c r="CD187" s="59">
        <f ca="1">AVERAGE(OFFSET($CC$3,0,0,'Données projet'!$E$12+1,1))-AVERAGE(OFFSET($H$3,0,0,'Données projet'!$E$12+1,1))</f>
        <v>367.39143258674738</v>
      </c>
      <c r="CE187" s="59">
        <f t="shared" si="148"/>
        <v>376.02790658970292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4.7519119602366455</v>
      </c>
      <c r="CL187" s="21">
        <f>EXP(-LN(2)/25)*CL186+(1-EXP(-LN(2)/25))/(LN(2)/25)*Calculateur!CG187*Calculateur!CI187*VLOOKUP('Données projet'!$B$12,Paramètres!$A$1:$I$89,3,0)*0.475*44/12</f>
        <v>0.11603102581389269</v>
      </c>
      <c r="CM187" s="21">
        <f>EXP(-LN(2)/2)*CM186+(1-EXP(-LN(2)/2))/(LN(2)/2)*CG187*CJ187*VLOOKUP('Données projet'!$B$12,Paramètres!$A$1:$I$89,3,0)*0.475*44/12</f>
        <v>1.0070514593943276E-17</v>
      </c>
      <c r="CN187" s="22">
        <f t="shared" si="172"/>
        <v>4.8679429860505383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925.00000000000034</v>
      </c>
      <c r="CU187" s="17">
        <f>CT187*VLOOKUP('Données projet'!$B$13,Paramètres!$A$1:$I$89,3,0)*VLOOKUP('Données projet'!$B$13,Paramètres!$A$1:$I$89,5,0)</f>
        <v>408.85000000000014</v>
      </c>
      <c r="CV187" s="13">
        <f t="shared" si="173"/>
        <v>93.568575358321141</v>
      </c>
      <c r="CW187" s="20">
        <f t="shared" si="174"/>
        <v>875.04568541574281</v>
      </c>
      <c r="CX187" s="59">
        <f t="shared" si="122"/>
        <v>1168.3790187490761</v>
      </c>
      <c r="CY187" s="59">
        <f ca="1">AVERAGE(OFFSET($CX$3,0,0,'Données projet'!$E$13+1,1))-AVERAGE(OFFSET($H$3,0,0,'Données projet'!$E$13+1,1))</f>
        <v>500.13646131618248</v>
      </c>
      <c r="CZ187" s="59">
        <f t="shared" si="150"/>
        <v>417.58036817539306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8.7195169050129113</v>
      </c>
      <c r="DG187" s="21">
        <f>EXP(-LN(2)/25)*DG186+(1-EXP(-LN(2)/25))/(LN(2)/25)*Calculateur!DB187*Calculateur!DD187*VLOOKUP('Données projet'!$B$13,Paramètres!$A$1:$I$89,3,0)*0.475*44/12</f>
        <v>1.640513044828646</v>
      </c>
      <c r="DH187" s="21">
        <f>EXP(-LN(2)/2)*DH186+(1-EXP(-LN(2)/2))/(LN(2)/2)*DB187*DE187*VLOOKUP('Données projet'!$B$13,Paramètres!$A$1:$I$89,3,0)*0.475*44/12</f>
        <v>5.4460414316193985E-16</v>
      </c>
      <c r="DI187" s="22">
        <f t="shared" si="175"/>
        <v>10.360029949841557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268.00000000000011</v>
      </c>
      <c r="O188" s="13">
        <f>N188*VLOOKUP('Données projet'!$B$9,Paramètres!$A$1:$I$89,3,0)*VLOOKUP('Données projet'!$B$9,Paramètres!$A$1:$I$89,5,0)</f>
        <v>242.48640000000009</v>
      </c>
      <c r="P188" s="13">
        <f t="shared" si="141"/>
        <v>58.974170235372476</v>
      </c>
      <c r="Q188" s="20">
        <f t="shared" si="162"/>
        <v>525.04382649327385</v>
      </c>
      <c r="R188" s="59">
        <f t="shared" si="109"/>
        <v>818.37715982660711</v>
      </c>
      <c r="S188" s="59">
        <f ca="1">AVERAGE(OFFSET($R$3,0,0,'Données projet'!$E$9+1,1))-AVERAGE(OFFSET($H$3,0,0,'Données projet'!$E$9+1,1))</f>
        <v>371.7282125501186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16.104539224250409</v>
      </c>
      <c r="AA188" s="21">
        <f>EXP(-LN(2)/25)*AA187+(1-EXP(-LN(2)/25))/(LN(2)/25)*Calculateur!V188*Calculateur!X188*VLOOKUP('Données projet'!$B$9,Paramètres!$A$1:$I$89,3,0)*0.475*44/12</f>
        <v>0.40794956222746015</v>
      </c>
      <c r="AB188" s="21">
        <f>EXP(-LN(2)/2)*AB187+(1-EXP(-LN(2)/2))/(LN(2)/2)*V188*Y188*VLOOKUP('Données projet'!$B$9,Paramètres!$A$1:$I$89,3,0)*0.475*44/12</f>
        <v>1.763440161894697E-10</v>
      </c>
      <c r="AC188" s="22">
        <f t="shared" si="163"/>
        <v>16.512488786654213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305.00000000000017</v>
      </c>
      <c r="AJ188" s="13">
        <f>AI188*VLOOKUP('Données projet'!$B$10,Paramètres!$A$1:$I$89,3,0)*VLOOKUP('Données projet'!$B$10,Paramètres!$A$1:$I$89,5,0)</f>
        <v>204.59400000000011</v>
      </c>
      <c r="AK188" s="13">
        <f t="shared" si="164"/>
        <v>50.75245156043249</v>
      </c>
      <c r="AL188" s="20">
        <f t="shared" si="165"/>
        <v>444.72840313442015</v>
      </c>
      <c r="AM188" s="59">
        <f t="shared" si="113"/>
        <v>738.06173646775346</v>
      </c>
      <c r="AN188" s="59">
        <f ca="1">AVERAGE(OFFSET($AM$3,0,0,'Données projet'!$E$10+1,1))-AVERAGE(OFFSET($H$3,0,0,'Données projet'!$E$10+1,1))</f>
        <v>269.67260882504996</v>
      </c>
      <c r="AO188" s="59">
        <f t="shared" si="144"/>
        <v>272.13858200810074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3.6674089726437149</v>
      </c>
      <c r="AV188" s="21">
        <f>EXP(-LN(2)/25)*AV187+(1-EXP(-LN(2)/25))/(LN(2)/25)*Calculateur!AQ188*Calculateur!AS188*VLOOKUP('Données projet'!$B$10,Paramètres!$A$1:$I$89,3,0)*0.475*44/12</f>
        <v>9.0816072434323228E-2</v>
      </c>
      <c r="AW188" s="21">
        <f>EXP(-LN(2)/2)*AW187+(1-EXP(-LN(2)/2))/(LN(2)/2)*AQ188*AT188*VLOOKUP('Données projet'!$B$10,Paramètres!$A$1:$I$89,3,0)*0.475*44/12</f>
        <v>4.3419179216256488E-18</v>
      </c>
      <c r="AX188" s="21">
        <f t="shared" si="166"/>
        <v>3.7582250450780381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453.99999999999977</v>
      </c>
      <c r="BE188" s="13">
        <f>BD188*VLOOKUP('Données projet'!$B$11,Paramètres!$A$1:$I$89,3,0)*VLOOKUP('Données projet'!$B$11,Paramètres!$A$1:$I$89,5,0)</f>
        <v>253.78599999999986</v>
      </c>
      <c r="BF188" s="13">
        <f t="shared" si="167"/>
        <v>61.395945216950906</v>
      </c>
      <c r="BG188" s="20">
        <f t="shared" si="168"/>
        <v>548.94188791952263</v>
      </c>
      <c r="BH188" s="59">
        <f t="shared" si="116"/>
        <v>842.275221252856</v>
      </c>
      <c r="BI188" s="59">
        <f ca="1">AVERAGE(OFFSET($BH$3,0,0,'Données projet'!$E$11+1,1))-AVERAGE(OFFSET($H$3,0,0,'Données projet'!$E$11+1,1))</f>
        <v>330.33728077846268</v>
      </c>
      <c r="BJ188" s="59">
        <f t="shared" si="146"/>
        <v>358.38872754175208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5.0364224667787498</v>
      </c>
      <c r="BQ188" s="21">
        <f>EXP(-LN(2)/25)*BQ187+(1-EXP(-LN(2)/25))/(LN(2)/25)*Calculateur!BL188*Calculateur!BN188*VLOOKUP('Données projet'!$B$11,Paramètres!$A$1:$I$89,3,0)*0.475*44/12</f>
        <v>1.0263596558647174</v>
      </c>
      <c r="BR188" s="21">
        <f>EXP(-LN(2)/2)*BR187+(1-EXP(-LN(2)/2))/(LN(2)/2)*BL188*BO188*VLOOKUP('Données projet'!$B$11,Paramètres!$A$1:$I$89,3,0)*0.475*44/12</f>
        <v>7.8353789194555638E-18</v>
      </c>
      <c r="BS188" s="22">
        <f t="shared" si="169"/>
        <v>6.0627821226434673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290.99999999999994</v>
      </c>
      <c r="BZ188" s="13">
        <f>BY188*VLOOKUP('Données projet'!$B$12,Paramètres!$A$1:$I$89,3,0)*VLOOKUP('Données projet'!$B$12,Paramètres!$A$1:$I$89,5,0)</f>
        <v>276.91559999999993</v>
      </c>
      <c r="CA188" s="13">
        <f t="shared" si="170"/>
        <v>66.314766879144742</v>
      </c>
      <c r="CB188" s="20">
        <f t="shared" si="171"/>
        <v>597.79288898117682</v>
      </c>
      <c r="CC188" s="59">
        <f t="shared" si="119"/>
        <v>891.12622231451019</v>
      </c>
      <c r="CD188" s="59">
        <f ca="1">AVERAGE(OFFSET($CC$3,0,0,'Données projet'!$E$12+1,1))-AVERAGE(OFFSET($H$3,0,0,'Données projet'!$E$12+1,1))</f>
        <v>367.39143258674738</v>
      </c>
      <c r="CE188" s="59">
        <f t="shared" si="148"/>
        <v>376.02790658970292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4.6587298650765092</v>
      </c>
      <c r="CL188" s="21">
        <f>EXP(-LN(2)/25)*CL187+(1-EXP(-LN(2)/25))/(LN(2)/25)*Calculateur!CG188*Calculateur!CI188*VLOOKUP('Données projet'!$B$12,Paramètres!$A$1:$I$89,3,0)*0.475*44/12</f>
        <v>0.11285815131120533</v>
      </c>
      <c r="CM188" s="21">
        <f>EXP(-LN(2)/2)*CM187+(1-EXP(-LN(2)/2))/(LN(2)/2)*CG188*CJ188*VLOOKUP('Données projet'!$B$12,Paramètres!$A$1:$I$89,3,0)*0.475*44/12</f>
        <v>7.1209291594153815E-18</v>
      </c>
      <c r="CN188" s="22">
        <f t="shared" si="172"/>
        <v>4.7715880163877147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925.00000000000034</v>
      </c>
      <c r="CU188" s="17">
        <f>CT188*VLOOKUP('Données projet'!$B$13,Paramètres!$A$1:$I$89,3,0)*VLOOKUP('Données projet'!$B$13,Paramètres!$A$1:$I$89,5,0)</f>
        <v>408.85000000000014</v>
      </c>
      <c r="CV188" s="13">
        <f t="shared" si="173"/>
        <v>93.568575358321141</v>
      </c>
      <c r="CW188" s="20">
        <f t="shared" si="174"/>
        <v>875.04568541574281</v>
      </c>
      <c r="CX188" s="59">
        <f t="shared" si="122"/>
        <v>1168.3790187490761</v>
      </c>
      <c r="CY188" s="59">
        <f ca="1">AVERAGE(OFFSET($CX$3,0,0,'Données projet'!$E$13+1,1))-AVERAGE(OFFSET($H$3,0,0,'Données projet'!$E$13+1,1))</f>
        <v>500.13646131618248</v>
      </c>
      <c r="CZ188" s="59">
        <f t="shared" si="150"/>
        <v>417.58036817539306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8.5485324968857732</v>
      </c>
      <c r="DG188" s="21">
        <f>EXP(-LN(2)/25)*DG187+(1-EXP(-LN(2)/25))/(LN(2)/25)*Calculateur!DB188*Calculateur!DD188*VLOOKUP('Données projet'!$B$13,Paramètres!$A$1:$I$89,3,0)*0.475*44/12</f>
        <v>1.5956531293469751</v>
      </c>
      <c r="DH188" s="21">
        <f>EXP(-LN(2)/2)*DH187+(1-EXP(-LN(2)/2))/(LN(2)/2)*DB188*DE188*VLOOKUP('Données projet'!$B$13,Paramètres!$A$1:$I$89,3,0)*0.475*44/12</f>
        <v>3.8509328269209701E-16</v>
      </c>
      <c r="DI188" s="22">
        <f t="shared" si="175"/>
        <v>10.144185626232748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268.00000000000011</v>
      </c>
      <c r="O189" s="13">
        <f>N189*VLOOKUP('Données projet'!$B$9,Paramètres!$A$1:$I$89,3,0)*VLOOKUP('Données projet'!$B$9,Paramètres!$A$1:$I$89,5,0)</f>
        <v>242.48640000000009</v>
      </c>
      <c r="P189" s="13">
        <f t="shared" si="141"/>
        <v>58.974170235372476</v>
      </c>
      <c r="Q189" s="20">
        <f t="shared" si="162"/>
        <v>525.04382649327385</v>
      </c>
      <c r="R189" s="59">
        <f t="shared" si="109"/>
        <v>818.37715982660711</v>
      </c>
      <c r="S189" s="59">
        <f ca="1">AVERAGE(OFFSET($R$3,0,0,'Données projet'!$E$9+1,1))-AVERAGE(OFFSET($H$3,0,0,'Données projet'!$E$9+1,1))</f>
        <v>371.7282125501186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15.788739032861864</v>
      </c>
      <c r="AA189" s="21">
        <f>EXP(-LN(2)/25)*AA188+(1-EXP(-LN(2)/25))/(LN(2)/25)*Calculateur!V189*Calculateur!X189*VLOOKUP('Données projet'!$B$9,Paramètres!$A$1:$I$89,3,0)*0.475*44/12</f>
        <v>0.39679415999521517</v>
      </c>
      <c r="AB189" s="21">
        <f>EXP(-LN(2)/2)*AB188+(1-EXP(-LN(2)/2))/(LN(2)/2)*V189*Y189*VLOOKUP('Données projet'!$B$9,Paramètres!$A$1:$I$89,3,0)*0.475*44/12</f>
        <v>1.2469404966924435E-10</v>
      </c>
      <c r="AC189" s="22">
        <f t="shared" si="163"/>
        <v>16.185533192981772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305.00000000000017</v>
      </c>
      <c r="AJ189" s="13">
        <f>AI189*VLOOKUP('Données projet'!$B$10,Paramètres!$A$1:$I$89,3,0)*VLOOKUP('Données projet'!$B$10,Paramètres!$A$1:$I$89,5,0)</f>
        <v>204.59400000000011</v>
      </c>
      <c r="AK189" s="13">
        <f t="shared" si="164"/>
        <v>50.75245156043249</v>
      </c>
      <c r="AL189" s="20">
        <f t="shared" si="165"/>
        <v>444.72840313442015</v>
      </c>
      <c r="AM189" s="59">
        <f t="shared" si="113"/>
        <v>738.06173646775346</v>
      </c>
      <c r="AN189" s="59">
        <f ca="1">AVERAGE(OFFSET($AM$3,0,0,'Données projet'!$E$10+1,1))-AVERAGE(OFFSET($H$3,0,0,'Données projet'!$E$10+1,1))</f>
        <v>269.67260882504996</v>
      </c>
      <c r="AO189" s="59">
        <f t="shared" si="144"/>
        <v>272.13858200810074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3.5954933195887695</v>
      </c>
      <c r="AV189" s="21">
        <f>EXP(-LN(2)/25)*AV188+(1-EXP(-LN(2)/25))/(LN(2)/25)*Calculateur!AQ189*Calculateur!AS189*VLOOKUP('Données projet'!$B$10,Paramètres!$A$1:$I$89,3,0)*0.475*44/12</f>
        <v>8.8332702157796969E-2</v>
      </c>
      <c r="AW189" s="21">
        <f>EXP(-LN(2)/2)*AW188+(1-EXP(-LN(2)/2))/(LN(2)/2)*AQ189*AT189*VLOOKUP('Données projet'!$B$10,Paramètres!$A$1:$I$89,3,0)*0.475*44/12</f>
        <v>3.0701996057368969E-18</v>
      </c>
      <c r="AX189" s="21">
        <f t="shared" si="166"/>
        <v>3.6838260217465666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453.99999999999977</v>
      </c>
      <c r="BE189" s="13">
        <f>BD189*VLOOKUP('Données projet'!$B$11,Paramètres!$A$1:$I$89,3,0)*VLOOKUP('Données projet'!$B$11,Paramètres!$A$1:$I$89,5,0)</f>
        <v>253.78599999999986</v>
      </c>
      <c r="BF189" s="13">
        <f t="shared" si="167"/>
        <v>61.395945216950906</v>
      </c>
      <c r="BG189" s="20">
        <f t="shared" si="168"/>
        <v>548.94188791952263</v>
      </c>
      <c r="BH189" s="59">
        <f t="shared" si="116"/>
        <v>842.275221252856</v>
      </c>
      <c r="BI189" s="59">
        <f ca="1">AVERAGE(OFFSET($BH$3,0,0,'Données projet'!$E$11+1,1))-AVERAGE(OFFSET($H$3,0,0,'Données projet'!$E$11+1,1))</f>
        <v>330.33728077846268</v>
      </c>
      <c r="BJ189" s="59">
        <f t="shared" si="146"/>
        <v>358.38872754175208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4.9376612941195965</v>
      </c>
      <c r="BQ189" s="21">
        <f>EXP(-LN(2)/25)*BQ188+(1-EXP(-LN(2)/25))/(LN(2)/25)*Calculateur!BL189*Calculateur!BN189*VLOOKUP('Données projet'!$B$11,Paramètres!$A$1:$I$89,3,0)*0.475*44/12</f>
        <v>0.99829379710118826</v>
      </c>
      <c r="BR189" s="21">
        <f>EXP(-LN(2)/2)*BR188+(1-EXP(-LN(2)/2))/(LN(2)/2)*BL189*BO189*VLOOKUP('Données projet'!$B$11,Paramètres!$A$1:$I$89,3,0)*0.475*44/12</f>
        <v>5.5404495671131526E-18</v>
      </c>
      <c r="BS189" s="22">
        <f t="shared" si="169"/>
        <v>5.9359550912207846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290.99999999999994</v>
      </c>
      <c r="BZ189" s="13">
        <f>BY189*VLOOKUP('Données projet'!$B$12,Paramètres!$A$1:$I$89,3,0)*VLOOKUP('Données projet'!$B$12,Paramètres!$A$1:$I$89,5,0)</f>
        <v>276.91559999999993</v>
      </c>
      <c r="CA189" s="13">
        <f t="shared" si="170"/>
        <v>66.314766879144742</v>
      </c>
      <c r="CB189" s="20">
        <f t="shared" si="171"/>
        <v>597.79288898117682</v>
      </c>
      <c r="CC189" s="59">
        <f t="shared" si="119"/>
        <v>891.12622231451019</v>
      </c>
      <c r="CD189" s="59">
        <f ca="1">AVERAGE(OFFSET($CC$3,0,0,'Données projet'!$E$12+1,1))-AVERAGE(OFFSET($H$3,0,0,'Données projet'!$E$12+1,1))</f>
        <v>367.39143258674738</v>
      </c>
      <c r="CE189" s="59">
        <f t="shared" si="148"/>
        <v>376.02790658970292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4.5673750139669975</v>
      </c>
      <c r="CL189" s="21">
        <f>EXP(-LN(2)/25)*CL188+(1-EXP(-LN(2)/25))/(LN(2)/25)*Calculateur!CG189*Calculateur!CI189*VLOOKUP('Données projet'!$B$12,Paramètres!$A$1:$I$89,3,0)*0.475*44/12</f>
        <v>0.10977203922864819</v>
      </c>
      <c r="CM189" s="21">
        <f>EXP(-LN(2)/2)*CM188+(1-EXP(-LN(2)/2))/(LN(2)/2)*CG189*CJ189*VLOOKUP('Données projet'!$B$12,Paramètres!$A$1:$I$89,3,0)*0.475*44/12</f>
        <v>5.0352572969716381E-18</v>
      </c>
      <c r="CN189" s="22">
        <f t="shared" si="172"/>
        <v>4.6771470531956458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925.00000000000034</v>
      </c>
      <c r="CU189" s="17">
        <f>CT189*VLOOKUP('Données projet'!$B$13,Paramètres!$A$1:$I$89,3,0)*VLOOKUP('Données projet'!$B$13,Paramètres!$A$1:$I$89,5,0)</f>
        <v>408.85000000000014</v>
      </c>
      <c r="CV189" s="13">
        <f t="shared" si="173"/>
        <v>93.568575358321141</v>
      </c>
      <c r="CW189" s="20">
        <f t="shared" si="174"/>
        <v>875.04568541574281</v>
      </c>
      <c r="CX189" s="59">
        <f t="shared" si="122"/>
        <v>1168.3790187490761</v>
      </c>
      <c r="CY189" s="59">
        <f ca="1">AVERAGE(OFFSET($CX$3,0,0,'Données projet'!$E$13+1,1))-AVERAGE(OFFSET($H$3,0,0,'Données projet'!$E$13+1,1))</f>
        <v>500.13646131618248</v>
      </c>
      <c r="CZ189" s="59">
        <f t="shared" si="150"/>
        <v>417.58036817539306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8.3809009887118169</v>
      </c>
      <c r="DG189" s="21">
        <f>EXP(-LN(2)/25)*DG188+(1-EXP(-LN(2)/25))/(LN(2)/25)*Calculateur!DB189*Calculateur!DD189*VLOOKUP('Données projet'!$B$13,Paramètres!$A$1:$I$89,3,0)*0.475*44/12</f>
        <v>1.5520199106132309</v>
      </c>
      <c r="DH189" s="21">
        <f>EXP(-LN(2)/2)*DH188+(1-EXP(-LN(2)/2))/(LN(2)/2)*DB189*DE189*VLOOKUP('Données projet'!$B$13,Paramètres!$A$1:$I$89,3,0)*0.475*44/12</f>
        <v>2.7230207158096992E-16</v>
      </c>
      <c r="DI189" s="22">
        <f t="shared" si="175"/>
        <v>9.9329208993250475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268.00000000000011</v>
      </c>
      <c r="O190" s="13">
        <f>N190*VLOOKUP('Données projet'!$B$9,Paramètres!$A$1:$I$89,3,0)*VLOOKUP('Données projet'!$B$9,Paramètres!$A$1:$I$89,5,0)</f>
        <v>242.48640000000009</v>
      </c>
      <c r="P190" s="13">
        <f t="shared" si="141"/>
        <v>58.974170235372476</v>
      </c>
      <c r="Q190" s="20">
        <f t="shared" si="162"/>
        <v>525.04382649327385</v>
      </c>
      <c r="R190" s="59">
        <f t="shared" si="109"/>
        <v>818.37715982660711</v>
      </c>
      <c r="S190" s="59">
        <f ca="1">AVERAGE(OFFSET($R$3,0,0,'Données projet'!$E$9+1,1))-AVERAGE(OFFSET($H$3,0,0,'Données projet'!$E$9+1,1))</f>
        <v>371.7282125501186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15.479131490607351</v>
      </c>
      <c r="AA190" s="21">
        <f>EXP(-LN(2)/25)*AA189+(1-EXP(-LN(2)/25))/(LN(2)/25)*Calculateur!V190*Calculateur!X190*VLOOKUP('Données projet'!$B$9,Paramètres!$A$1:$I$89,3,0)*0.475*44/12</f>
        <v>0.38594380282364804</v>
      </c>
      <c r="AB190" s="21">
        <f>EXP(-LN(2)/2)*AB189+(1-EXP(-LN(2)/2))/(LN(2)/2)*V190*Y190*VLOOKUP('Données projet'!$B$9,Paramètres!$A$1:$I$89,3,0)*0.475*44/12</f>
        <v>8.817200809473485E-11</v>
      </c>
      <c r="AC190" s="22">
        <f t="shared" si="163"/>
        <v>15.865075293519171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305.00000000000017</v>
      </c>
      <c r="AJ190" s="13">
        <f>AI190*VLOOKUP('Données projet'!$B$10,Paramètres!$A$1:$I$89,3,0)*VLOOKUP('Données projet'!$B$10,Paramètres!$A$1:$I$89,5,0)</f>
        <v>204.59400000000011</v>
      </c>
      <c r="AK190" s="13">
        <f t="shared" si="164"/>
        <v>50.75245156043249</v>
      </c>
      <c r="AL190" s="20">
        <f t="shared" si="165"/>
        <v>444.72840313442015</v>
      </c>
      <c r="AM190" s="59">
        <f t="shared" si="113"/>
        <v>738.06173646775346</v>
      </c>
      <c r="AN190" s="59">
        <f ca="1">AVERAGE(OFFSET($AM$3,0,0,'Données projet'!$E$10+1,1))-AVERAGE(OFFSET($H$3,0,0,'Données projet'!$E$10+1,1))</f>
        <v>269.67260882504996</v>
      </c>
      <c r="AO190" s="59">
        <f t="shared" si="144"/>
        <v>272.13858200810074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3.5249878886260144</v>
      </c>
      <c r="AV190" s="21">
        <f>EXP(-LN(2)/25)*AV189+(1-EXP(-LN(2)/25))/(LN(2)/25)*Calculateur!AQ190*Calculateur!AS190*VLOOKUP('Données projet'!$B$10,Paramètres!$A$1:$I$89,3,0)*0.475*44/12</f>
        <v>8.5917239772077089E-2</v>
      </c>
      <c r="AW190" s="21">
        <f>EXP(-LN(2)/2)*AW189+(1-EXP(-LN(2)/2))/(LN(2)/2)*AQ190*AT190*VLOOKUP('Données projet'!$B$10,Paramètres!$A$1:$I$89,3,0)*0.475*44/12</f>
        <v>2.1709589608128244E-18</v>
      </c>
      <c r="AX190" s="21">
        <f t="shared" si="166"/>
        <v>3.6109051283980915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453.99999999999977</v>
      </c>
      <c r="BE190" s="13">
        <f>BD190*VLOOKUP('Données projet'!$B$11,Paramètres!$A$1:$I$89,3,0)*VLOOKUP('Données projet'!$B$11,Paramètres!$A$1:$I$89,5,0)</f>
        <v>253.78599999999986</v>
      </c>
      <c r="BF190" s="13">
        <f t="shared" si="167"/>
        <v>61.395945216950906</v>
      </c>
      <c r="BG190" s="20">
        <f t="shared" si="168"/>
        <v>548.94188791952263</v>
      </c>
      <c r="BH190" s="59">
        <f t="shared" si="116"/>
        <v>842.275221252856</v>
      </c>
      <c r="BI190" s="59">
        <f ca="1">AVERAGE(OFFSET($BH$3,0,0,'Données projet'!$E$11+1,1))-AVERAGE(OFFSET($H$3,0,0,'Données projet'!$E$11+1,1))</f>
        <v>330.33728077846268</v>
      </c>
      <c r="BJ190" s="59">
        <f t="shared" si="146"/>
        <v>358.38872754175208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4.8408367678179225</v>
      </c>
      <c r="BQ190" s="21">
        <f>EXP(-LN(2)/25)*BQ189+(1-EXP(-LN(2)/25))/(LN(2)/25)*Calculateur!BL190*Calculateur!BN190*VLOOKUP('Données projet'!$B$11,Paramètres!$A$1:$I$89,3,0)*0.475*44/12</f>
        <v>0.97099540072146706</v>
      </c>
      <c r="BR190" s="21">
        <f>EXP(-LN(2)/2)*BR189+(1-EXP(-LN(2)/2))/(LN(2)/2)*BL190*BO190*VLOOKUP('Données projet'!$B$11,Paramètres!$A$1:$I$89,3,0)*0.475*44/12</f>
        <v>3.9176894597277819E-18</v>
      </c>
      <c r="BS190" s="22">
        <f t="shared" si="169"/>
        <v>5.8118321685393894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290.99999999999994</v>
      </c>
      <c r="BZ190" s="13">
        <f>BY190*VLOOKUP('Données projet'!$B$12,Paramètres!$A$1:$I$89,3,0)*VLOOKUP('Données projet'!$B$12,Paramètres!$A$1:$I$89,5,0)</f>
        <v>276.91559999999993</v>
      </c>
      <c r="CA190" s="13">
        <f t="shared" si="170"/>
        <v>66.314766879144742</v>
      </c>
      <c r="CB190" s="20">
        <f t="shared" si="171"/>
        <v>597.79288898117682</v>
      </c>
      <c r="CC190" s="59">
        <f t="shared" si="119"/>
        <v>891.12622231451019</v>
      </c>
      <c r="CD190" s="59">
        <f ca="1">AVERAGE(OFFSET($CC$3,0,0,'Données projet'!$E$12+1,1))-AVERAGE(OFFSET($H$3,0,0,'Données projet'!$E$12+1,1))</f>
        <v>367.39143258674738</v>
      </c>
      <c r="CE190" s="59">
        <f t="shared" si="148"/>
        <v>376.02790658970292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4.4778115757667862</v>
      </c>
      <c r="CL190" s="21">
        <f>EXP(-LN(2)/25)*CL189+(1-EXP(-LN(2)/25))/(LN(2)/25)*Calculateur!CG190*Calculateur!CI190*VLOOKUP('Données projet'!$B$12,Paramètres!$A$1:$I$89,3,0)*0.475*44/12</f>
        <v>0.10677031704328015</v>
      </c>
      <c r="CM190" s="21">
        <f>EXP(-LN(2)/2)*CM189+(1-EXP(-LN(2)/2))/(LN(2)/2)*CG190*CJ190*VLOOKUP('Données projet'!$B$12,Paramètres!$A$1:$I$89,3,0)*0.475*44/12</f>
        <v>3.5604645797076907E-18</v>
      </c>
      <c r="CN190" s="22">
        <f t="shared" si="172"/>
        <v>4.5845818928100668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925.00000000000034</v>
      </c>
      <c r="CU190" s="17">
        <f>CT190*VLOOKUP('Données projet'!$B$13,Paramètres!$A$1:$I$89,3,0)*VLOOKUP('Données projet'!$B$13,Paramètres!$A$1:$I$89,5,0)</f>
        <v>408.85000000000014</v>
      </c>
      <c r="CV190" s="13">
        <f t="shared" si="173"/>
        <v>93.568575358321141</v>
      </c>
      <c r="CW190" s="20">
        <f t="shared" si="174"/>
        <v>875.04568541574281</v>
      </c>
      <c r="CX190" s="59">
        <f t="shared" si="122"/>
        <v>1168.3790187490761</v>
      </c>
      <c r="CY190" s="59">
        <f ca="1">AVERAGE(OFFSET($CX$3,0,0,'Données projet'!$E$13+1,1))-AVERAGE(OFFSET($H$3,0,0,'Données projet'!$E$13+1,1))</f>
        <v>500.13646131618248</v>
      </c>
      <c r="CZ190" s="59">
        <f t="shared" si="150"/>
        <v>417.58036817539306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8.2165566321680288</v>
      </c>
      <c r="DG190" s="21">
        <f>EXP(-LN(2)/25)*DG189+(1-EXP(-LN(2)/25))/(LN(2)/25)*Calculateur!DB190*Calculateur!DD190*VLOOKUP('Données projet'!$B$13,Paramètres!$A$1:$I$89,3,0)*0.475*44/12</f>
        <v>1.5095798445403321</v>
      </c>
      <c r="DH190" s="21">
        <f>EXP(-LN(2)/2)*DH189+(1-EXP(-LN(2)/2))/(LN(2)/2)*DB190*DE190*VLOOKUP('Données projet'!$B$13,Paramètres!$A$1:$I$89,3,0)*0.475*44/12</f>
        <v>1.9254664134604851E-16</v>
      </c>
      <c r="DI190" s="22">
        <f t="shared" si="175"/>
        <v>9.7261364767083602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268.00000000000011</v>
      </c>
      <c r="O191" s="13">
        <f>N191*VLOOKUP('Données projet'!$B$9,Paramètres!$A$1:$I$89,3,0)*VLOOKUP('Données projet'!$B$9,Paramètres!$A$1:$I$89,5,0)</f>
        <v>242.48640000000009</v>
      </c>
      <c r="P191" s="13">
        <f t="shared" si="141"/>
        <v>58.974170235372476</v>
      </c>
      <c r="Q191" s="20">
        <f t="shared" si="162"/>
        <v>525.04382649327385</v>
      </c>
      <c r="R191" s="59">
        <f t="shared" si="109"/>
        <v>818.37715982660711</v>
      </c>
      <c r="S191" s="59">
        <f ca="1">AVERAGE(OFFSET($R$3,0,0,'Données projet'!$E$9+1,1))-AVERAGE(OFFSET($H$3,0,0,'Données projet'!$E$9+1,1))</f>
        <v>371.7282125501186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15.175595163414496</v>
      </c>
      <c r="AA191" s="21">
        <f>EXP(-LN(2)/25)*AA190+(1-EXP(-LN(2)/25))/(LN(2)/25)*Calculateur!V191*Calculateur!X191*VLOOKUP('Données projet'!$B$9,Paramètres!$A$1:$I$89,3,0)*0.475*44/12</f>
        <v>0.3753901492395329</v>
      </c>
      <c r="AB191" s="21">
        <f>EXP(-LN(2)/2)*AB190+(1-EXP(-LN(2)/2))/(LN(2)/2)*V191*Y191*VLOOKUP('Données projet'!$B$9,Paramètres!$A$1:$I$89,3,0)*0.475*44/12</f>
        <v>6.2347024834622173E-11</v>
      </c>
      <c r="AC191" s="22">
        <f t="shared" si="163"/>
        <v>15.550985312716374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305.00000000000017</v>
      </c>
      <c r="AJ191" s="13">
        <f>AI191*VLOOKUP('Données projet'!$B$10,Paramètres!$A$1:$I$89,3,0)*VLOOKUP('Données projet'!$B$10,Paramètres!$A$1:$I$89,5,0)</f>
        <v>204.59400000000011</v>
      </c>
      <c r="AK191" s="13">
        <f t="shared" si="164"/>
        <v>50.75245156043249</v>
      </c>
      <c r="AL191" s="20">
        <f t="shared" si="165"/>
        <v>444.72840313442015</v>
      </c>
      <c r="AM191" s="59">
        <f t="shared" si="113"/>
        <v>738.06173646775346</v>
      </c>
      <c r="AN191" s="59">
        <f ca="1">AVERAGE(OFFSET($AM$3,0,0,'Données projet'!$E$10+1,1))-AVERAGE(OFFSET($H$3,0,0,'Données projet'!$E$10+1,1))</f>
        <v>269.67260882504996</v>
      </c>
      <c r="AO191" s="59">
        <f t="shared" si="144"/>
        <v>272.13858200810074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3.4558650261603723</v>
      </c>
      <c r="AV191" s="21">
        <f>EXP(-LN(2)/25)*AV190+(1-EXP(-LN(2)/25))/(LN(2)/25)*Calculateur!AQ191*Calculateur!AS191*VLOOKUP('Données projet'!$B$10,Paramètres!$A$1:$I$89,3,0)*0.475*44/12</f>
        <v>8.3567828332318364E-2</v>
      </c>
      <c r="AW191" s="21">
        <f>EXP(-LN(2)/2)*AW190+(1-EXP(-LN(2)/2))/(LN(2)/2)*AQ191*AT191*VLOOKUP('Données projet'!$B$10,Paramètres!$A$1:$I$89,3,0)*0.475*44/12</f>
        <v>1.5350998028684484E-18</v>
      </c>
      <c r="AX191" s="21">
        <f t="shared" si="166"/>
        <v>3.5394328544926905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453.99999999999977</v>
      </c>
      <c r="BE191" s="13">
        <f>BD191*VLOOKUP('Données projet'!$B$11,Paramètres!$A$1:$I$89,3,0)*VLOOKUP('Données projet'!$B$11,Paramètres!$A$1:$I$89,5,0)</f>
        <v>253.78599999999986</v>
      </c>
      <c r="BF191" s="13">
        <f t="shared" si="167"/>
        <v>61.395945216950906</v>
      </c>
      <c r="BG191" s="20">
        <f t="shared" si="168"/>
        <v>548.94188791952263</v>
      </c>
      <c r="BH191" s="59">
        <f t="shared" si="116"/>
        <v>842.275221252856</v>
      </c>
      <c r="BI191" s="59">
        <f ca="1">AVERAGE(OFFSET($BH$3,0,0,'Données projet'!$E$11+1,1))-AVERAGE(OFFSET($H$3,0,0,'Données projet'!$E$11+1,1))</f>
        <v>330.33728077846268</v>
      </c>
      <c r="BJ191" s="59">
        <f t="shared" si="146"/>
        <v>358.38872754175208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4.7459109114198945</v>
      </c>
      <c r="BQ191" s="21">
        <f>EXP(-LN(2)/25)*BQ190+(1-EXP(-LN(2)/25))/(LN(2)/25)*Calculateur!BL191*Calculateur!BN191*VLOOKUP('Données projet'!$B$11,Paramètres!$A$1:$I$89,3,0)*0.475*44/12</f>
        <v>0.94444348042630966</v>
      </c>
      <c r="BR191" s="21">
        <f>EXP(-LN(2)/2)*BR190+(1-EXP(-LN(2)/2))/(LN(2)/2)*BL191*BO191*VLOOKUP('Données projet'!$B$11,Paramètres!$A$1:$I$89,3,0)*0.475*44/12</f>
        <v>2.7702247835565763E-18</v>
      </c>
      <c r="BS191" s="22">
        <f t="shared" si="169"/>
        <v>5.6903543918462045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290.99999999999994</v>
      </c>
      <c r="BZ191" s="13">
        <f>BY191*VLOOKUP('Données projet'!$B$12,Paramètres!$A$1:$I$89,3,0)*VLOOKUP('Données projet'!$B$12,Paramètres!$A$1:$I$89,5,0)</f>
        <v>276.91559999999993</v>
      </c>
      <c r="CA191" s="13">
        <f t="shared" si="170"/>
        <v>66.314766879144742</v>
      </c>
      <c r="CB191" s="20">
        <f t="shared" si="171"/>
        <v>597.79288898117682</v>
      </c>
      <c r="CC191" s="59">
        <f t="shared" si="119"/>
        <v>891.12622231451019</v>
      </c>
      <c r="CD191" s="59">
        <f ca="1">AVERAGE(OFFSET($CC$3,0,0,'Données projet'!$E$12+1,1))-AVERAGE(OFFSET($H$3,0,0,'Données projet'!$E$12+1,1))</f>
        <v>367.39143258674738</v>
      </c>
      <c r="CE191" s="59">
        <f t="shared" si="148"/>
        <v>376.02790658970292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4.3900044219613772</v>
      </c>
      <c r="CL191" s="21">
        <f>EXP(-LN(2)/25)*CL190+(1-EXP(-LN(2)/25))/(LN(2)/25)*Calculateur!CG191*Calculateur!CI191*VLOOKUP('Données projet'!$B$12,Paramètres!$A$1:$I$89,3,0)*0.475*44/12</f>
        <v>0.1038506771089247</v>
      </c>
      <c r="CM191" s="21">
        <f>EXP(-LN(2)/2)*CM190+(1-EXP(-LN(2)/2))/(LN(2)/2)*CG191*CJ191*VLOOKUP('Données projet'!$B$12,Paramètres!$A$1:$I$89,3,0)*0.475*44/12</f>
        <v>2.517628648485819E-18</v>
      </c>
      <c r="CN191" s="22">
        <f t="shared" si="172"/>
        <v>4.4938550990703021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925.00000000000034</v>
      </c>
      <c r="CU191" s="17">
        <f>CT191*VLOOKUP('Données projet'!$B$13,Paramètres!$A$1:$I$89,3,0)*VLOOKUP('Données projet'!$B$13,Paramètres!$A$1:$I$89,5,0)</f>
        <v>408.85000000000014</v>
      </c>
      <c r="CV191" s="13">
        <f t="shared" si="173"/>
        <v>93.568575358321141</v>
      </c>
      <c r="CW191" s="20">
        <f t="shared" si="174"/>
        <v>875.04568541574281</v>
      </c>
      <c r="CX191" s="59">
        <f t="shared" si="122"/>
        <v>1168.3790187490761</v>
      </c>
      <c r="CY191" s="59">
        <f ca="1">AVERAGE(OFFSET($CX$3,0,0,'Données projet'!$E$13+1,1))-AVERAGE(OFFSET($H$3,0,0,'Données projet'!$E$13+1,1))</f>
        <v>500.13646131618248</v>
      </c>
      <c r="CZ191" s="59">
        <f t="shared" si="150"/>
        <v>417.58036817539306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8.0554349682159039</v>
      </c>
      <c r="DG191" s="21">
        <f>EXP(-LN(2)/25)*DG190+(1-EXP(-LN(2)/25))/(LN(2)/25)*Calculateur!DB191*Calculateur!DD191*VLOOKUP('Données projet'!$B$13,Paramètres!$A$1:$I$89,3,0)*0.475*44/12</f>
        <v>1.468300304306023</v>
      </c>
      <c r="DH191" s="21">
        <f>EXP(-LN(2)/2)*DH190+(1-EXP(-LN(2)/2))/(LN(2)/2)*DB191*DE191*VLOOKUP('Données projet'!$B$13,Paramètres!$A$1:$I$89,3,0)*0.475*44/12</f>
        <v>1.3615103579048496E-16</v>
      </c>
      <c r="DI191" s="22">
        <f t="shared" si="175"/>
        <v>9.5237352725219271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268.00000000000011</v>
      </c>
      <c r="O192" s="13">
        <f>N192*VLOOKUP('Données projet'!$B$9,Paramètres!$A$1:$I$89,3,0)*VLOOKUP('Données projet'!$B$9,Paramètres!$A$1:$I$89,5,0)</f>
        <v>242.48640000000009</v>
      </c>
      <c r="P192" s="13">
        <f t="shared" si="141"/>
        <v>58.974170235372476</v>
      </c>
      <c r="Q192" s="20">
        <f t="shared" si="162"/>
        <v>525.04382649327385</v>
      </c>
      <c r="R192" s="59">
        <f t="shared" si="109"/>
        <v>818.37715982660711</v>
      </c>
      <c r="S192" s="59">
        <f ca="1">AVERAGE(OFFSET($R$3,0,0,'Données projet'!$E$9+1,1))-AVERAGE(OFFSET($H$3,0,0,'Données projet'!$E$9+1,1))</f>
        <v>371.7282125501186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14.878010998459013</v>
      </c>
      <c r="AA192" s="21">
        <f>EXP(-LN(2)/25)*AA191+(1-EXP(-LN(2)/25))/(LN(2)/25)*Calculateur!V192*Calculateur!X192*VLOOKUP('Données projet'!$B$9,Paramètres!$A$1:$I$89,3,0)*0.475*44/12</f>
        <v>0.3651250858676679</v>
      </c>
      <c r="AB192" s="21">
        <f>EXP(-LN(2)/2)*AB191+(1-EXP(-LN(2)/2))/(LN(2)/2)*V192*Y192*VLOOKUP('Données projet'!$B$9,Paramètres!$A$1:$I$89,3,0)*0.475*44/12</f>
        <v>4.4086004047367425E-11</v>
      </c>
      <c r="AC192" s="22">
        <f t="shared" si="163"/>
        <v>15.243136084370766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305.00000000000017</v>
      </c>
      <c r="AJ192" s="13">
        <f>AI192*VLOOKUP('Données projet'!$B$10,Paramètres!$A$1:$I$89,3,0)*VLOOKUP('Données projet'!$B$10,Paramètres!$A$1:$I$89,5,0)</f>
        <v>204.59400000000011</v>
      </c>
      <c r="AK192" s="13">
        <f t="shared" si="164"/>
        <v>50.75245156043249</v>
      </c>
      <c r="AL192" s="20">
        <f t="shared" si="165"/>
        <v>444.72840313442015</v>
      </c>
      <c r="AM192" s="59">
        <f t="shared" si="113"/>
        <v>738.06173646775346</v>
      </c>
      <c r="AN192" s="59">
        <f ca="1">AVERAGE(OFFSET($AM$3,0,0,'Données projet'!$E$10+1,1))-AVERAGE(OFFSET($H$3,0,0,'Données projet'!$E$10+1,1))</f>
        <v>269.67260882504996</v>
      </c>
      <c r="AO192" s="59">
        <f t="shared" si="144"/>
        <v>272.13858200810074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3.3880976208668985</v>
      </c>
      <c r="AV192" s="21">
        <f>EXP(-LN(2)/25)*AV191+(1-EXP(-LN(2)/25))/(LN(2)/25)*Calculateur!AQ192*Calculateur!AS192*VLOOKUP('Données projet'!$B$10,Paramètres!$A$1:$I$89,3,0)*0.475*44/12</f>
        <v>8.1282661671930018E-2</v>
      </c>
      <c r="AW192" s="21">
        <f>EXP(-LN(2)/2)*AW191+(1-EXP(-LN(2)/2))/(LN(2)/2)*AQ192*AT192*VLOOKUP('Données projet'!$B$10,Paramètres!$A$1:$I$89,3,0)*0.475*44/12</f>
        <v>1.0854794804064122E-18</v>
      </c>
      <c r="AX192" s="21">
        <f t="shared" si="166"/>
        <v>3.4693802825388285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453.99999999999977</v>
      </c>
      <c r="BE192" s="13">
        <f>BD192*VLOOKUP('Données projet'!$B$11,Paramètres!$A$1:$I$89,3,0)*VLOOKUP('Données projet'!$B$11,Paramètres!$A$1:$I$89,5,0)</f>
        <v>253.78599999999986</v>
      </c>
      <c r="BF192" s="13">
        <f t="shared" si="167"/>
        <v>61.395945216950906</v>
      </c>
      <c r="BG192" s="20">
        <f t="shared" si="168"/>
        <v>548.94188791952263</v>
      </c>
      <c r="BH192" s="59">
        <f t="shared" si="116"/>
        <v>842.275221252856</v>
      </c>
      <c r="BI192" s="59">
        <f ca="1">AVERAGE(OFFSET($BH$3,0,0,'Données projet'!$E$11+1,1))-AVERAGE(OFFSET($H$3,0,0,'Données projet'!$E$11+1,1))</f>
        <v>330.33728077846268</v>
      </c>
      <c r="BJ192" s="59">
        <f t="shared" si="146"/>
        <v>358.38872754175208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4.6528464931667761</v>
      </c>
      <c r="BQ192" s="21">
        <f>EXP(-LN(2)/25)*BQ191+(1-EXP(-LN(2)/25))/(LN(2)/25)*Calculateur!BL192*Calculateur!BN192*VLOOKUP('Données projet'!$B$11,Paramètres!$A$1:$I$89,3,0)*0.475*44/12</f>
        <v>0.91861762378792811</v>
      </c>
      <c r="BR192" s="21">
        <f>EXP(-LN(2)/2)*BR191+(1-EXP(-LN(2)/2))/(LN(2)/2)*BL192*BO192*VLOOKUP('Données projet'!$B$11,Paramètres!$A$1:$I$89,3,0)*0.475*44/12</f>
        <v>1.9588447298638909E-18</v>
      </c>
      <c r="BS192" s="22">
        <f t="shared" si="169"/>
        <v>5.5714641169547043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290.99999999999994</v>
      </c>
      <c r="BZ192" s="13">
        <f>BY192*VLOOKUP('Données projet'!$B$12,Paramètres!$A$1:$I$89,3,0)*VLOOKUP('Données projet'!$B$12,Paramètres!$A$1:$I$89,5,0)</f>
        <v>276.91559999999993</v>
      </c>
      <c r="CA192" s="13">
        <f t="shared" si="170"/>
        <v>66.314766879144742</v>
      </c>
      <c r="CB192" s="20">
        <f t="shared" si="171"/>
        <v>597.79288898117682</v>
      </c>
      <c r="CC192" s="59">
        <f t="shared" si="119"/>
        <v>891.12622231451019</v>
      </c>
      <c r="CD192" s="59">
        <f ca="1">AVERAGE(OFFSET($CC$3,0,0,'Données projet'!$E$12+1,1))-AVERAGE(OFFSET($H$3,0,0,'Données projet'!$E$12+1,1))</f>
        <v>367.39143258674738</v>
      </c>
      <c r="CE192" s="59">
        <f t="shared" si="148"/>
        <v>376.02790658970292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4.3039191128850174</v>
      </c>
      <c r="CL192" s="21">
        <f>EXP(-LN(2)/25)*CL191+(1-EXP(-LN(2)/25))/(LN(2)/25)*Calculateur!CG192*Calculateur!CI192*VLOOKUP('Données projet'!$B$12,Paramètres!$A$1:$I$89,3,0)*0.475*44/12</f>
        <v>0.1010108748821114</v>
      </c>
      <c r="CM192" s="21">
        <f>EXP(-LN(2)/2)*CM191+(1-EXP(-LN(2)/2))/(LN(2)/2)*CG192*CJ192*VLOOKUP('Données projet'!$B$12,Paramètres!$A$1:$I$89,3,0)*0.475*44/12</f>
        <v>1.7802322898538454E-18</v>
      </c>
      <c r="CN192" s="22">
        <f t="shared" si="172"/>
        <v>4.4049299877671286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925.00000000000034</v>
      </c>
      <c r="CU192" s="17">
        <f>CT192*VLOOKUP('Données projet'!$B$13,Paramètres!$A$1:$I$89,3,0)*VLOOKUP('Données projet'!$B$13,Paramètres!$A$1:$I$89,5,0)</f>
        <v>408.85000000000014</v>
      </c>
      <c r="CV192" s="13">
        <f t="shared" si="173"/>
        <v>93.568575358321141</v>
      </c>
      <c r="CW192" s="20">
        <f t="shared" si="174"/>
        <v>875.04568541574281</v>
      </c>
      <c r="CX192" s="59">
        <f t="shared" si="122"/>
        <v>1168.3790187490761</v>
      </c>
      <c r="CY192" s="59">
        <f ca="1">AVERAGE(OFFSET($CX$3,0,0,'Données projet'!$E$13+1,1))-AVERAGE(OFFSET($H$3,0,0,'Données projet'!$E$13+1,1))</f>
        <v>500.13646131618248</v>
      </c>
      <c r="CZ192" s="59">
        <f t="shared" si="150"/>
        <v>417.58036817539306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7.8974728018193696</v>
      </c>
      <c r="DG192" s="21">
        <f>EXP(-LN(2)/25)*DG191+(1-EXP(-LN(2)/25))/(LN(2)/25)*Calculateur!DB192*Calculateur!DD192*VLOOKUP('Données projet'!$B$13,Paramètres!$A$1:$I$89,3,0)*0.475*44/12</f>
        <v>1.4281495552702177</v>
      </c>
      <c r="DH192" s="21">
        <f>EXP(-LN(2)/2)*DH191+(1-EXP(-LN(2)/2))/(LN(2)/2)*DB192*DE192*VLOOKUP('Données projet'!$B$13,Paramètres!$A$1:$I$89,3,0)*0.475*44/12</f>
        <v>9.6273320673024253E-17</v>
      </c>
      <c r="DI192" s="22">
        <f t="shared" si="175"/>
        <v>9.3256223570895873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268.00000000000011</v>
      </c>
      <c r="O193" s="13">
        <f>N193*VLOOKUP('Données projet'!$B$9,Paramètres!$A$1:$I$89,3,0)*VLOOKUP('Données projet'!$B$9,Paramètres!$A$1:$I$89,5,0)</f>
        <v>242.48640000000009</v>
      </c>
      <c r="P193" s="13">
        <f t="shared" si="141"/>
        <v>58.974170235372476</v>
      </c>
      <c r="Q193" s="20">
        <f t="shared" si="162"/>
        <v>525.04382649327385</v>
      </c>
      <c r="R193" s="59">
        <f t="shared" si="109"/>
        <v>818.37715982660711</v>
      </c>
      <c r="S193" s="59">
        <f ca="1">AVERAGE(OFFSET($R$3,0,0,'Données projet'!$E$9+1,1))-AVERAGE(OFFSET($H$3,0,0,'Données projet'!$E$9+1,1))</f>
        <v>371.7282125501186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14.58626227746989</v>
      </c>
      <c r="AA193" s="21">
        <f>EXP(-LN(2)/25)*AA192+(1-EXP(-LN(2)/25))/(LN(2)/25)*Calculateur!V193*Calculateur!X193*VLOOKUP('Données projet'!$B$9,Paramètres!$A$1:$I$89,3,0)*0.475*44/12</f>
        <v>0.35514072119352275</v>
      </c>
      <c r="AB193" s="21">
        <f>EXP(-LN(2)/2)*AB192+(1-EXP(-LN(2)/2))/(LN(2)/2)*V193*Y193*VLOOKUP('Données projet'!$B$9,Paramètres!$A$1:$I$89,3,0)*0.475*44/12</f>
        <v>3.1173512417311086E-11</v>
      </c>
      <c r="AC193" s="22">
        <f t="shared" si="163"/>
        <v>14.941402998694587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305.00000000000017</v>
      </c>
      <c r="AJ193" s="13">
        <f>AI193*VLOOKUP('Données projet'!$B$10,Paramètres!$A$1:$I$89,3,0)*VLOOKUP('Données projet'!$B$10,Paramètres!$A$1:$I$89,5,0)</f>
        <v>204.59400000000011</v>
      </c>
      <c r="AK193" s="13">
        <f t="shared" si="164"/>
        <v>50.75245156043249</v>
      </c>
      <c r="AL193" s="20">
        <f t="shared" si="165"/>
        <v>444.72840313442015</v>
      </c>
      <c r="AM193" s="59">
        <f t="shared" si="113"/>
        <v>738.06173646775346</v>
      </c>
      <c r="AN193" s="59">
        <f ca="1">AVERAGE(OFFSET($AM$3,0,0,'Données projet'!$E$10+1,1))-AVERAGE(OFFSET($H$3,0,0,'Données projet'!$E$10+1,1))</f>
        <v>269.67260882504996</v>
      </c>
      <c r="AO193" s="59">
        <f t="shared" si="144"/>
        <v>272.13858200810074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3.3216590930571939</v>
      </c>
      <c r="AV193" s="21">
        <f>EXP(-LN(2)/25)*AV192+(1-EXP(-LN(2)/25))/(LN(2)/25)*Calculateur!AQ193*Calculateur!AS193*VLOOKUP('Données projet'!$B$10,Paramètres!$A$1:$I$89,3,0)*0.475*44/12</f>
        <v>7.9059983014041685E-2</v>
      </c>
      <c r="AW193" s="21">
        <f>EXP(-LN(2)/2)*AW192+(1-EXP(-LN(2)/2))/(LN(2)/2)*AQ193*AT193*VLOOKUP('Données projet'!$B$10,Paramètres!$A$1:$I$89,3,0)*0.475*44/12</f>
        <v>7.6754990143422422E-19</v>
      </c>
      <c r="AX193" s="21">
        <f t="shared" si="166"/>
        <v>3.4007190760712356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453.99999999999977</v>
      </c>
      <c r="BE193" s="13">
        <f>BD193*VLOOKUP('Données projet'!$B$11,Paramètres!$A$1:$I$89,3,0)*VLOOKUP('Données projet'!$B$11,Paramètres!$A$1:$I$89,5,0)</f>
        <v>253.78599999999986</v>
      </c>
      <c r="BF193" s="13">
        <f t="shared" si="167"/>
        <v>61.395945216950906</v>
      </c>
      <c r="BG193" s="20">
        <f t="shared" si="168"/>
        <v>548.94188791952263</v>
      </c>
      <c r="BH193" s="59">
        <f t="shared" si="116"/>
        <v>842.275221252856</v>
      </c>
      <c r="BI193" s="59">
        <f ca="1">AVERAGE(OFFSET($BH$3,0,0,'Données projet'!$E$11+1,1))-AVERAGE(OFFSET($H$3,0,0,'Données projet'!$E$11+1,1))</f>
        <v>330.33728077846268</v>
      </c>
      <c r="BJ193" s="59">
        <f t="shared" si="146"/>
        <v>358.38872754175208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4.5616070113919118</v>
      </c>
      <c r="BQ193" s="21">
        <f>EXP(-LN(2)/25)*BQ192+(1-EXP(-LN(2)/25))/(LN(2)/25)*Calculateur!BL193*Calculateur!BN193*VLOOKUP('Données projet'!$B$11,Paramètres!$A$1:$I$89,3,0)*0.475*44/12</f>
        <v>0.89349797655744589</v>
      </c>
      <c r="BR193" s="21">
        <f>EXP(-LN(2)/2)*BR192+(1-EXP(-LN(2)/2))/(LN(2)/2)*BL193*BO193*VLOOKUP('Données projet'!$B$11,Paramètres!$A$1:$I$89,3,0)*0.475*44/12</f>
        <v>1.3851123917782882E-18</v>
      </c>
      <c r="BS193" s="22">
        <f t="shared" si="169"/>
        <v>5.4551049879493574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290.99999999999994</v>
      </c>
      <c r="BZ193" s="13">
        <f>BY193*VLOOKUP('Données projet'!$B$12,Paramètres!$A$1:$I$89,3,0)*VLOOKUP('Données projet'!$B$12,Paramètres!$A$1:$I$89,5,0)</f>
        <v>276.91559999999993</v>
      </c>
      <c r="CA193" s="13">
        <f t="shared" si="170"/>
        <v>66.314766879144742</v>
      </c>
      <c r="CB193" s="20">
        <f t="shared" si="171"/>
        <v>597.79288898117682</v>
      </c>
      <c r="CC193" s="59">
        <f t="shared" si="119"/>
        <v>891.12622231451019</v>
      </c>
      <c r="CD193" s="59">
        <f ca="1">AVERAGE(OFFSET($CC$3,0,0,'Données projet'!$E$12+1,1))-AVERAGE(OFFSET($H$3,0,0,'Données projet'!$E$12+1,1))</f>
        <v>367.39143258674738</v>
      </c>
      <c r="CE193" s="59">
        <f t="shared" si="148"/>
        <v>376.02790658970292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4.2195218842127913</v>
      </c>
      <c r="CL193" s="21">
        <f>EXP(-LN(2)/25)*CL192+(1-EXP(-LN(2)/25))/(LN(2)/25)*Calculateur!CG193*Calculateur!CI193*VLOOKUP('Données projet'!$B$12,Paramètres!$A$1:$I$89,3,0)*0.475*44/12</f>
        <v>9.8248727196529009E-2</v>
      </c>
      <c r="CM193" s="21">
        <f>EXP(-LN(2)/2)*CM192+(1-EXP(-LN(2)/2))/(LN(2)/2)*CG193*CJ193*VLOOKUP('Données projet'!$B$12,Paramètres!$A$1:$I$89,3,0)*0.475*44/12</f>
        <v>1.2588143242429095E-18</v>
      </c>
      <c r="CN193" s="22">
        <f t="shared" si="172"/>
        <v>4.3177706114093199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925.00000000000034</v>
      </c>
      <c r="CU193" s="17">
        <f>CT193*VLOOKUP('Données projet'!$B$13,Paramètres!$A$1:$I$89,3,0)*VLOOKUP('Données projet'!$B$13,Paramètres!$A$1:$I$89,5,0)</f>
        <v>408.85000000000014</v>
      </c>
      <c r="CV193" s="13">
        <f t="shared" si="173"/>
        <v>93.568575358321141</v>
      </c>
      <c r="CW193" s="20">
        <f t="shared" si="174"/>
        <v>875.04568541574281</v>
      </c>
      <c r="CX193" s="59">
        <f t="shared" si="122"/>
        <v>1168.3790187490761</v>
      </c>
      <c r="CY193" s="59">
        <f ca="1">AVERAGE(OFFSET($CX$3,0,0,'Données projet'!$E$13+1,1))-AVERAGE(OFFSET($H$3,0,0,'Données projet'!$E$13+1,1))</f>
        <v>500.13646131618248</v>
      </c>
      <c r="CZ193" s="59">
        <f t="shared" si="150"/>
        <v>417.58036817539306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7.7426081771584636</v>
      </c>
      <c r="DG193" s="21">
        <f>EXP(-LN(2)/25)*DG192+(1-EXP(-LN(2)/25))/(LN(2)/25)*Calculateur!DB193*Calculateur!DD193*VLOOKUP('Données projet'!$B$13,Paramètres!$A$1:$I$89,3,0)*0.475*44/12</f>
        <v>1.3890967305782325</v>
      </c>
      <c r="DH193" s="21">
        <f>EXP(-LN(2)/2)*DH192+(1-EXP(-LN(2)/2))/(LN(2)/2)*DB193*DE193*VLOOKUP('Données projet'!$B$13,Paramètres!$A$1:$I$89,3,0)*0.475*44/12</f>
        <v>6.8075517895242481E-17</v>
      </c>
      <c r="DI193" s="22">
        <f t="shared" si="175"/>
        <v>9.1317049077366956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268.00000000000011</v>
      </c>
      <c r="O194" s="13">
        <f>N194*VLOOKUP('Données projet'!$B$9,Paramètres!$A$1:$I$89,3,0)*VLOOKUP('Données projet'!$B$9,Paramètres!$A$1:$I$89,5,0)</f>
        <v>242.48640000000009</v>
      </c>
      <c r="P194" s="13">
        <f t="shared" si="141"/>
        <v>58.974170235372476</v>
      </c>
      <c r="Q194" s="20">
        <f t="shared" si="162"/>
        <v>525.04382649327385</v>
      </c>
      <c r="R194" s="59">
        <f t="shared" si="109"/>
        <v>818.37715982660711</v>
      </c>
      <c r="S194" s="59">
        <f ca="1">AVERAGE(OFFSET($R$3,0,0,'Données projet'!$E$9+1,1))-AVERAGE(OFFSET($H$3,0,0,'Données projet'!$E$9+1,1))</f>
        <v>371.7282125501186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14.300234570950215</v>
      </c>
      <c r="AA194" s="21">
        <f>EXP(-LN(2)/25)*AA193+(1-EXP(-LN(2)/25))/(LN(2)/25)*Calculateur!V194*Calculateur!X194*VLOOKUP('Données projet'!$B$9,Paramètres!$A$1:$I$89,3,0)*0.475*44/12</f>
        <v>0.34542937949644703</v>
      </c>
      <c r="AB194" s="21">
        <f>EXP(-LN(2)/2)*AB193+(1-EXP(-LN(2)/2))/(LN(2)/2)*V194*Y194*VLOOKUP('Données projet'!$B$9,Paramètres!$A$1:$I$89,3,0)*0.475*44/12</f>
        <v>2.2043002023683713E-11</v>
      </c>
      <c r="AC194" s="22">
        <f t="shared" si="163"/>
        <v>14.645663950468705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305.00000000000017</v>
      </c>
      <c r="AJ194" s="13">
        <f>AI194*VLOOKUP('Données projet'!$B$10,Paramètres!$A$1:$I$89,3,0)*VLOOKUP('Données projet'!$B$10,Paramètres!$A$1:$I$89,5,0)</f>
        <v>204.59400000000011</v>
      </c>
      <c r="AK194" s="13">
        <f t="shared" si="164"/>
        <v>50.75245156043249</v>
      </c>
      <c r="AL194" s="20">
        <f t="shared" si="165"/>
        <v>444.72840313442015</v>
      </c>
      <c r="AM194" s="59">
        <f t="shared" si="113"/>
        <v>738.06173646775346</v>
      </c>
      <c r="AN194" s="59">
        <f ca="1">AVERAGE(OFFSET($AM$3,0,0,'Données projet'!$E$10+1,1))-AVERAGE(OFFSET($H$3,0,0,'Données projet'!$E$10+1,1))</f>
        <v>269.67260882504996</v>
      </c>
      <c r="AO194" s="59">
        <f t="shared" si="144"/>
        <v>272.13858200810074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3.2565233842543369</v>
      </c>
      <c r="AV194" s="21">
        <f>EXP(-LN(2)/25)*AV193+(1-EXP(-LN(2)/25))/(LN(2)/25)*Calculateur!AQ194*Calculateur!AS194*VLOOKUP('Données projet'!$B$10,Paramètres!$A$1:$I$89,3,0)*0.475*44/12</f>
        <v>7.6898083620938903E-2</v>
      </c>
      <c r="AW194" s="21">
        <f>EXP(-LN(2)/2)*AW193+(1-EXP(-LN(2)/2))/(LN(2)/2)*AQ194*AT194*VLOOKUP('Données projet'!$B$10,Paramètres!$A$1:$I$89,3,0)*0.475*44/12</f>
        <v>5.427397402032061E-19</v>
      </c>
      <c r="AX194" s="21">
        <f t="shared" si="166"/>
        <v>3.3334214678752758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453.99999999999977</v>
      </c>
      <c r="BE194" s="13">
        <f>BD194*VLOOKUP('Données projet'!$B$11,Paramètres!$A$1:$I$89,3,0)*VLOOKUP('Données projet'!$B$11,Paramètres!$A$1:$I$89,5,0)</f>
        <v>253.78599999999986</v>
      </c>
      <c r="BF194" s="13">
        <f t="shared" si="167"/>
        <v>61.395945216950906</v>
      </c>
      <c r="BG194" s="20">
        <f t="shared" si="168"/>
        <v>548.94188791952263</v>
      </c>
      <c r="BH194" s="59">
        <f t="shared" si="116"/>
        <v>842.275221252856</v>
      </c>
      <c r="BI194" s="59">
        <f ca="1">AVERAGE(OFFSET($BH$3,0,0,'Données projet'!$E$11+1,1))-AVERAGE(OFFSET($H$3,0,0,'Données projet'!$E$11+1,1))</f>
        <v>330.33728077846268</v>
      </c>
      <c r="BJ194" s="59">
        <f t="shared" si="146"/>
        <v>358.38872754175208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4.4721566802040638</v>
      </c>
      <c r="BQ194" s="21">
        <f>EXP(-LN(2)/25)*BQ193+(1-EXP(-LN(2)/25))/(LN(2)/25)*Calculateur!BL194*Calculateur!BN194*VLOOKUP('Données projet'!$B$11,Paramètres!$A$1:$I$89,3,0)*0.475*44/12</f>
        <v>0.86906522740146608</v>
      </c>
      <c r="BR194" s="21">
        <f>EXP(-LN(2)/2)*BR193+(1-EXP(-LN(2)/2))/(LN(2)/2)*BL194*BO194*VLOOKUP('Données projet'!$B$11,Paramètres!$A$1:$I$89,3,0)*0.475*44/12</f>
        <v>9.7942236493194547E-19</v>
      </c>
      <c r="BS194" s="22">
        <f t="shared" si="169"/>
        <v>5.3412219076055294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290.99999999999994</v>
      </c>
      <c r="BZ194" s="13">
        <f>BY194*VLOOKUP('Données projet'!$B$12,Paramètres!$A$1:$I$89,3,0)*VLOOKUP('Données projet'!$B$12,Paramètres!$A$1:$I$89,5,0)</f>
        <v>276.91559999999993</v>
      </c>
      <c r="CA194" s="13">
        <f t="shared" si="170"/>
        <v>66.314766879144742</v>
      </c>
      <c r="CB194" s="20">
        <f t="shared" si="171"/>
        <v>597.79288898117682</v>
      </c>
      <c r="CC194" s="59">
        <f t="shared" si="119"/>
        <v>891.12622231451019</v>
      </c>
      <c r="CD194" s="59">
        <f ca="1">AVERAGE(OFFSET($CC$3,0,0,'Données projet'!$E$12+1,1))-AVERAGE(OFFSET($H$3,0,0,'Données projet'!$E$12+1,1))</f>
        <v>367.39143258674738</v>
      </c>
      <c r="CE194" s="59">
        <f t="shared" si="148"/>
        <v>376.02790658970292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4.1367796337176008</v>
      </c>
      <c r="CL194" s="21">
        <f>EXP(-LN(2)/25)*CL193+(1-EXP(-LN(2)/25))/(LN(2)/25)*Calculateur!CG194*Calculateur!CI194*VLOOKUP('Données projet'!$B$12,Paramètres!$A$1:$I$89,3,0)*0.475*44/12</f>
        <v>9.5562110584663906E-2</v>
      </c>
      <c r="CM194" s="21">
        <f>EXP(-LN(2)/2)*CM193+(1-EXP(-LN(2)/2))/(LN(2)/2)*CG194*CJ194*VLOOKUP('Données projet'!$B$12,Paramètres!$A$1:$I$89,3,0)*0.475*44/12</f>
        <v>8.9011614492692268E-19</v>
      </c>
      <c r="CN194" s="22">
        <f t="shared" si="172"/>
        <v>4.2323417443022651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925.00000000000034</v>
      </c>
      <c r="CU194" s="17">
        <f>CT194*VLOOKUP('Données projet'!$B$13,Paramètres!$A$1:$I$89,3,0)*VLOOKUP('Données projet'!$B$13,Paramètres!$A$1:$I$89,5,0)</f>
        <v>408.85000000000014</v>
      </c>
      <c r="CV194" s="13">
        <f t="shared" si="173"/>
        <v>93.568575358321141</v>
      </c>
      <c r="CW194" s="20">
        <f t="shared" si="174"/>
        <v>875.04568541574281</v>
      </c>
      <c r="CX194" s="59">
        <f t="shared" si="122"/>
        <v>1168.3790187490761</v>
      </c>
      <c r="CY194" s="59">
        <f ca="1">AVERAGE(OFFSET($CX$3,0,0,'Données projet'!$E$13+1,1))-AVERAGE(OFFSET($H$3,0,0,'Données projet'!$E$13+1,1))</f>
        <v>500.13646131618248</v>
      </c>
      <c r="CZ194" s="59">
        <f t="shared" si="150"/>
        <v>417.58036817539306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7.5907803533290634</v>
      </c>
      <c r="DG194" s="21">
        <f>EXP(-LN(2)/25)*DG193+(1-EXP(-LN(2)/25))/(LN(2)/25)*Calculateur!DB194*Calculateur!DD194*VLOOKUP('Données projet'!$B$13,Paramètres!$A$1:$I$89,3,0)*0.475*44/12</f>
        <v>1.3511118074311486</v>
      </c>
      <c r="DH194" s="21">
        <f>EXP(-LN(2)/2)*DH193+(1-EXP(-LN(2)/2))/(LN(2)/2)*DB194*DE194*VLOOKUP('Données projet'!$B$13,Paramètres!$A$1:$I$89,3,0)*0.475*44/12</f>
        <v>4.8136660336512126E-17</v>
      </c>
      <c r="DI194" s="22">
        <f t="shared" si="175"/>
        <v>8.9418921607602115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268.00000000000011</v>
      </c>
      <c r="O195" s="13">
        <f>N195*VLOOKUP('Données projet'!$B$9,Paramètres!$A$1:$I$89,3,0)*VLOOKUP('Données projet'!$B$9,Paramètres!$A$1:$I$89,5,0)</f>
        <v>242.48640000000009</v>
      </c>
      <c r="P195" s="13">
        <f t="shared" si="141"/>
        <v>58.974170235372476</v>
      </c>
      <c r="Q195" s="20">
        <f t="shared" si="162"/>
        <v>525.04382649327385</v>
      </c>
      <c r="R195" s="59">
        <f t="shared" ref="R195:R203" si="191">Q195+(I195+J195)*44/12</f>
        <v>818.37715982660711</v>
      </c>
      <c r="S195" s="59">
        <f ca="1">AVERAGE(OFFSET($R$3,0,0,'Données projet'!$E$9+1,1))-AVERAGE(OFFSET($H$3,0,0,'Données projet'!$E$9+1,1))</f>
        <v>371.7282125501186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14.019815693295715</v>
      </c>
      <c r="AA195" s="21">
        <f>EXP(-LN(2)/25)*AA194+(1-EXP(-LN(2)/25))/(LN(2)/25)*Calculateur!V195*Calculateur!X195*VLOOKUP('Données projet'!$B$9,Paramètres!$A$1:$I$89,3,0)*0.475*44/12</f>
        <v>0.33598359494877511</v>
      </c>
      <c r="AB195" s="21">
        <f>EXP(-LN(2)/2)*AB194+(1-EXP(-LN(2)/2))/(LN(2)/2)*V195*Y195*VLOOKUP('Données projet'!$B$9,Paramètres!$A$1:$I$89,3,0)*0.475*44/12</f>
        <v>1.5586756208655543E-11</v>
      </c>
      <c r="AC195" s="22">
        <f t="shared" si="163"/>
        <v>14.355799288260078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305.00000000000017</v>
      </c>
      <c r="AJ195" s="13">
        <f>AI195*VLOOKUP('Données projet'!$B$10,Paramètres!$A$1:$I$89,3,0)*VLOOKUP('Données projet'!$B$10,Paramètres!$A$1:$I$89,5,0)</f>
        <v>204.59400000000011</v>
      </c>
      <c r="AK195" s="13">
        <f t="shared" si="164"/>
        <v>50.75245156043249</v>
      </c>
      <c r="AL195" s="20">
        <f t="shared" si="165"/>
        <v>444.72840313442015</v>
      </c>
      <c r="AM195" s="59">
        <f t="shared" si="113"/>
        <v>738.06173646775346</v>
      </c>
      <c r="AN195" s="59">
        <f ca="1">AVERAGE(OFFSET($AM$3,0,0,'Données projet'!$E$10+1,1))-AVERAGE(OFFSET($H$3,0,0,'Données projet'!$E$10+1,1))</f>
        <v>269.67260882504996</v>
      </c>
      <c r="AO195" s="59">
        <f t="shared" si="144"/>
        <v>272.13858200810074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3.1926649469722443</v>
      </c>
      <c r="AV195" s="21">
        <f>EXP(-LN(2)/25)*AV194+(1-EXP(-LN(2)/25))/(LN(2)/25)*Calculateur!AQ195*Calculateur!AS195*VLOOKUP('Données projet'!$B$10,Paramètres!$A$1:$I$89,3,0)*0.475*44/12</f>
        <v>7.4795301480429871E-2</v>
      </c>
      <c r="AW195" s="21">
        <f>EXP(-LN(2)/2)*AW194+(1-EXP(-LN(2)/2))/(LN(2)/2)*AQ195*AT195*VLOOKUP('Données projet'!$B$10,Paramètres!$A$1:$I$89,3,0)*0.475*44/12</f>
        <v>3.8377495071711211E-19</v>
      </c>
      <c r="AX195" s="21">
        <f t="shared" si="166"/>
        <v>3.2674602484526742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453.99999999999977</v>
      </c>
      <c r="BE195" s="13">
        <f>BD195*VLOOKUP('Données projet'!$B$11,Paramètres!$A$1:$I$89,3,0)*VLOOKUP('Données projet'!$B$11,Paramètres!$A$1:$I$89,5,0)</f>
        <v>253.78599999999986</v>
      </c>
      <c r="BF195" s="13">
        <f t="shared" si="167"/>
        <v>61.395945216950906</v>
      </c>
      <c r="BG195" s="20">
        <f t="shared" si="168"/>
        <v>548.94188791952263</v>
      </c>
      <c r="BH195" s="59">
        <f t="shared" si="116"/>
        <v>842.275221252856</v>
      </c>
      <c r="BI195" s="59">
        <f ca="1">AVERAGE(OFFSET($BH$3,0,0,'Données projet'!$E$11+1,1))-AVERAGE(OFFSET($H$3,0,0,'Données projet'!$E$11+1,1))</f>
        <v>330.33728077846268</v>
      </c>
      <c r="BJ195" s="59">
        <f t="shared" si="146"/>
        <v>358.38872754175208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4.3844604154514943</v>
      </c>
      <c r="BQ195" s="21">
        <f>EXP(-LN(2)/25)*BQ194+(1-EXP(-LN(2)/25))/(LN(2)/25)*Calculateur!BL195*Calculateur!BN195*VLOOKUP('Données projet'!$B$11,Paramètres!$A$1:$I$89,3,0)*0.475*44/12</f>
        <v>0.8453005930560189</v>
      </c>
      <c r="BR195" s="21">
        <f>EXP(-LN(2)/2)*BR194+(1-EXP(-LN(2)/2))/(LN(2)/2)*BL195*BO195*VLOOKUP('Données projet'!$B$11,Paramètres!$A$1:$I$89,3,0)*0.475*44/12</f>
        <v>6.9255619588914408E-19</v>
      </c>
      <c r="BS195" s="22">
        <f t="shared" si="169"/>
        <v>5.2297610085075128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290.99999999999994</v>
      </c>
      <c r="BZ195" s="13">
        <f>BY195*VLOOKUP('Données projet'!$B$12,Paramètres!$A$1:$I$89,3,0)*VLOOKUP('Données projet'!$B$12,Paramètres!$A$1:$I$89,5,0)</f>
        <v>276.91559999999993</v>
      </c>
      <c r="CA195" s="13">
        <f t="shared" si="170"/>
        <v>66.314766879144742</v>
      </c>
      <c r="CB195" s="20">
        <f t="shared" si="171"/>
        <v>597.79288898117682</v>
      </c>
      <c r="CC195" s="59">
        <f t="shared" si="119"/>
        <v>891.12622231451019</v>
      </c>
      <c r="CD195" s="59">
        <f ca="1">AVERAGE(OFFSET($CC$3,0,0,'Données projet'!$E$12+1,1))-AVERAGE(OFFSET($H$3,0,0,'Données projet'!$E$12+1,1))</f>
        <v>367.39143258674738</v>
      </c>
      <c r="CE195" s="59">
        <f t="shared" si="148"/>
        <v>376.02790658970292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4.055659908286831</v>
      </c>
      <c r="CL195" s="21">
        <f>EXP(-LN(2)/25)*CL194+(1-EXP(-LN(2)/25))/(LN(2)/25)*Calculateur!CG195*Calculateur!CI195*VLOOKUP('Données projet'!$B$12,Paramètres!$A$1:$I$89,3,0)*0.475*44/12</f>
        <v>9.2948959645333284E-2</v>
      </c>
      <c r="CM195" s="21">
        <f>EXP(-LN(2)/2)*CM194+(1-EXP(-LN(2)/2))/(LN(2)/2)*CG195*CJ195*VLOOKUP('Données projet'!$B$12,Paramètres!$A$1:$I$89,3,0)*0.475*44/12</f>
        <v>6.2940716212145476E-19</v>
      </c>
      <c r="CN195" s="22">
        <f t="shared" si="172"/>
        <v>4.1486088679321647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925.00000000000034</v>
      </c>
      <c r="CU195" s="17">
        <f>CT195*VLOOKUP('Données projet'!$B$13,Paramètres!$A$1:$I$89,3,0)*VLOOKUP('Données projet'!$B$13,Paramètres!$A$1:$I$89,5,0)</f>
        <v>408.85000000000014</v>
      </c>
      <c r="CV195" s="13">
        <f t="shared" si="173"/>
        <v>93.568575358321141</v>
      </c>
      <c r="CW195" s="20">
        <f t="shared" si="174"/>
        <v>875.04568541574281</v>
      </c>
      <c r="CX195" s="59">
        <f t="shared" si="122"/>
        <v>1168.3790187490761</v>
      </c>
      <c r="CY195" s="59">
        <f ca="1">AVERAGE(OFFSET($CX$3,0,0,'Données projet'!$E$13+1,1))-AVERAGE(OFFSET($H$3,0,0,'Données projet'!$E$13+1,1))</f>
        <v>500.13646131618248</v>
      </c>
      <c r="CZ195" s="59">
        <f t="shared" si="150"/>
        <v>417.58036817539306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7.4419297805191293</v>
      </c>
      <c r="DG195" s="21">
        <f>EXP(-LN(2)/25)*DG194+(1-EXP(-LN(2)/25))/(LN(2)/25)*Calculateur!DB195*Calculateur!DD195*VLOOKUP('Données projet'!$B$13,Paramètres!$A$1:$I$89,3,0)*0.475*44/12</f>
        <v>1.3141655840050619</v>
      </c>
      <c r="DH195" s="21">
        <f>EXP(-LN(2)/2)*DH194+(1-EXP(-LN(2)/2))/(LN(2)/2)*DB195*DE195*VLOOKUP('Données projet'!$B$13,Paramètres!$A$1:$I$89,3,0)*0.475*44/12</f>
        <v>3.4037758947621241E-17</v>
      </c>
      <c r="DI195" s="22">
        <f t="shared" si="175"/>
        <v>8.7560953645241906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268.00000000000011</v>
      </c>
      <c r="O196" s="13">
        <f>N196*VLOOKUP('Données projet'!$B$9,Paramètres!$A$1:$I$89,3,0)*VLOOKUP('Données projet'!$B$9,Paramètres!$A$1:$I$89,5,0)</f>
        <v>242.48640000000009</v>
      </c>
      <c r="P196" s="13">
        <f t="shared" si="141"/>
        <v>58.974170235372476</v>
      </c>
      <c r="Q196" s="20">
        <f t="shared" si="162"/>
        <v>525.04382649327385</v>
      </c>
      <c r="R196" s="59">
        <f t="shared" si="191"/>
        <v>818.37715982660711</v>
      </c>
      <c r="S196" s="59">
        <f ca="1">AVERAGE(OFFSET($R$3,0,0,'Données projet'!$E$9+1,1))-AVERAGE(OFFSET($H$3,0,0,'Données projet'!$E$9+1,1))</f>
        <v>371.7282125501186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13.744895658793395</v>
      </c>
      <c r="AA196" s="21">
        <f>EXP(-LN(2)/25)*AA195+(1-EXP(-LN(2)/25))/(LN(2)/25)*Calculateur!V196*Calculateur!X196*VLOOKUP('Données projet'!$B$9,Paramètres!$A$1:$I$89,3,0)*0.475*44/12</f>
        <v>0.32679610587629149</v>
      </c>
      <c r="AB196" s="21">
        <f>EXP(-LN(2)/2)*AB195+(1-EXP(-LN(2)/2))/(LN(2)/2)*V196*Y196*VLOOKUP('Données projet'!$B$9,Paramètres!$A$1:$I$89,3,0)*0.475*44/12</f>
        <v>1.1021501011841856E-11</v>
      </c>
      <c r="AC196" s="22">
        <f t="shared" si="163"/>
        <v>14.071691764680708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305.00000000000017</v>
      </c>
      <c r="AJ196" s="13">
        <f>AI196*VLOOKUP('Données projet'!$B$10,Paramètres!$A$1:$I$89,3,0)*VLOOKUP('Données projet'!$B$10,Paramètres!$A$1:$I$89,5,0)</f>
        <v>204.59400000000011</v>
      </c>
      <c r="AK196" s="13">
        <f t="shared" si="164"/>
        <v>50.75245156043249</v>
      </c>
      <c r="AL196" s="20">
        <f t="shared" si="165"/>
        <v>444.72840313442015</v>
      </c>
      <c r="AM196" s="59">
        <f t="shared" ref="AM196:AM203" si="193">AL196+(AD196+AE196)*44/12</f>
        <v>738.06173646775346</v>
      </c>
      <c r="AN196" s="59">
        <f ca="1">AVERAGE(OFFSET($AM$3,0,0,'Données projet'!$E$10+1,1))-AVERAGE(OFFSET($H$3,0,0,'Données projet'!$E$10+1,1))</f>
        <v>269.67260882504996</v>
      </c>
      <c r="AO196" s="59">
        <f t="shared" si="144"/>
        <v>272.13858200810074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3.1300587346954529</v>
      </c>
      <c r="AV196" s="21">
        <f>EXP(-LN(2)/25)*AV195+(1-EXP(-LN(2)/25))/(LN(2)/25)*Calculateur!AQ196*Calculateur!AS196*VLOOKUP('Données projet'!$B$10,Paramètres!$A$1:$I$89,3,0)*0.475*44/12</f>
        <v>7.2750020028133563E-2</v>
      </c>
      <c r="AW196" s="21">
        <f>EXP(-LN(2)/2)*AW195+(1-EXP(-LN(2)/2))/(LN(2)/2)*AQ196*AT196*VLOOKUP('Données projet'!$B$10,Paramètres!$A$1:$I$89,3,0)*0.475*44/12</f>
        <v>2.7136987010160305E-19</v>
      </c>
      <c r="AX196" s="21">
        <f t="shared" si="166"/>
        <v>3.2028087547235864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453.99999999999977</v>
      </c>
      <c r="BE196" s="13">
        <f>BD196*VLOOKUP('Données projet'!$B$11,Paramètres!$A$1:$I$89,3,0)*VLOOKUP('Données projet'!$B$11,Paramètres!$A$1:$I$89,5,0)</f>
        <v>253.78599999999986</v>
      </c>
      <c r="BF196" s="13">
        <f t="shared" si="167"/>
        <v>61.395945216950906</v>
      </c>
      <c r="BG196" s="20">
        <f t="shared" si="168"/>
        <v>548.94188791952263</v>
      </c>
      <c r="BH196" s="59">
        <f t="shared" ref="BH196:BH203" si="194">BG196+(AY196+AZ196)*44/12</f>
        <v>842.275221252856</v>
      </c>
      <c r="BI196" s="59">
        <f ca="1">AVERAGE(OFFSET($BH$3,0,0,'Données projet'!$E$11+1,1))-AVERAGE(OFFSET($H$3,0,0,'Données projet'!$E$11+1,1))</f>
        <v>330.33728077846268</v>
      </c>
      <c r="BJ196" s="59">
        <f t="shared" si="146"/>
        <v>358.38872754175208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4.298483820961283</v>
      </c>
      <c r="BQ196" s="21">
        <f>EXP(-LN(2)/25)*BQ195+(1-EXP(-LN(2)/25))/(LN(2)/25)*Calculateur!BL196*Calculateur!BN196*VLOOKUP('Données projet'!$B$11,Paramètres!$A$1:$I$89,3,0)*0.475*44/12</f>
        <v>0.82218580388647589</v>
      </c>
      <c r="BR196" s="21">
        <f>EXP(-LN(2)/2)*BR195+(1-EXP(-LN(2)/2))/(LN(2)/2)*BL196*BO196*VLOOKUP('Données projet'!$B$11,Paramètres!$A$1:$I$89,3,0)*0.475*44/12</f>
        <v>4.8971118246597274E-19</v>
      </c>
      <c r="BS196" s="22">
        <f t="shared" si="169"/>
        <v>5.1206696248477588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290.99999999999994</v>
      </c>
      <c r="BZ196" s="13">
        <f>BY196*VLOOKUP('Données projet'!$B$12,Paramètres!$A$1:$I$89,3,0)*VLOOKUP('Données projet'!$B$12,Paramètres!$A$1:$I$89,5,0)</f>
        <v>276.91559999999993</v>
      </c>
      <c r="CA196" s="13">
        <f t="shared" si="170"/>
        <v>66.314766879144742</v>
      </c>
      <c r="CB196" s="20">
        <f t="shared" si="171"/>
        <v>597.79288898117682</v>
      </c>
      <c r="CC196" s="59">
        <f t="shared" ref="CC196:CC203" si="195">CB196+(BT196+BU196)*44/12</f>
        <v>891.12622231451019</v>
      </c>
      <c r="CD196" s="59">
        <f ca="1">AVERAGE(OFFSET($CC$3,0,0,'Données projet'!$E$12+1,1))-AVERAGE(OFFSET($H$3,0,0,'Données projet'!$E$12+1,1))</f>
        <v>367.39143258674738</v>
      </c>
      <c r="CE196" s="59">
        <f t="shared" si="148"/>
        <v>376.02790658970292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3.9761308911936117</v>
      </c>
      <c r="CL196" s="21">
        <f>EXP(-LN(2)/25)*CL195+(1-EXP(-LN(2)/25))/(LN(2)/25)*Calculateur!CG196*Calculateur!CI196*VLOOKUP('Données projet'!$B$12,Paramètres!$A$1:$I$89,3,0)*0.475*44/12</f>
        <v>9.0407265455858296E-2</v>
      </c>
      <c r="CM196" s="21">
        <f>EXP(-LN(2)/2)*CM195+(1-EXP(-LN(2)/2))/(LN(2)/2)*CG196*CJ196*VLOOKUP('Données projet'!$B$12,Paramètres!$A$1:$I$89,3,0)*0.475*44/12</f>
        <v>4.4505807246346134E-19</v>
      </c>
      <c r="CN196" s="22">
        <f t="shared" si="172"/>
        <v>4.0665381566494698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925.00000000000034</v>
      </c>
      <c r="CU196" s="17">
        <f>CT196*VLOOKUP('Données projet'!$B$13,Paramètres!$A$1:$I$89,3,0)*VLOOKUP('Données projet'!$B$13,Paramètres!$A$1:$I$89,5,0)</f>
        <v>408.85000000000014</v>
      </c>
      <c r="CV196" s="13">
        <f t="shared" si="173"/>
        <v>93.568575358321141</v>
      </c>
      <c r="CW196" s="20">
        <f t="shared" si="174"/>
        <v>875.04568541574281</v>
      </c>
      <c r="CX196" s="59">
        <f t="shared" ref="CX196:CX203" si="196">CW196+(CO196+CP196)*44/12</f>
        <v>1168.3790187490761</v>
      </c>
      <c r="CY196" s="59">
        <f ca="1">AVERAGE(OFFSET($CX$3,0,0,'Données projet'!$E$13+1,1))-AVERAGE(OFFSET($H$3,0,0,'Données projet'!$E$13+1,1))</f>
        <v>500.13646131618248</v>
      </c>
      <c r="CZ196" s="59">
        <f t="shared" si="150"/>
        <v>417.58036817539306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7.295998076652114</v>
      </c>
      <c r="DG196" s="21">
        <f>EXP(-LN(2)/25)*DG195+(1-EXP(-LN(2)/25))/(LN(2)/25)*Calculateur!DB196*Calculateur!DD196*VLOOKUP('Données projet'!$B$13,Paramètres!$A$1:$I$89,3,0)*0.475*44/12</f>
        <v>1.2782296570014791</v>
      </c>
      <c r="DH196" s="21">
        <f>EXP(-LN(2)/2)*DH195+(1-EXP(-LN(2)/2))/(LN(2)/2)*DB196*DE196*VLOOKUP('Données projet'!$B$13,Paramètres!$A$1:$I$89,3,0)*0.475*44/12</f>
        <v>2.4068330168256063E-17</v>
      </c>
      <c r="DI196" s="22">
        <f t="shared" si="175"/>
        <v>8.5742277336535935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268.00000000000011</v>
      </c>
      <c r="O197" s="13">
        <f>N197*VLOOKUP('Données projet'!$B$9,Paramètres!$A$1:$I$89,3,0)*VLOOKUP('Données projet'!$B$9,Paramètres!$A$1:$I$89,5,0)</f>
        <v>242.48640000000009</v>
      </c>
      <c r="P197" s="13">
        <f t="shared" ref="P197:P203" si="203">EXP(-1.0587+0.8836*LN(O197)+0.284)</f>
        <v>58.974170235372476</v>
      </c>
      <c r="Q197" s="20">
        <f t="shared" si="162"/>
        <v>525.04382649327385</v>
      </c>
      <c r="R197" s="59">
        <f t="shared" si="191"/>
        <v>818.37715982660711</v>
      </c>
      <c r="S197" s="59">
        <f ca="1">AVERAGE(OFFSET($R$3,0,0,'Données projet'!$E$9+1,1))-AVERAGE(OFFSET($H$3,0,0,'Données projet'!$E$9+1,1))</f>
        <v>371.7282125501186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13.475366638483001</v>
      </c>
      <c r="AA197" s="21">
        <f>EXP(-LN(2)/25)*AA196+(1-EXP(-LN(2)/25))/(LN(2)/25)*Calculateur!V197*Calculateur!X197*VLOOKUP('Données projet'!$B$9,Paramètres!$A$1:$I$89,3,0)*0.475*44/12</f>
        <v>0.31785984917564397</v>
      </c>
      <c r="AB197" s="21">
        <f>EXP(-LN(2)/2)*AB196+(1-EXP(-LN(2)/2))/(LN(2)/2)*V197*Y197*VLOOKUP('Données projet'!$B$9,Paramètres!$A$1:$I$89,3,0)*0.475*44/12</f>
        <v>7.7933781043277716E-12</v>
      </c>
      <c r="AC197" s="22">
        <f t="shared" si="163"/>
        <v>13.793226487666438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305.00000000000017</v>
      </c>
      <c r="AJ197" s="13">
        <f>AI197*VLOOKUP('Données projet'!$B$10,Paramètres!$A$1:$I$89,3,0)*VLOOKUP('Données projet'!$B$10,Paramètres!$A$1:$I$89,5,0)</f>
        <v>204.59400000000011</v>
      </c>
      <c r="AK197" s="13">
        <f t="shared" si="164"/>
        <v>50.75245156043249</v>
      </c>
      <c r="AL197" s="20">
        <f t="shared" si="165"/>
        <v>444.72840313442015</v>
      </c>
      <c r="AM197" s="59">
        <f t="shared" si="193"/>
        <v>738.06173646775346</v>
      </c>
      <c r="AN197" s="59">
        <f ca="1">AVERAGE(OFFSET($AM$3,0,0,'Données projet'!$E$10+1,1))-AVERAGE(OFFSET($H$3,0,0,'Données projet'!$E$10+1,1))</f>
        <v>269.67260882504996</v>
      </c>
      <c r="AO197" s="59">
        <f t="shared" ref="AO197:AO203" si="205">$AO$3</f>
        <v>272.13858200810074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3.0686801920553908</v>
      </c>
      <c r="AV197" s="21">
        <f>EXP(-LN(2)/25)*AV196+(1-EXP(-LN(2)/25))/(LN(2)/25)*Calculateur!AQ197*Calculateur!AS197*VLOOKUP('Données projet'!$B$10,Paramètres!$A$1:$I$89,3,0)*0.475*44/12</f>
        <v>7.0760666904706976E-2</v>
      </c>
      <c r="AW197" s="21">
        <f>EXP(-LN(2)/2)*AW196+(1-EXP(-LN(2)/2))/(LN(2)/2)*AQ197*AT197*VLOOKUP('Données projet'!$B$10,Paramètres!$A$1:$I$89,3,0)*0.475*44/12</f>
        <v>1.9188747535855605E-19</v>
      </c>
      <c r="AX197" s="21">
        <f t="shared" si="166"/>
        <v>3.1394408589600977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453.99999999999977</v>
      </c>
      <c r="BE197" s="13">
        <f>BD197*VLOOKUP('Données projet'!$B$11,Paramètres!$A$1:$I$89,3,0)*VLOOKUP('Données projet'!$B$11,Paramètres!$A$1:$I$89,5,0)</f>
        <v>253.78599999999986</v>
      </c>
      <c r="BF197" s="13">
        <f t="shared" si="167"/>
        <v>61.395945216950906</v>
      </c>
      <c r="BG197" s="20">
        <f t="shared" si="168"/>
        <v>548.94188791952263</v>
      </c>
      <c r="BH197" s="59">
        <f t="shared" si="194"/>
        <v>842.275221252856</v>
      </c>
      <c r="BI197" s="59">
        <f ca="1">AVERAGE(OFFSET($BH$3,0,0,'Données projet'!$E$11+1,1))-AVERAGE(OFFSET($H$3,0,0,'Données projet'!$E$11+1,1))</f>
        <v>330.33728077846268</v>
      </c>
      <c r="BJ197" s="59">
        <f t="shared" ref="BJ197:BJ203" si="206">$BJ$3</f>
        <v>358.38872754175208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4.2141931750484805</v>
      </c>
      <c r="BQ197" s="21">
        <f>EXP(-LN(2)/25)*BQ196+(1-EXP(-LN(2)/25))/(LN(2)/25)*Calculateur!BL197*Calculateur!BN197*VLOOKUP('Données projet'!$B$11,Paramètres!$A$1:$I$89,3,0)*0.475*44/12</f>
        <v>0.79970308984232785</v>
      </c>
      <c r="BR197" s="21">
        <f>EXP(-LN(2)/2)*BR196+(1-EXP(-LN(2)/2))/(LN(2)/2)*BL197*BO197*VLOOKUP('Données projet'!$B$11,Paramètres!$A$1:$I$89,3,0)*0.475*44/12</f>
        <v>3.4627809794457204E-19</v>
      </c>
      <c r="BS197" s="22">
        <f t="shared" si="169"/>
        <v>5.0138962648908088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290.99999999999994</v>
      </c>
      <c r="BZ197" s="13">
        <f>BY197*VLOOKUP('Données projet'!$B$12,Paramètres!$A$1:$I$89,3,0)*VLOOKUP('Données projet'!$B$12,Paramètres!$A$1:$I$89,5,0)</f>
        <v>276.91559999999993</v>
      </c>
      <c r="CA197" s="13">
        <f t="shared" si="170"/>
        <v>66.314766879144742</v>
      </c>
      <c r="CB197" s="20">
        <f t="shared" si="171"/>
        <v>597.79288898117682</v>
      </c>
      <c r="CC197" s="59">
        <f t="shared" si="195"/>
        <v>891.12622231451019</v>
      </c>
      <c r="CD197" s="59">
        <f ca="1">AVERAGE(OFFSET($CC$3,0,0,'Données projet'!$E$12+1,1))-AVERAGE(OFFSET($H$3,0,0,'Données projet'!$E$12+1,1))</f>
        <v>367.39143258674738</v>
      </c>
      <c r="CE197" s="59">
        <f t="shared" ref="CE197:CE203" si="207">$CE$3</f>
        <v>376.02790658970292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3.8981613896176799</v>
      </c>
      <c r="CL197" s="21">
        <f>EXP(-LN(2)/25)*CL196+(1-EXP(-LN(2)/25))/(LN(2)/25)*Calculateur!CG197*Calculateur!CI197*VLOOKUP('Données projet'!$B$12,Paramètres!$A$1:$I$89,3,0)*0.475*44/12</f>
        <v>8.7935074027656393E-2</v>
      </c>
      <c r="CM197" s="21">
        <f>EXP(-LN(2)/2)*CM196+(1-EXP(-LN(2)/2))/(LN(2)/2)*CG197*CJ197*VLOOKUP('Données projet'!$B$12,Paramètres!$A$1:$I$89,3,0)*0.475*44/12</f>
        <v>3.1470358106072738E-19</v>
      </c>
      <c r="CN197" s="22">
        <f t="shared" si="172"/>
        <v>3.9860964636453362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925.00000000000034</v>
      </c>
      <c r="CU197" s="17">
        <f>CT197*VLOOKUP('Données projet'!$B$13,Paramètres!$A$1:$I$89,3,0)*VLOOKUP('Données projet'!$B$13,Paramètres!$A$1:$I$89,5,0)</f>
        <v>408.85000000000014</v>
      </c>
      <c r="CV197" s="13">
        <f t="shared" si="173"/>
        <v>93.568575358321141</v>
      </c>
      <c r="CW197" s="20">
        <f t="shared" si="174"/>
        <v>875.04568541574281</v>
      </c>
      <c r="CX197" s="59">
        <f t="shared" si="196"/>
        <v>1168.3790187490761</v>
      </c>
      <c r="CY197" s="59">
        <f ca="1">AVERAGE(OFFSET($CX$3,0,0,'Données projet'!$E$13+1,1))-AVERAGE(OFFSET($H$3,0,0,'Données projet'!$E$13+1,1))</f>
        <v>500.13646131618248</v>
      </c>
      <c r="CZ197" s="59">
        <f t="shared" ref="CZ197:CZ203" si="208">$CZ$3</f>
        <v>417.58036817539306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7.1529280044883796</v>
      </c>
      <c r="DG197" s="21">
        <f>EXP(-LN(2)/25)*DG196+(1-EXP(-LN(2)/25))/(LN(2)/25)*Calculateur!DB197*Calculateur!DD197*VLOOKUP('Données projet'!$B$13,Paramètres!$A$1:$I$89,3,0)*0.475*44/12</f>
        <v>1.2432763998115974</v>
      </c>
      <c r="DH197" s="21">
        <f>EXP(-LN(2)/2)*DH196+(1-EXP(-LN(2)/2))/(LN(2)/2)*DB197*DE197*VLOOKUP('Données projet'!$B$13,Paramètres!$A$1:$I$89,3,0)*0.475*44/12</f>
        <v>1.701887947381062E-17</v>
      </c>
      <c r="DI197" s="22">
        <f t="shared" si="175"/>
        <v>8.3962044042999775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268.00000000000011</v>
      </c>
      <c r="O198" s="13">
        <f>N198*VLOOKUP('Données projet'!$B$9,Paramètres!$A$1:$I$89,3,0)*VLOOKUP('Données projet'!$B$9,Paramètres!$A$1:$I$89,5,0)</f>
        <v>242.48640000000009</v>
      </c>
      <c r="P198" s="13">
        <f t="shared" si="203"/>
        <v>58.974170235372476</v>
      </c>
      <c r="Q198" s="20">
        <f t="shared" si="162"/>
        <v>525.04382649327385</v>
      </c>
      <c r="R198" s="59">
        <f t="shared" si="191"/>
        <v>818.37715982660711</v>
      </c>
      <c r="S198" s="59">
        <f ca="1">AVERAGE(OFFSET($R$3,0,0,'Données projet'!$E$9+1,1))-AVERAGE(OFFSET($H$3,0,0,'Données projet'!$E$9+1,1))</f>
        <v>371.7282125501186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13.211122917864424</v>
      </c>
      <c r="AA198" s="21">
        <f>EXP(-LN(2)/25)*AA197+(1-EXP(-LN(2)/25))/(LN(2)/25)*Calculateur!V198*Calculateur!X198*VLOOKUP('Données projet'!$B$9,Paramètres!$A$1:$I$89,3,0)*0.475*44/12</f>
        <v>0.30916795488441301</v>
      </c>
      <c r="AB198" s="21">
        <f>EXP(-LN(2)/2)*AB197+(1-EXP(-LN(2)/2))/(LN(2)/2)*V198*Y198*VLOOKUP('Données projet'!$B$9,Paramètres!$A$1:$I$89,3,0)*0.475*44/12</f>
        <v>5.5107505059209281E-12</v>
      </c>
      <c r="AC198" s="22">
        <f t="shared" si="163"/>
        <v>13.520290872754348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305.00000000000017</v>
      </c>
      <c r="AJ198" s="13">
        <f>AI198*VLOOKUP('Données projet'!$B$10,Paramètres!$A$1:$I$89,3,0)*VLOOKUP('Données projet'!$B$10,Paramètres!$A$1:$I$89,5,0)</f>
        <v>204.59400000000011</v>
      </c>
      <c r="AK198" s="13">
        <f t="shared" si="164"/>
        <v>50.75245156043249</v>
      </c>
      <c r="AL198" s="20">
        <f t="shared" si="165"/>
        <v>444.72840313442015</v>
      </c>
      <c r="AM198" s="59">
        <f t="shared" si="193"/>
        <v>738.06173646775346</v>
      </c>
      <c r="AN198" s="59">
        <f ca="1">AVERAGE(OFFSET($AM$3,0,0,'Données projet'!$E$10+1,1))-AVERAGE(OFFSET($H$3,0,0,'Données projet'!$E$10+1,1))</f>
        <v>269.67260882504996</v>
      </c>
      <c r="AO198" s="59">
        <f t="shared" si="205"/>
        <v>272.13858200810074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3.0085052451992857</v>
      </c>
      <c r="AV198" s="21">
        <f>EXP(-LN(2)/25)*AV197+(1-EXP(-LN(2)/25))/(LN(2)/25)*Calculateur!AQ198*Calculateur!AS198*VLOOKUP('Données projet'!$B$10,Paramètres!$A$1:$I$89,3,0)*0.475*44/12</f>
        <v>6.8825712747056011E-2</v>
      </c>
      <c r="AW198" s="21">
        <f>EXP(-LN(2)/2)*AW197+(1-EXP(-LN(2)/2))/(LN(2)/2)*AQ198*AT198*VLOOKUP('Données projet'!$B$10,Paramètres!$A$1:$I$89,3,0)*0.475*44/12</f>
        <v>1.3568493505080152E-19</v>
      </c>
      <c r="AX198" s="21">
        <f t="shared" si="166"/>
        <v>3.0773309579463417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453.99999999999977</v>
      </c>
      <c r="BE198" s="13">
        <f>BD198*VLOOKUP('Données projet'!$B$11,Paramètres!$A$1:$I$89,3,0)*VLOOKUP('Données projet'!$B$11,Paramètres!$A$1:$I$89,5,0)</f>
        <v>253.78599999999986</v>
      </c>
      <c r="BF198" s="13">
        <f t="shared" si="167"/>
        <v>61.395945216950906</v>
      </c>
      <c r="BG198" s="20">
        <f t="shared" si="168"/>
        <v>548.94188791952263</v>
      </c>
      <c r="BH198" s="59">
        <f t="shared" si="194"/>
        <v>842.275221252856</v>
      </c>
      <c r="BI198" s="59">
        <f ca="1">AVERAGE(OFFSET($BH$3,0,0,'Données projet'!$E$11+1,1))-AVERAGE(OFFSET($H$3,0,0,'Données projet'!$E$11+1,1))</f>
        <v>330.33728077846268</v>
      </c>
      <c r="BJ198" s="59">
        <f t="shared" si="206"/>
        <v>358.38872754175208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4.1315554172898104</v>
      </c>
      <c r="BQ198" s="21">
        <f>EXP(-LN(2)/25)*BQ197+(1-EXP(-LN(2)/25))/(LN(2)/25)*Calculateur!BL198*Calculateur!BN198*VLOOKUP('Données projet'!$B$11,Paramètres!$A$1:$I$89,3,0)*0.475*44/12</f>
        <v>0.7778351667960316</v>
      </c>
      <c r="BR198" s="21">
        <f>EXP(-LN(2)/2)*BR197+(1-EXP(-LN(2)/2))/(LN(2)/2)*BL198*BO198*VLOOKUP('Données projet'!$B$11,Paramètres!$A$1:$I$89,3,0)*0.475*44/12</f>
        <v>2.4485559123298637E-19</v>
      </c>
      <c r="BS198" s="22">
        <f t="shared" si="169"/>
        <v>4.9093905840858421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290.99999999999994</v>
      </c>
      <c r="BZ198" s="13">
        <f>BY198*VLOOKUP('Données projet'!$B$12,Paramètres!$A$1:$I$89,3,0)*VLOOKUP('Données projet'!$B$12,Paramètres!$A$1:$I$89,5,0)</f>
        <v>276.91559999999993</v>
      </c>
      <c r="CA198" s="13">
        <f t="shared" si="170"/>
        <v>66.314766879144742</v>
      </c>
      <c r="CB198" s="20">
        <f t="shared" si="171"/>
        <v>597.79288898117682</v>
      </c>
      <c r="CC198" s="59">
        <f t="shared" si="195"/>
        <v>891.12622231451019</v>
      </c>
      <c r="CD198" s="59">
        <f ca="1">AVERAGE(OFFSET($CC$3,0,0,'Données projet'!$E$12+1,1))-AVERAGE(OFFSET($H$3,0,0,'Données projet'!$E$12+1,1))</f>
        <v>367.39143258674738</v>
      </c>
      <c r="CE198" s="59">
        <f t="shared" si="207"/>
        <v>376.02790658970292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3.8217208224109522</v>
      </c>
      <c r="CL198" s="21">
        <f>EXP(-LN(2)/25)*CL197+(1-EXP(-LN(2)/25))/(LN(2)/25)*Calculateur!CG198*Calculateur!CI198*VLOOKUP('Données projet'!$B$12,Paramètres!$A$1:$I$89,3,0)*0.475*44/12</f>
        <v>8.5530484804065568E-2</v>
      </c>
      <c r="CM198" s="21">
        <f>EXP(-LN(2)/2)*CM197+(1-EXP(-LN(2)/2))/(LN(2)/2)*CG198*CJ198*VLOOKUP('Données projet'!$B$12,Paramètres!$A$1:$I$89,3,0)*0.475*44/12</f>
        <v>2.2252903623173067E-19</v>
      </c>
      <c r="CN198" s="22">
        <f t="shared" si="172"/>
        <v>3.9072513072150179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925.00000000000034</v>
      </c>
      <c r="CU198" s="17">
        <f>CT198*VLOOKUP('Données projet'!$B$13,Paramètres!$A$1:$I$89,3,0)*VLOOKUP('Données projet'!$B$13,Paramètres!$A$1:$I$89,5,0)</f>
        <v>408.85000000000014</v>
      </c>
      <c r="CV198" s="13">
        <f t="shared" si="173"/>
        <v>93.568575358321141</v>
      </c>
      <c r="CW198" s="20">
        <f t="shared" si="174"/>
        <v>875.04568541574281</v>
      </c>
      <c r="CX198" s="59">
        <f t="shared" si="196"/>
        <v>1168.3790187490761</v>
      </c>
      <c r="CY198" s="59">
        <f ca="1">AVERAGE(OFFSET($CX$3,0,0,'Données projet'!$E$13+1,1))-AVERAGE(OFFSET($H$3,0,0,'Données projet'!$E$13+1,1))</f>
        <v>500.13646131618248</v>
      </c>
      <c r="CZ198" s="59">
        <f t="shared" si="208"/>
        <v>417.58036817539306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7.0126634491756494</v>
      </c>
      <c r="DG198" s="21">
        <f>EXP(-LN(2)/25)*DG197+(1-EXP(-LN(2)/25))/(LN(2)/25)*Calculateur!DB198*Calculateur!DD198*VLOOKUP('Données projet'!$B$13,Paramètres!$A$1:$I$89,3,0)*0.475*44/12</f>
        <v>1.209278941277685</v>
      </c>
      <c r="DH198" s="21">
        <f>EXP(-LN(2)/2)*DH197+(1-EXP(-LN(2)/2))/(LN(2)/2)*DB198*DE198*VLOOKUP('Données projet'!$B$13,Paramètres!$A$1:$I$89,3,0)*0.475*44/12</f>
        <v>1.2034165084128032E-17</v>
      </c>
      <c r="DI198" s="22">
        <f t="shared" si="175"/>
        <v>8.221942390453334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268.00000000000011</v>
      </c>
      <c r="O199" s="13">
        <f>N199*VLOOKUP('Données projet'!$B$9,Paramètres!$A$1:$I$89,3,0)*VLOOKUP('Données projet'!$B$9,Paramètres!$A$1:$I$89,5,0)</f>
        <v>242.48640000000009</v>
      </c>
      <c r="P199" s="13">
        <f t="shared" si="203"/>
        <v>58.974170235372476</v>
      </c>
      <c r="Q199" s="20">
        <f t="shared" si="162"/>
        <v>525.04382649327385</v>
      </c>
      <c r="R199" s="59">
        <f t="shared" si="191"/>
        <v>818.37715982660711</v>
      </c>
      <c r="S199" s="59">
        <f ca="1">AVERAGE(OFFSET($R$3,0,0,'Données projet'!$E$9+1,1))-AVERAGE(OFFSET($H$3,0,0,'Données projet'!$E$9+1,1))</f>
        <v>371.7282125501186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12.952060855434421</v>
      </c>
      <c r="AA199" s="21">
        <f>EXP(-LN(2)/25)*AA198+(1-EXP(-LN(2)/25))/(LN(2)/25)*Calculateur!V199*Calculateur!X199*VLOOKUP('Données projet'!$B$9,Paramètres!$A$1:$I$89,3,0)*0.475*44/12</f>
        <v>0.30071374089966263</v>
      </c>
      <c r="AB199" s="21">
        <f>EXP(-LN(2)/2)*AB198+(1-EXP(-LN(2)/2))/(LN(2)/2)*V199*Y199*VLOOKUP('Données projet'!$B$9,Paramètres!$A$1:$I$89,3,0)*0.475*44/12</f>
        <v>3.8966890521638858E-12</v>
      </c>
      <c r="AC199" s="22">
        <f t="shared" si="163"/>
        <v>13.252774596337982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305.00000000000017</v>
      </c>
      <c r="AJ199" s="13">
        <f>AI199*VLOOKUP('Données projet'!$B$10,Paramètres!$A$1:$I$89,3,0)*VLOOKUP('Données projet'!$B$10,Paramètres!$A$1:$I$89,5,0)</f>
        <v>204.59400000000011</v>
      </c>
      <c r="AK199" s="13">
        <f t="shared" si="164"/>
        <v>50.75245156043249</v>
      </c>
      <c r="AL199" s="20">
        <f t="shared" si="165"/>
        <v>444.72840313442015</v>
      </c>
      <c r="AM199" s="59">
        <f t="shared" si="193"/>
        <v>738.06173646775346</v>
      </c>
      <c r="AN199" s="59">
        <f ca="1">AVERAGE(OFFSET($AM$3,0,0,'Données projet'!$E$10+1,1))-AVERAGE(OFFSET($H$3,0,0,'Données projet'!$E$10+1,1))</f>
        <v>269.67260882504996</v>
      </c>
      <c r="AO199" s="59">
        <f t="shared" si="205"/>
        <v>272.13858200810074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2.9495102923479353</v>
      </c>
      <c r="AV199" s="21">
        <f>EXP(-LN(2)/25)*AV198+(1-EXP(-LN(2)/25))/(LN(2)/25)*Calculateur!AQ199*Calculateur!AS199*VLOOKUP('Données projet'!$B$10,Paramètres!$A$1:$I$89,3,0)*0.475*44/12</f>
        <v>6.6943670012600834E-2</v>
      </c>
      <c r="AW199" s="21">
        <f>EXP(-LN(2)/2)*AW198+(1-EXP(-LN(2)/2))/(LN(2)/2)*AQ199*AT199*VLOOKUP('Données projet'!$B$10,Paramètres!$A$1:$I$89,3,0)*0.475*44/12</f>
        <v>9.5943737679278027E-20</v>
      </c>
      <c r="AX199" s="21">
        <f t="shared" si="166"/>
        <v>3.016453962360536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453.99999999999977</v>
      </c>
      <c r="BE199" s="13">
        <f>BD199*VLOOKUP('Données projet'!$B$11,Paramètres!$A$1:$I$89,3,0)*VLOOKUP('Données projet'!$B$11,Paramètres!$A$1:$I$89,5,0)</f>
        <v>253.78599999999986</v>
      </c>
      <c r="BF199" s="13">
        <f t="shared" si="167"/>
        <v>61.395945216950906</v>
      </c>
      <c r="BG199" s="20">
        <f t="shared" si="168"/>
        <v>548.94188791952263</v>
      </c>
      <c r="BH199" s="59">
        <f t="shared" si="194"/>
        <v>842.275221252856</v>
      </c>
      <c r="BI199" s="59">
        <f ca="1">AVERAGE(OFFSET($BH$3,0,0,'Données projet'!$E$11+1,1))-AVERAGE(OFFSET($H$3,0,0,'Données projet'!$E$11+1,1))</f>
        <v>330.33728077846268</v>
      </c>
      <c r="BJ199" s="59">
        <f t="shared" si="206"/>
        <v>358.38872754175208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4.0505381355567325</v>
      </c>
      <c r="BQ199" s="21">
        <f>EXP(-LN(2)/25)*BQ198+(1-EXP(-LN(2)/25))/(LN(2)/25)*Calculateur!BL199*Calculateur!BN199*VLOOKUP('Données projet'!$B$11,Paramètres!$A$1:$I$89,3,0)*0.475*44/12</f>
        <v>0.75656522325542042</v>
      </c>
      <c r="BR199" s="21">
        <f>EXP(-LN(2)/2)*BR198+(1-EXP(-LN(2)/2))/(LN(2)/2)*BL199*BO199*VLOOKUP('Données projet'!$B$11,Paramètres!$A$1:$I$89,3,0)*0.475*44/12</f>
        <v>1.7313904897228602E-19</v>
      </c>
      <c r="BS199" s="22">
        <f t="shared" si="169"/>
        <v>4.807103358812153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290.99999999999994</v>
      </c>
      <c r="BZ199" s="13">
        <f>BY199*VLOOKUP('Données projet'!$B$12,Paramètres!$A$1:$I$89,3,0)*VLOOKUP('Données projet'!$B$12,Paramètres!$A$1:$I$89,5,0)</f>
        <v>276.91559999999993</v>
      </c>
      <c r="CA199" s="13">
        <f t="shared" si="170"/>
        <v>66.314766879144742</v>
      </c>
      <c r="CB199" s="20">
        <f t="shared" si="171"/>
        <v>597.79288898117682</v>
      </c>
      <c r="CC199" s="59">
        <f t="shared" si="195"/>
        <v>891.12622231451019</v>
      </c>
      <c r="CD199" s="59">
        <f ca="1">AVERAGE(OFFSET($CC$3,0,0,'Données projet'!$E$12+1,1))-AVERAGE(OFFSET($H$3,0,0,'Données projet'!$E$12+1,1))</f>
        <v>367.39143258674738</v>
      </c>
      <c r="CE199" s="59">
        <f t="shared" si="207"/>
        <v>376.02790658970292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3.746779208103006</v>
      </c>
      <c r="CL199" s="21">
        <f>EXP(-LN(2)/25)*CL198+(1-EXP(-LN(2)/25))/(LN(2)/25)*Calculateur!CG199*Calculateur!CI199*VLOOKUP('Données projet'!$B$12,Paramètres!$A$1:$I$89,3,0)*0.475*44/12</f>
        <v>8.3191649199245682E-2</v>
      </c>
      <c r="CM199" s="21">
        <f>EXP(-LN(2)/2)*CM198+(1-EXP(-LN(2)/2))/(LN(2)/2)*CG199*CJ199*VLOOKUP('Données projet'!$B$12,Paramètres!$A$1:$I$89,3,0)*0.475*44/12</f>
        <v>1.5735179053036369E-19</v>
      </c>
      <c r="CN199" s="22">
        <f t="shared" si="172"/>
        <v>3.8299708573022517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925.00000000000034</v>
      </c>
      <c r="CU199" s="17">
        <f>CT199*VLOOKUP('Données projet'!$B$13,Paramètres!$A$1:$I$89,3,0)*VLOOKUP('Données projet'!$B$13,Paramètres!$A$1:$I$89,5,0)</f>
        <v>408.85000000000014</v>
      </c>
      <c r="CV199" s="13">
        <f t="shared" si="173"/>
        <v>93.568575358321141</v>
      </c>
      <c r="CW199" s="20">
        <f t="shared" si="174"/>
        <v>875.04568541574281</v>
      </c>
      <c r="CX199" s="59">
        <f t="shared" si="196"/>
        <v>1168.3790187490761</v>
      </c>
      <c r="CY199" s="59">
        <f ca="1">AVERAGE(OFFSET($CX$3,0,0,'Données projet'!$E$13+1,1))-AVERAGE(OFFSET($H$3,0,0,'Données projet'!$E$13+1,1))</f>
        <v>500.13646131618248</v>
      </c>
      <c r="CZ199" s="59">
        <f t="shared" si="208"/>
        <v>417.58036817539306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6.8751493962396708</v>
      </c>
      <c r="DG199" s="21">
        <f>EXP(-LN(2)/25)*DG198+(1-EXP(-LN(2)/25))/(LN(2)/25)*Calculateur!DB199*Calculateur!DD199*VLOOKUP('Données projet'!$B$13,Paramètres!$A$1:$I$89,3,0)*0.475*44/12</f>
        <v>1.1762111450352311</v>
      </c>
      <c r="DH199" s="21">
        <f>EXP(-LN(2)/2)*DH198+(1-EXP(-LN(2)/2))/(LN(2)/2)*DB199*DE199*VLOOKUP('Données projet'!$B$13,Paramètres!$A$1:$I$89,3,0)*0.475*44/12</f>
        <v>8.5094397369053101E-18</v>
      </c>
      <c r="DI199" s="22">
        <f t="shared" si="175"/>
        <v>8.0513605412749012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268.00000000000011</v>
      </c>
      <c r="O200" s="13">
        <f>N200*VLOOKUP('Données projet'!$B$9,Paramètres!$A$1:$I$89,3,0)*VLOOKUP('Données projet'!$B$9,Paramètres!$A$1:$I$89,5,0)</f>
        <v>242.48640000000009</v>
      </c>
      <c r="P200" s="13">
        <f t="shared" si="203"/>
        <v>58.974170235372476</v>
      </c>
      <c r="Q200" s="20">
        <f t="shared" si="162"/>
        <v>525.04382649327385</v>
      </c>
      <c r="R200" s="59">
        <f t="shared" si="191"/>
        <v>818.37715982660711</v>
      </c>
      <c r="S200" s="59">
        <f ca="1">AVERAGE(OFFSET($R$3,0,0,'Données projet'!$E$9+1,1))-AVERAGE(OFFSET($H$3,0,0,'Données projet'!$E$9+1,1))</f>
        <v>371.7282125501186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12.698078842036416</v>
      </c>
      <c r="AA200" s="21">
        <f>EXP(-LN(2)/25)*AA199+(1-EXP(-LN(2)/25))/(LN(2)/25)*Calculateur!V200*Calculateur!X200*VLOOKUP('Données projet'!$B$9,Paramètres!$A$1:$I$89,3,0)*0.475*44/12</f>
        <v>0.29249070784091302</v>
      </c>
      <c r="AB200" s="21">
        <f>EXP(-LN(2)/2)*AB199+(1-EXP(-LN(2)/2))/(LN(2)/2)*V200*Y200*VLOOKUP('Données projet'!$B$9,Paramètres!$A$1:$I$89,3,0)*0.475*44/12</f>
        <v>2.7553752529604641E-12</v>
      </c>
      <c r="AC200" s="22">
        <f t="shared" si="163"/>
        <v>12.990569549880085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305.00000000000017</v>
      </c>
      <c r="AJ200" s="13">
        <f>AI200*VLOOKUP('Données projet'!$B$10,Paramètres!$A$1:$I$89,3,0)*VLOOKUP('Données projet'!$B$10,Paramètres!$A$1:$I$89,5,0)</f>
        <v>204.59400000000011</v>
      </c>
      <c r="AK200" s="13">
        <f t="shared" si="164"/>
        <v>50.75245156043249</v>
      </c>
      <c r="AL200" s="20">
        <f t="shared" si="165"/>
        <v>444.72840313442015</v>
      </c>
      <c r="AM200" s="59">
        <f t="shared" si="193"/>
        <v>738.06173646775346</v>
      </c>
      <c r="AN200" s="59">
        <f ca="1">AVERAGE(OFFSET($AM$3,0,0,'Données projet'!$E$10+1,1))-AVERAGE(OFFSET($H$3,0,0,'Données projet'!$E$10+1,1))</f>
        <v>269.67260882504996</v>
      </c>
      <c r="AO200" s="59">
        <f t="shared" si="205"/>
        <v>272.13858200810074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2.8916721945386317</v>
      </c>
      <c r="AV200" s="21">
        <f>EXP(-LN(2)/25)*AV199+(1-EXP(-LN(2)/25))/(LN(2)/25)*Calculateur!AQ200*Calculateur!AS200*VLOOKUP('Données projet'!$B$10,Paramètres!$A$1:$I$89,3,0)*0.475*44/12</f>
        <v>6.5113091835691667E-2</v>
      </c>
      <c r="AW200" s="21">
        <f>EXP(-LN(2)/2)*AW199+(1-EXP(-LN(2)/2))/(LN(2)/2)*AQ200*AT200*VLOOKUP('Données projet'!$B$10,Paramètres!$A$1:$I$89,3,0)*0.475*44/12</f>
        <v>6.7842467525400762E-20</v>
      </c>
      <c r="AX200" s="21">
        <f t="shared" si="166"/>
        <v>2.9567852863743234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453.99999999999977</v>
      </c>
      <c r="BE200" s="13">
        <f>BD200*VLOOKUP('Données projet'!$B$11,Paramètres!$A$1:$I$89,3,0)*VLOOKUP('Données projet'!$B$11,Paramètres!$A$1:$I$89,5,0)</f>
        <v>253.78599999999986</v>
      </c>
      <c r="BF200" s="13">
        <f t="shared" si="167"/>
        <v>61.395945216950906</v>
      </c>
      <c r="BG200" s="20">
        <f t="shared" si="168"/>
        <v>548.94188791952263</v>
      </c>
      <c r="BH200" s="59">
        <f t="shared" si="194"/>
        <v>842.275221252856</v>
      </c>
      <c r="BI200" s="59">
        <f ca="1">AVERAGE(OFFSET($BH$3,0,0,'Données projet'!$E$11+1,1))-AVERAGE(OFFSET($H$3,0,0,'Données projet'!$E$11+1,1))</f>
        <v>330.33728077846268</v>
      </c>
      <c r="BJ200" s="59">
        <f t="shared" si="206"/>
        <v>358.38872754175208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3.9711095533027776</v>
      </c>
      <c r="BQ200" s="21">
        <f>EXP(-LN(2)/25)*BQ199+(1-EXP(-LN(2)/25))/(LN(2)/25)*Calculateur!BL200*Calculateur!BN200*VLOOKUP('Données projet'!$B$11,Paramètres!$A$1:$I$89,3,0)*0.475*44/12</f>
        <v>0.73587690743946499</v>
      </c>
      <c r="BR200" s="21">
        <f>EXP(-LN(2)/2)*BR199+(1-EXP(-LN(2)/2))/(LN(2)/2)*BL200*BO200*VLOOKUP('Données projet'!$B$11,Paramètres!$A$1:$I$89,3,0)*0.475*44/12</f>
        <v>1.2242779561649318E-19</v>
      </c>
      <c r="BS200" s="22">
        <f t="shared" si="169"/>
        <v>4.7069864607422423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290.99999999999994</v>
      </c>
      <c r="BZ200" s="13">
        <f>BY200*VLOOKUP('Données projet'!$B$12,Paramètres!$A$1:$I$89,3,0)*VLOOKUP('Données projet'!$B$12,Paramètres!$A$1:$I$89,5,0)</f>
        <v>276.91559999999993</v>
      </c>
      <c r="CA200" s="13">
        <f t="shared" si="170"/>
        <v>66.314766879144742</v>
      </c>
      <c r="CB200" s="20">
        <f t="shared" si="171"/>
        <v>597.79288898117682</v>
      </c>
      <c r="CC200" s="59">
        <f t="shared" si="195"/>
        <v>891.12622231451019</v>
      </c>
      <c r="CD200" s="59">
        <f ca="1">AVERAGE(OFFSET($CC$3,0,0,'Données projet'!$E$12+1,1))-AVERAGE(OFFSET($H$3,0,0,'Données projet'!$E$12+1,1))</f>
        <v>367.39143258674738</v>
      </c>
      <c r="CE200" s="59">
        <f t="shared" si="207"/>
        <v>376.02790658970292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3.6733071531417676</v>
      </c>
      <c r="CL200" s="21">
        <f>EXP(-LN(2)/25)*CL199+(1-EXP(-LN(2)/25))/(LN(2)/25)*Calculateur!CG200*Calculateur!CI200*VLOOKUP('Données projet'!$B$12,Paramètres!$A$1:$I$89,3,0)*0.475*44/12</f>
        <v>8.0916769177033609E-2</v>
      </c>
      <c r="CM200" s="21">
        <f>EXP(-LN(2)/2)*CM199+(1-EXP(-LN(2)/2))/(LN(2)/2)*CG200*CJ200*VLOOKUP('Données projet'!$B$12,Paramètres!$A$1:$I$89,3,0)*0.475*44/12</f>
        <v>1.1126451811586534E-19</v>
      </c>
      <c r="CN200" s="22">
        <f t="shared" si="172"/>
        <v>3.7542239223188014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925.00000000000034</v>
      </c>
      <c r="CU200" s="17">
        <f>CT200*VLOOKUP('Données projet'!$B$13,Paramètres!$A$1:$I$89,3,0)*VLOOKUP('Données projet'!$B$13,Paramètres!$A$1:$I$89,5,0)</f>
        <v>408.85000000000014</v>
      </c>
      <c r="CV200" s="13">
        <f t="shared" si="173"/>
        <v>93.568575358321141</v>
      </c>
      <c r="CW200" s="20">
        <f t="shared" si="174"/>
        <v>875.04568541574281</v>
      </c>
      <c r="CX200" s="59">
        <f t="shared" si="196"/>
        <v>1168.3790187490761</v>
      </c>
      <c r="CY200" s="59">
        <f ca="1">AVERAGE(OFFSET($CX$3,0,0,'Données projet'!$E$13+1,1))-AVERAGE(OFFSET($H$3,0,0,'Données projet'!$E$13+1,1))</f>
        <v>500.13646131618248</v>
      </c>
      <c r="CZ200" s="59">
        <f t="shared" si="208"/>
        <v>417.58036817539306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6.7403319100064758</v>
      </c>
      <c r="DG200" s="21">
        <f>EXP(-LN(2)/25)*DG199+(1-EXP(-LN(2)/25))/(LN(2)/25)*Calculateur!DB200*Calculateur!DD200*VLOOKUP('Données projet'!$B$13,Paramètres!$A$1:$I$89,3,0)*0.475*44/12</f>
        <v>1.1440475894199869</v>
      </c>
      <c r="DH200" s="21">
        <f>EXP(-LN(2)/2)*DH199+(1-EXP(-LN(2)/2))/(LN(2)/2)*DB200*DE200*VLOOKUP('Données projet'!$B$13,Paramètres!$A$1:$I$89,3,0)*0.475*44/12</f>
        <v>6.0170825420640158E-18</v>
      </c>
      <c r="DI200" s="22">
        <f t="shared" si="175"/>
        <v>7.8843794994264629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268.00000000000011</v>
      </c>
      <c r="O201" s="13">
        <f>N201*VLOOKUP('Données projet'!$B$9,Paramètres!$A$1:$I$89,3,0)*VLOOKUP('Données projet'!$B$9,Paramètres!$A$1:$I$89,5,0)</f>
        <v>242.48640000000009</v>
      </c>
      <c r="P201" s="13">
        <f t="shared" si="203"/>
        <v>58.974170235372476</v>
      </c>
      <c r="Q201" s="20">
        <f t="shared" si="162"/>
        <v>525.04382649327385</v>
      </c>
      <c r="R201" s="59">
        <f t="shared" si="191"/>
        <v>818.37715982660711</v>
      </c>
      <c r="S201" s="59">
        <f ca="1">AVERAGE(OFFSET($R$3,0,0,'Données projet'!$E$9+1,1))-AVERAGE(OFFSET($H$3,0,0,'Données projet'!$E$9+1,1))</f>
        <v>371.7282125501186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12.449077261007414</v>
      </c>
      <c r="AA201" s="21">
        <f>EXP(-LN(2)/25)*AA200+(1-EXP(-LN(2)/25))/(LN(2)/25)*Calculateur!V201*Calculateur!X201*VLOOKUP('Données projet'!$B$9,Paramètres!$A$1:$I$89,3,0)*0.475*44/12</f>
        <v>0.28449253405358543</v>
      </c>
      <c r="AB201" s="21">
        <f>EXP(-LN(2)/2)*AB200+(1-EXP(-LN(2)/2))/(LN(2)/2)*V201*Y201*VLOOKUP('Données projet'!$B$9,Paramètres!$A$1:$I$89,3,0)*0.475*44/12</f>
        <v>1.9483445260819429E-12</v>
      </c>
      <c r="AC201" s="22">
        <f t="shared" si="163"/>
        <v>12.733569795062948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305.00000000000017</v>
      </c>
      <c r="AJ201" s="13">
        <f>AI201*VLOOKUP('Données projet'!$B$10,Paramètres!$A$1:$I$89,3,0)*VLOOKUP('Données projet'!$B$10,Paramètres!$A$1:$I$89,5,0)</f>
        <v>204.59400000000011</v>
      </c>
      <c r="AK201" s="13">
        <f t="shared" si="164"/>
        <v>50.75245156043249</v>
      </c>
      <c r="AL201" s="20">
        <f t="shared" si="165"/>
        <v>444.72840313442015</v>
      </c>
      <c r="AM201" s="59">
        <f t="shared" si="193"/>
        <v>738.06173646775346</v>
      </c>
      <c r="AN201" s="59">
        <f ca="1">AVERAGE(OFFSET($AM$3,0,0,'Données projet'!$E$10+1,1))-AVERAGE(OFFSET($H$3,0,0,'Données projet'!$E$10+1,1))</f>
        <v>269.67260882504996</v>
      </c>
      <c r="AO201" s="59">
        <f t="shared" si="205"/>
        <v>272.13858200810074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2.8349682665496125</v>
      </c>
      <c r="AV201" s="21">
        <f>EXP(-LN(2)/25)*AV200+(1-EXP(-LN(2)/25))/(LN(2)/25)*Calculateur!AQ201*Calculateur!AS201*VLOOKUP('Données projet'!$B$10,Paramètres!$A$1:$I$89,3,0)*0.475*44/12</f>
        <v>6.3332570915295996E-2</v>
      </c>
      <c r="AW201" s="21">
        <f>EXP(-LN(2)/2)*AW200+(1-EXP(-LN(2)/2))/(LN(2)/2)*AQ201*AT201*VLOOKUP('Données projet'!$B$10,Paramètres!$A$1:$I$89,3,0)*0.475*44/12</f>
        <v>4.7971868839639014E-20</v>
      </c>
      <c r="AX201" s="21">
        <f t="shared" si="166"/>
        <v>2.8983008374649084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453.99999999999977</v>
      </c>
      <c r="BE201" s="13">
        <f>BD201*VLOOKUP('Données projet'!$B$11,Paramètres!$A$1:$I$89,3,0)*VLOOKUP('Données projet'!$B$11,Paramètres!$A$1:$I$89,5,0)</f>
        <v>253.78599999999986</v>
      </c>
      <c r="BF201" s="13">
        <f t="shared" si="167"/>
        <v>61.395945216950906</v>
      </c>
      <c r="BG201" s="20">
        <f t="shared" si="168"/>
        <v>548.94188791952263</v>
      </c>
      <c r="BH201" s="59">
        <f t="shared" si="194"/>
        <v>842.275221252856</v>
      </c>
      <c r="BI201" s="59">
        <f ca="1">AVERAGE(OFFSET($BH$3,0,0,'Données projet'!$E$11+1,1))-AVERAGE(OFFSET($H$3,0,0,'Données projet'!$E$11+1,1))</f>
        <v>330.33728077846268</v>
      </c>
      <c r="BJ201" s="59">
        <f t="shared" si="206"/>
        <v>358.38872754175208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3.8932385171001713</v>
      </c>
      <c r="BQ201" s="21">
        <f>EXP(-LN(2)/25)*BQ200+(1-EXP(-LN(2)/25))/(LN(2)/25)*Calculateur!BL201*Calculateur!BN201*VLOOKUP('Données projet'!$B$11,Paramètres!$A$1:$I$89,3,0)*0.475*44/12</f>
        <v>0.7157543147074481</v>
      </c>
      <c r="BR201" s="21">
        <f>EXP(-LN(2)/2)*BR200+(1-EXP(-LN(2)/2))/(LN(2)/2)*BL201*BO201*VLOOKUP('Données projet'!$B$11,Paramètres!$A$1:$I$89,3,0)*0.475*44/12</f>
        <v>8.656952448614301E-20</v>
      </c>
      <c r="BS201" s="22">
        <f t="shared" si="169"/>
        <v>4.608992831807619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290.99999999999994</v>
      </c>
      <c r="BZ201" s="13">
        <f>BY201*VLOOKUP('Données projet'!$B$12,Paramètres!$A$1:$I$89,3,0)*VLOOKUP('Données projet'!$B$12,Paramètres!$A$1:$I$89,5,0)</f>
        <v>276.91559999999993</v>
      </c>
      <c r="CA201" s="13">
        <f t="shared" si="170"/>
        <v>66.314766879144742</v>
      </c>
      <c r="CB201" s="20">
        <f t="shared" si="171"/>
        <v>597.79288898117682</v>
      </c>
      <c r="CC201" s="59">
        <f t="shared" si="195"/>
        <v>891.12622231451019</v>
      </c>
      <c r="CD201" s="59">
        <f ca="1">AVERAGE(OFFSET($CC$3,0,0,'Données projet'!$E$12+1,1))-AVERAGE(OFFSET($H$3,0,0,'Données projet'!$E$12+1,1))</f>
        <v>367.39143258674738</v>
      </c>
      <c r="CE201" s="59">
        <f t="shared" si="207"/>
        <v>376.02790658970292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3.6012758403647904</v>
      </c>
      <c r="CL201" s="21">
        <f>EXP(-LN(2)/25)*CL200+(1-EXP(-LN(2)/25))/(LN(2)/25)*Calculateur!CG201*Calculateur!CI201*VLOOKUP('Données projet'!$B$12,Paramètres!$A$1:$I$89,3,0)*0.475*44/12</f>
        <v>7.8704095868659674E-2</v>
      </c>
      <c r="CM201" s="21">
        <f>EXP(-LN(2)/2)*CM200+(1-EXP(-LN(2)/2))/(LN(2)/2)*CG201*CJ201*VLOOKUP('Données projet'!$B$12,Paramètres!$A$1:$I$89,3,0)*0.475*44/12</f>
        <v>7.8675895265181845E-20</v>
      </c>
      <c r="CN201" s="22">
        <f t="shared" si="172"/>
        <v>3.6799799362334502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925.00000000000034</v>
      </c>
      <c r="CU201" s="17">
        <f>CT201*VLOOKUP('Données projet'!$B$13,Paramètres!$A$1:$I$89,3,0)*VLOOKUP('Données projet'!$B$13,Paramètres!$A$1:$I$89,5,0)</f>
        <v>408.85000000000014</v>
      </c>
      <c r="CV201" s="13">
        <f t="shared" si="173"/>
        <v>93.568575358321141</v>
      </c>
      <c r="CW201" s="20">
        <f t="shared" si="174"/>
        <v>875.04568541574281</v>
      </c>
      <c r="CX201" s="59">
        <f t="shared" si="196"/>
        <v>1168.3790187490761</v>
      </c>
      <c r="CY201" s="59">
        <f ca="1">AVERAGE(OFFSET($CX$3,0,0,'Données projet'!$E$13+1,1))-AVERAGE(OFFSET($H$3,0,0,'Données projet'!$E$13+1,1))</f>
        <v>500.13646131618248</v>
      </c>
      <c r="CZ201" s="59">
        <f t="shared" si="208"/>
        <v>417.58036817539306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6.6081581124477671</v>
      </c>
      <c r="DG201" s="21">
        <f>EXP(-LN(2)/25)*DG200+(1-EXP(-LN(2)/25))/(LN(2)/25)*Calculateur!DB201*Calculateur!DD201*VLOOKUP('Données projet'!$B$13,Paramètres!$A$1:$I$89,3,0)*0.475*44/12</f>
        <v>1.1127635479244493</v>
      </c>
      <c r="DH201" s="21">
        <f>EXP(-LN(2)/2)*DH200+(1-EXP(-LN(2)/2))/(LN(2)/2)*DB201*DE201*VLOOKUP('Données projet'!$B$13,Paramètres!$A$1:$I$89,3,0)*0.475*44/12</f>
        <v>4.2547198684526551E-18</v>
      </c>
      <c r="DI201" s="22">
        <f t="shared" si="175"/>
        <v>7.7209216603722162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268.00000000000011</v>
      </c>
      <c r="O202" s="13">
        <f>N202*VLOOKUP('Données projet'!$B$9,Paramètres!$A$1:$I$89,3,0)*VLOOKUP('Données projet'!$B$9,Paramètres!$A$1:$I$89,5,0)</f>
        <v>242.48640000000009</v>
      </c>
      <c r="P202" s="13">
        <f t="shared" si="203"/>
        <v>58.974170235372476</v>
      </c>
      <c r="Q202" s="20">
        <f t="shared" si="162"/>
        <v>525.04382649327385</v>
      </c>
      <c r="R202" s="59">
        <f t="shared" si="191"/>
        <v>818.37715982660711</v>
      </c>
      <c r="S202" s="59">
        <f ca="1">AVERAGE(OFFSET($R$3,0,0,'Données projet'!$E$9+1,1))-AVERAGE(OFFSET($H$3,0,0,'Données projet'!$E$9+1,1))</f>
        <v>371.7282125501186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12.204958449106423</v>
      </c>
      <c r="AA202" s="21">
        <f>EXP(-LN(2)/25)*AA201+(1-EXP(-LN(2)/25))/(LN(2)/25)*Calculateur!V202*Calculateur!X202*VLOOKUP('Données projet'!$B$9,Paramètres!$A$1:$I$89,3,0)*0.475*44/12</f>
        <v>0.27671307074907797</v>
      </c>
      <c r="AB202" s="21">
        <f>EXP(-LN(2)/2)*AB201+(1-EXP(-LN(2)/2))/(LN(2)/2)*V202*Y202*VLOOKUP('Données projet'!$B$9,Paramètres!$A$1:$I$89,3,0)*0.475*44/12</f>
        <v>1.377687626480232E-12</v>
      </c>
      <c r="AC202" s="22">
        <f t="shared" si="163"/>
        <v>12.48167151985688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305.00000000000017</v>
      </c>
      <c r="AJ202" s="13">
        <f>AI202*VLOOKUP('Données projet'!$B$10,Paramètres!$A$1:$I$89,3,0)*VLOOKUP('Données projet'!$B$10,Paramètres!$A$1:$I$89,5,0)</f>
        <v>204.59400000000011</v>
      </c>
      <c r="AK202" s="13">
        <f t="shared" si="164"/>
        <v>50.75245156043249</v>
      </c>
      <c r="AL202" s="20">
        <f t="shared" si="165"/>
        <v>444.72840313442015</v>
      </c>
      <c r="AM202" s="59">
        <f t="shared" si="193"/>
        <v>738.06173646775346</v>
      </c>
      <c r="AN202" s="59">
        <f ca="1">AVERAGE(OFFSET($AM$3,0,0,'Données projet'!$E$10+1,1))-AVERAGE(OFFSET($H$3,0,0,'Données projet'!$E$10+1,1))</f>
        <v>269.67260882504996</v>
      </c>
      <c r="AO202" s="59">
        <f t="shared" si="205"/>
        <v>272.13858200810074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2.7793762680024767</v>
      </c>
      <c r="AV202" s="21">
        <f>EXP(-LN(2)/25)*AV201+(1-EXP(-LN(2)/25))/(LN(2)/25)*Calculateur!AQ202*Calculateur!AS202*VLOOKUP('Données projet'!$B$10,Paramètres!$A$1:$I$89,3,0)*0.475*44/12</f>
        <v>6.160073843310207E-2</v>
      </c>
      <c r="AW202" s="21">
        <f>EXP(-LN(2)/2)*AW201+(1-EXP(-LN(2)/2))/(LN(2)/2)*AQ202*AT202*VLOOKUP('Données projet'!$B$10,Paramètres!$A$1:$I$89,3,0)*0.475*44/12</f>
        <v>3.3921233762700381E-20</v>
      </c>
      <c r="AX202" s="21">
        <f t="shared" si="166"/>
        <v>2.8409770064355788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453.99999999999977</v>
      </c>
      <c r="BE202" s="13">
        <f>BD202*VLOOKUP('Données projet'!$B$11,Paramètres!$A$1:$I$89,3,0)*VLOOKUP('Données projet'!$B$11,Paramètres!$A$1:$I$89,5,0)</f>
        <v>253.78599999999986</v>
      </c>
      <c r="BF202" s="13">
        <f t="shared" si="167"/>
        <v>61.395945216950906</v>
      </c>
      <c r="BG202" s="20">
        <f t="shared" si="168"/>
        <v>548.94188791952263</v>
      </c>
      <c r="BH202" s="59">
        <f t="shared" si="194"/>
        <v>842.275221252856</v>
      </c>
      <c r="BI202" s="59">
        <f ca="1">AVERAGE(OFFSET($BH$3,0,0,'Données projet'!$E$11+1,1))-AVERAGE(OFFSET($H$3,0,0,'Données projet'!$E$11+1,1))</f>
        <v>330.33728077846268</v>
      </c>
      <c r="BJ202" s="59">
        <f t="shared" si="206"/>
        <v>358.38872754175208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3.8168944844208559</v>
      </c>
      <c r="BQ202" s="21">
        <f>EXP(-LN(2)/25)*BQ201+(1-EXP(-LN(2)/25))/(LN(2)/25)*Calculateur!BL202*Calculateur!BN202*VLOOKUP('Données projet'!$B$11,Paramètres!$A$1:$I$89,3,0)*0.475*44/12</f>
        <v>0.69618197533188941</v>
      </c>
      <c r="BR202" s="21">
        <f>EXP(-LN(2)/2)*BR201+(1-EXP(-LN(2)/2))/(LN(2)/2)*BL202*BO202*VLOOKUP('Données projet'!$B$11,Paramètres!$A$1:$I$89,3,0)*0.475*44/12</f>
        <v>6.1213897808246592E-20</v>
      </c>
      <c r="BS202" s="22">
        <f t="shared" si="169"/>
        <v>4.5130764597527451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290.99999999999994</v>
      </c>
      <c r="BZ202" s="13">
        <f>BY202*VLOOKUP('Données projet'!$B$12,Paramètres!$A$1:$I$89,3,0)*VLOOKUP('Données projet'!$B$12,Paramètres!$A$1:$I$89,5,0)</f>
        <v>276.91559999999993</v>
      </c>
      <c r="CA202" s="13">
        <f t="shared" si="170"/>
        <v>66.314766879144742</v>
      </c>
      <c r="CB202" s="20">
        <f t="shared" si="171"/>
        <v>597.79288898117682</v>
      </c>
      <c r="CC202" s="59">
        <f t="shared" si="195"/>
        <v>891.12622231451019</v>
      </c>
      <c r="CD202" s="59">
        <f ca="1">AVERAGE(OFFSET($CC$3,0,0,'Données projet'!$E$12+1,1))-AVERAGE(OFFSET($H$3,0,0,'Données projet'!$E$12+1,1))</f>
        <v>367.39143258674738</v>
      </c>
      <c r="CE202" s="59">
        <f t="shared" si="207"/>
        <v>376.02790658970292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3.530657017696607</v>
      </c>
      <c r="CL202" s="21">
        <f>EXP(-LN(2)/25)*CL201+(1-EXP(-LN(2)/25))/(LN(2)/25)*Calculateur!CG202*Calculateur!CI202*VLOOKUP('Données projet'!$B$12,Paramètres!$A$1:$I$89,3,0)*0.475*44/12</f>
        <v>7.655192822826265E-2</v>
      </c>
      <c r="CM202" s="21">
        <f>EXP(-LN(2)/2)*CM201+(1-EXP(-LN(2)/2))/(LN(2)/2)*CG202*CJ202*VLOOKUP('Données projet'!$B$12,Paramètres!$A$1:$I$89,3,0)*0.475*44/12</f>
        <v>5.5632259057932668E-20</v>
      </c>
      <c r="CN202" s="22">
        <f t="shared" si="172"/>
        <v>3.6072089459248695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925.00000000000034</v>
      </c>
      <c r="CU202" s="17">
        <f>CT202*VLOOKUP('Données projet'!$B$13,Paramètres!$A$1:$I$89,3,0)*VLOOKUP('Données projet'!$B$13,Paramètres!$A$1:$I$89,5,0)</f>
        <v>408.85000000000014</v>
      </c>
      <c r="CV202" s="13">
        <f t="shared" si="173"/>
        <v>93.568575358321141</v>
      </c>
      <c r="CW202" s="20">
        <f t="shared" si="174"/>
        <v>875.04568541574281</v>
      </c>
      <c r="CX202" s="59">
        <f t="shared" si="196"/>
        <v>1168.3790187490761</v>
      </c>
      <c r="CY202" s="59">
        <f ca="1">AVERAGE(OFFSET($CX$3,0,0,'Données projet'!$E$13+1,1))-AVERAGE(OFFSET($H$3,0,0,'Données projet'!$E$13+1,1))</f>
        <v>500.13646131618248</v>
      </c>
      <c r="CZ202" s="59">
        <f t="shared" si="208"/>
        <v>417.58036817539306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6.4785761624411284</v>
      </c>
      <c r="DG202" s="21">
        <f>EXP(-LN(2)/25)*DG201+(1-EXP(-LN(2)/25))/(LN(2)/25)*Calculateur!DB202*Calculateur!DD202*VLOOKUP('Données projet'!$B$13,Paramètres!$A$1:$I$89,3,0)*0.475*44/12</f>
        <v>1.0823349701887635</v>
      </c>
      <c r="DH202" s="21">
        <f>EXP(-LN(2)/2)*DH201+(1-EXP(-LN(2)/2))/(LN(2)/2)*DB202*DE202*VLOOKUP('Données projet'!$B$13,Paramètres!$A$1:$I$89,3,0)*0.475*44/12</f>
        <v>3.0085412710320079E-18</v>
      </c>
      <c r="DI202" s="22">
        <f t="shared" si="175"/>
        <v>7.5609111326298919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268.00000000000011</v>
      </c>
      <c r="O203" s="13">
        <f>N203*VLOOKUP('Données projet'!$B$9,Paramètres!$A$1:$I$89,3,0)*VLOOKUP('Données projet'!$B$9,Paramètres!$A$1:$I$89,5,0)</f>
        <v>242.48640000000009</v>
      </c>
      <c r="P203" s="13">
        <f t="shared" si="203"/>
        <v>58.974170235372476</v>
      </c>
      <c r="Q203" s="20">
        <f t="shared" si="162"/>
        <v>525.04382649327385</v>
      </c>
      <c r="R203" s="59">
        <f t="shared" si="191"/>
        <v>818.37715982660711</v>
      </c>
      <c r="S203" s="59">
        <f ca="1">AVERAGE(OFFSET($R$3,0,0,'Données projet'!$E$9+1,1))-AVERAGE(OFFSET($H$3,0,0,'Données projet'!$E$9+1,1))</f>
        <v>371.7282125501186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11.965626658209038</v>
      </c>
      <c r="AA203" s="21">
        <f>EXP(-LN(2)/25)*AA202+(1-EXP(-LN(2)/25))/(LN(2)/25)*Calculateur!V203*Calculateur!X203*VLOOKUP('Données projet'!$B$9,Paramètres!$A$1:$I$89,3,0)*0.475*44/12</f>
        <v>0.26914633727773646</v>
      </c>
      <c r="AB203" s="21">
        <f>EXP(-LN(2)/2)*AB202+(1-EXP(-LN(2)/2))/(LN(2)/2)*V203*Y203*VLOOKUP('Données projet'!$B$9,Paramètres!$A$1:$I$89,3,0)*0.475*44/12</f>
        <v>9.7417226304097145E-13</v>
      </c>
      <c r="AC203" s="22">
        <f t="shared" si="163"/>
        <v>12.234772995487747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305.00000000000017</v>
      </c>
      <c r="AJ203" s="13">
        <f>AI203*VLOOKUP('Données projet'!$B$10,Paramètres!$A$1:$I$89,3,0)*VLOOKUP('Données projet'!$B$10,Paramètres!$A$1:$I$89,5,0)</f>
        <v>204.59400000000011</v>
      </c>
      <c r="AK203" s="13">
        <f t="shared" si="164"/>
        <v>50.75245156043249</v>
      </c>
      <c r="AL203" s="20">
        <f t="shared" si="165"/>
        <v>444.72840313442015</v>
      </c>
      <c r="AM203" s="59">
        <f t="shared" si="193"/>
        <v>738.06173646775346</v>
      </c>
      <c r="AN203" s="59">
        <f ca="1">AVERAGE(OFFSET($AM$3,0,0,'Données projet'!$E$10+1,1))-AVERAGE(OFFSET($H$3,0,0,'Données projet'!$E$10+1,1))</f>
        <v>269.67260882504996</v>
      </c>
      <c r="AO203" s="59">
        <f t="shared" si="205"/>
        <v>272.13858200810074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2.7248743946390794</v>
      </c>
      <c r="AV203" s="21">
        <f>EXP(-LN(2)/25)*AV202+(1-EXP(-LN(2)/25))/(LN(2)/25)*Calculateur!AQ203*Calculateur!AS203*VLOOKUP('Données projet'!$B$10,Paramètres!$A$1:$I$89,3,0)*0.475*44/12</f>
        <v>5.9916263001206851E-2</v>
      </c>
      <c r="AW203" s="21">
        <f>EXP(-LN(2)/2)*AW202+(1-EXP(-LN(2)/2))/(LN(2)/2)*AQ203*AT203*VLOOKUP('Données projet'!$B$10,Paramètres!$A$1:$I$89,3,0)*0.475*44/12</f>
        <v>2.3985934419819507E-20</v>
      </c>
      <c r="AX203" s="21">
        <f t="shared" si="166"/>
        <v>2.7847906576402863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453.99999999999977</v>
      </c>
      <c r="BE203" s="13">
        <f>BD203*VLOOKUP('Données projet'!$B$11,Paramètres!$A$1:$I$89,3,0)*VLOOKUP('Données projet'!$B$11,Paramètres!$A$1:$I$89,5,0)</f>
        <v>253.78599999999986</v>
      </c>
      <c r="BF203" s="13">
        <f t="shared" si="167"/>
        <v>61.395945216950906</v>
      </c>
      <c r="BG203" s="20">
        <f t="shared" si="168"/>
        <v>548.94188791952263</v>
      </c>
      <c r="BH203" s="59">
        <f t="shared" si="194"/>
        <v>842.275221252856</v>
      </c>
      <c r="BI203" s="59">
        <f ca="1">AVERAGE(OFFSET($BH$3,0,0,'Données projet'!$E$11+1,1))-AVERAGE(OFFSET($H$3,0,0,'Données projet'!$E$11+1,1))</f>
        <v>330.33728077846268</v>
      </c>
      <c r="BJ203" s="59">
        <f t="shared" si="206"/>
        <v>358.38872754175208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3.7420475116571201</v>
      </c>
      <c r="BQ203" s="21">
        <f>EXP(-LN(2)/25)*BQ202+(1-EXP(-LN(2)/25))/(LN(2)/25)*Calculateur!BL203*Calculateur!BN203*VLOOKUP('Données projet'!$B$11,Paramètres!$A$1:$I$89,3,0)*0.475*44/12</f>
        <v>0.67714484260581997</v>
      </c>
      <c r="BR203" s="21">
        <f>EXP(-LN(2)/2)*BR202+(1-EXP(-LN(2)/2))/(LN(2)/2)*BL203*BO203*VLOOKUP('Données projet'!$B$11,Paramètres!$A$1:$I$89,3,0)*0.475*44/12</f>
        <v>4.3284762243071505E-20</v>
      </c>
      <c r="BS203" s="22">
        <f t="shared" si="169"/>
        <v>4.4191923542629397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290.99999999999994</v>
      </c>
      <c r="BZ203" s="13">
        <f>BY203*VLOOKUP('Données projet'!$B$12,Paramètres!$A$1:$I$89,3,0)*VLOOKUP('Données projet'!$B$12,Paramètres!$A$1:$I$89,5,0)</f>
        <v>276.91559999999993</v>
      </c>
      <c r="CA203" s="13">
        <f t="shared" si="170"/>
        <v>66.314766879144742</v>
      </c>
      <c r="CB203" s="20">
        <f t="shared" si="171"/>
        <v>597.79288898117682</v>
      </c>
      <c r="CC203" s="59">
        <f t="shared" si="195"/>
        <v>891.12622231451019</v>
      </c>
      <c r="CD203" s="59">
        <f ca="1">AVERAGE(OFFSET($CC$3,0,0,'Données projet'!$E$12+1,1))-AVERAGE(OFFSET($H$3,0,0,'Données projet'!$E$12+1,1))</f>
        <v>367.39143258674738</v>
      </c>
      <c r="CE203" s="59">
        <f t="shared" si="207"/>
        <v>376.02790658970292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3.461422987067718</v>
      </c>
      <c r="CL203" s="21">
        <f>EXP(-LN(2)/25)*CL202+(1-EXP(-LN(2)/25))/(LN(2)/25)*Calculateur!CG203*Calculateur!CI203*VLOOKUP('Données projet'!$B$12,Paramètres!$A$1:$I$89,3,0)*0.475*44/12</f>
        <v>7.4458611725169863E-2</v>
      </c>
      <c r="CM203" s="21">
        <f>EXP(-LN(2)/2)*CM202+(1-EXP(-LN(2)/2))/(LN(2)/2)*CG203*CJ203*VLOOKUP('Données projet'!$B$12,Paramètres!$A$1:$I$89,3,0)*0.475*44/12</f>
        <v>3.9337947632590922E-20</v>
      </c>
      <c r="CN203" s="22">
        <f t="shared" si="172"/>
        <v>3.535881598792888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925.00000000000034</v>
      </c>
      <c r="CU203" s="17">
        <f>CT203*VLOOKUP('Données projet'!$B$13,Paramètres!$A$1:$I$89,3,0)*VLOOKUP('Données projet'!$B$13,Paramètres!$A$1:$I$89,5,0)</f>
        <v>408.85000000000014</v>
      </c>
      <c r="CV203" s="13">
        <f t="shared" si="173"/>
        <v>93.568575358321141</v>
      </c>
      <c r="CW203" s="20">
        <f t="shared" si="174"/>
        <v>875.04568541574281</v>
      </c>
      <c r="CX203" s="59">
        <f t="shared" si="196"/>
        <v>1168.3790187490761</v>
      </c>
      <c r="CY203" s="59">
        <f ca="1">AVERAGE(OFFSET($CX$3,0,0,'Données projet'!$E$13+1,1))-AVERAGE(OFFSET($H$3,0,0,'Données projet'!$E$13+1,1))</f>
        <v>500.13646131618248</v>
      </c>
      <c r="CZ203" s="59">
        <f t="shared" si="208"/>
        <v>417.58036817539306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6.351535235436935</v>
      </c>
      <c r="DG203" s="21">
        <f>EXP(-LN(2)/25)*DG202+(1-EXP(-LN(2)/25))/(LN(2)/25)*Calculateur!DB203*Calculateur!DD203*VLOOKUP('Données projet'!$B$13,Paramètres!$A$1:$I$89,3,0)*0.475*44/12</f>
        <v>1.0527384635114294</v>
      </c>
      <c r="DH203" s="21">
        <f>EXP(-LN(2)/2)*DH202+(1-EXP(-LN(2)/2))/(LN(2)/2)*DB203*DE203*VLOOKUP('Données projet'!$B$13,Paramètres!$A$1:$I$89,3,0)*0.475*44/12</f>
        <v>2.1273599342263275E-18</v>
      </c>
      <c r="DI203" s="22">
        <f t="shared" si="175"/>
        <v>7.404273698948364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1.296223046030661</v>
      </c>
      <c r="BA205" s="82">
        <f>EXP(LN('Données projet'!B88)/'Données projet'!A88)</f>
        <v>1.2238476501717028</v>
      </c>
      <c r="BV205" s="82">
        <f>EXP(LN('Données projet'!B114)/'Données projet'!A114)</f>
        <v>1.3093577517960842</v>
      </c>
      <c r="CQ205" s="82">
        <f>EXP(LN('Données projet'!B140)/'Données projet'!A140)</f>
        <v>1.3020054543174677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3.1280000000000001</v>
      </c>
      <c r="C6" s="147">
        <f ca="1">IF(OR('Données projet'!B9="",'Données projet'!C9="",'Données projet'!C9=0%),0,Calculateur!S3)</f>
        <v>371.7282125501186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723.72409623985027</v>
      </c>
      <c r="G6" s="147">
        <f ca="1">F6*(100%-'Données projet'!$C$24)*(100%-'Données projet'!$C$25)*(100%-'Données projet'!$C$26)*(100%-'Données projet'!$C$27)</f>
        <v>651.35168661586522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22.678000000000001</v>
      </c>
      <c r="K6" s="151">
        <f>J6*(100%-'Données projet'!$C$24)*(100%-'Données projet'!$C$25)*(100%-'Données projet'!$C$26)*(100%-'Données projet'!$C$27)</f>
        <v>20.4102</v>
      </c>
      <c r="L6" s="152">
        <f ca="1">G6+I6+K6</f>
        <v>671.76188661586525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Tilleul</v>
      </c>
      <c r="B7" s="154">
        <f>'Données projet'!D10</f>
        <v>0.18400000000000002</v>
      </c>
      <c r="C7" s="147">
        <f ca="1">IF(OR('Données projet'!B10="",'Données projet'!C10="",'Données projet'!C10=0%),0,Calculateur!AN3)</f>
        <v>269.67260882504996</v>
      </c>
      <c r="D7" s="147">
        <f>IF(OR('Données projet'!B10="",'Données projet'!C10="",'Données projet'!C10=0%),0,Calculateur!AO3)</f>
        <v>272.13858200810074</v>
      </c>
      <c r="E7" s="147">
        <f t="shared" ref="E7:E15" ca="1" si="0">MIN(C7,D7)</f>
        <v>269.67260882504996</v>
      </c>
      <c r="F7" s="147">
        <f t="shared" ref="F7:F15" ca="1" si="1">E7*B7</f>
        <v>49.619760023809199</v>
      </c>
      <c r="G7" s="147">
        <f ca="1">F7*(100%-'Données projet'!$C$24)*(100%-'Données projet'!$C$25)*(100%-'Données projet'!$C$26)*(100%-'Données projet'!$C$27)</f>
        <v>44.657784021428277</v>
      </c>
      <c r="H7" s="155">
        <f>IF(OR('Données projet'!B10="",'Données projet'!C10="",'Données projet'!C10=0%),0,AVERAGE(Calculateur!$AX$3:$AX$33)*B7)</f>
        <v>0.18736162017271188</v>
      </c>
      <c r="I7" s="149">
        <f>H7*(100%-'Données projet'!$C$24)*(100%-'Données projet'!$C$25)*(100%-'Données projet'!$C$26)*(100%-'Données projet'!$C$27)</f>
        <v>0.16862545815544069</v>
      </c>
      <c r="J7" s="150">
        <f>IF(OR('Données projet'!B10="",'Données projet'!C10="",'Données projet'!C10=0%),0,SUM(Calculateur!$AQ$3:$AQ$33)*VLOOKUP('Données projet'!$B$10,Paramètres!$A$1:$I$89,9,0)*B7)</f>
        <v>3.1280000000000006</v>
      </c>
      <c r="K7" s="151">
        <f>J7*(100%-'Données projet'!$C$24)*(100%-'Données projet'!$C$25)*(100%-'Données projet'!$C$26)*(100%-'Données projet'!$C$27)</f>
        <v>2.8152000000000004</v>
      </c>
      <c r="L7" s="152">
        <f t="shared" ref="L7:L15" ca="1" si="2">G7+I7+K7</f>
        <v>47.641609479583714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Douglas</v>
      </c>
      <c r="B8" s="154">
        <f>'Données projet'!D11</f>
        <v>0.18400000000000002</v>
      </c>
      <c r="C8" s="147">
        <f ca="1">IF(OR('Données projet'!B11="",'Données projet'!C11="",'Données projet'!C11=0%),0,Calculateur!BI3)</f>
        <v>330.33728077846268</v>
      </c>
      <c r="D8" s="147">
        <f>IF(OR('Données projet'!B11="",'Données projet'!C11="",'Données projet'!C11=0%),0,Calculateur!BJ3)</f>
        <v>358.38872754175208</v>
      </c>
      <c r="E8" s="147">
        <f t="shared" ca="1" si="0"/>
        <v>330.33728077846268</v>
      </c>
      <c r="F8" s="147">
        <f t="shared" ca="1" si="1"/>
        <v>60.782059663237142</v>
      </c>
      <c r="G8" s="147">
        <f ca="1">F8*(100%-'Données projet'!$C$24)*(100%-'Données projet'!$C$25)*(100%-'Données projet'!$C$26)*(100%-'Données projet'!$C$27)</f>
        <v>54.703853696913427</v>
      </c>
      <c r="H8" s="155">
        <f>IF(OR('Données projet'!B11="",'Données projet'!C11="",'Données projet'!C11=0%),0,AVERAGE(Calculateur!$BS$3:$BS$33)*B8)</f>
        <v>0.49076673996524811</v>
      </c>
      <c r="I8" s="149">
        <f>H8*(100%-'Données projet'!$C$24)*(100%-'Données projet'!$C$25)*(100%-'Données projet'!$C$26)*(100%-'Données projet'!$C$27)</f>
        <v>0.44169006596872329</v>
      </c>
      <c r="J8" s="150">
        <f>IF(OR('Données projet'!B11="",'Données projet'!C11="",'Données projet'!C11=0%),0,SUM(Calculateur!$BL$3:$BL$33)*VLOOKUP('Données projet'!$B$11,Paramètres!$A$1:$I$89,9,0)*B8)</f>
        <v>4.984560000000001</v>
      </c>
      <c r="K8" s="151">
        <f>J8*(100%-'Données projet'!$C$24)*(100%-'Données projet'!$C$25)*(100%-'Données projet'!$C$26)*(100%-'Données projet'!$C$27)</f>
        <v>4.486104000000001</v>
      </c>
      <c r="L8" s="152">
        <f t="shared" ca="1" si="2"/>
        <v>59.631647762882153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Charme</v>
      </c>
      <c r="B9" s="154">
        <f>'Données projet'!D12</f>
        <v>0.1104</v>
      </c>
      <c r="C9" s="147">
        <f ca="1">IF(OR('Données projet'!B12="",'Données projet'!C12="",'Données projet'!C12=0%),0,Calculateur!CD3)</f>
        <v>367.39143258674738</v>
      </c>
      <c r="D9" s="147">
        <f>IF(OR('Données projet'!B12="",'Données projet'!C12="",'Données projet'!C12=0%),0,Calculateur!CE3)</f>
        <v>376.02790658970292</v>
      </c>
      <c r="E9" s="147">
        <f t="shared" ca="1" si="0"/>
        <v>367.39143258674738</v>
      </c>
      <c r="F9" s="147">
        <f t="shared" ca="1" si="1"/>
        <v>40.560014157576909</v>
      </c>
      <c r="G9" s="147">
        <f ca="1">F9*(100%-'Données projet'!$C$24)*(100%-'Données projet'!$C$25)*(100%-'Données projet'!$C$26)*(100%-'Données projet'!$C$27)</f>
        <v>36.504012741819217</v>
      </c>
      <c r="H9" s="155">
        <f>IF(OR('Données projet'!B12="",'Données projet'!C12="",'Données projet'!C12=0%),0,AVERAGE(Calculateur!$CN$3:$CN$33)*B9)</f>
        <v>0.12968424016825031</v>
      </c>
      <c r="I9" s="149">
        <f>H9*(100%-'Données projet'!$C$24)*(100%-'Données projet'!$C$25)*(100%-'Données projet'!$C$26)*(100%-'Données projet'!$C$27)</f>
        <v>0.11671581615142528</v>
      </c>
      <c r="J9" s="150">
        <f>IF(OR('Données projet'!B12="",'Données projet'!C12="",'Données projet'!C12=0%),0,SUM(Calculateur!$CG$3:$CG$33)*VLOOKUP('Données projet'!$B$12,Paramètres!$A$1:$I$89,9,0)*B9)</f>
        <v>1.8215999999999999</v>
      </c>
      <c r="K9" s="151">
        <f>J9*(100%-'Données projet'!$C$24)*(100%-'Données projet'!$C$25)*(100%-'Données projet'!$C$26)*(100%-'Données projet'!$C$27)</f>
        <v>1.63944</v>
      </c>
      <c r="L9" s="152">
        <f t="shared" ca="1" si="2"/>
        <v>38.260168557970644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Séquoia toujours vert</v>
      </c>
      <c r="B10" s="154">
        <f>'Données projet'!D13</f>
        <v>3.6799999999999999E-2</v>
      </c>
      <c r="C10" s="147">
        <f ca="1">IF(OR('Données projet'!B13="",'Données projet'!C13="",'Données projet'!C13=0%),0,Calculateur!CY3)</f>
        <v>500.13646131618248</v>
      </c>
      <c r="D10" s="147">
        <f>IF(OR('Données projet'!B13="",'Données projet'!C13="",'Données projet'!C13=0%),0,Calculateur!CZ3)</f>
        <v>417.58036817539306</v>
      </c>
      <c r="E10" s="147">
        <f t="shared" ca="1" si="0"/>
        <v>417.58036817539306</v>
      </c>
      <c r="F10" s="147">
        <f t="shared" ca="1" si="1"/>
        <v>15.366957548854465</v>
      </c>
      <c r="G10" s="147">
        <f ca="1">F10*(100%-'Données projet'!$C$24)*(100%-'Données projet'!$C$25)*(100%-'Données projet'!$C$26)*(100%-'Données projet'!$C$27)</f>
        <v>13.830261793969019</v>
      </c>
      <c r="H10" s="155">
        <f>IF(OR('Données projet'!B13="",'Données projet'!C13="",'Données projet'!C13=0%),0,AVERAGE(Calculateur!$DI$3:$DI$33)*B10)</f>
        <v>0.42938808086738561</v>
      </c>
      <c r="I10" s="149">
        <f>H10*(100%-'Données projet'!$C$24)*(100%-'Données projet'!$C$25)*(100%-'Données projet'!$C$26)*(100%-'Données projet'!$C$27)</f>
        <v>0.38644927278064706</v>
      </c>
      <c r="J10" s="150">
        <f>IF(OR('Données projet'!B13="",'Données projet'!C13="",'Données projet'!C13=0%),0,SUM(Calculateur!$DB$3:$DB$33)*VLOOKUP('Données projet'!$B$13,Paramètres!$A$1:$I$89,9,0)*B10)</f>
        <v>3.8294079999999999</v>
      </c>
      <c r="K10" s="151">
        <f>J10*(100%-'Données projet'!$C$24)*(100%-'Données projet'!$C$25)*(100%-'Données projet'!$C$26)*(100%-'Données projet'!$C$27)</f>
        <v>3.4464671999999998</v>
      </c>
      <c r="L10" s="152">
        <f t="shared" ca="1" si="2"/>
        <v>17.663178266749664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890.05288763332806</v>
      </c>
      <c r="G16" s="166">
        <f t="shared" ca="1" si="3"/>
        <v>801.04759886999511</v>
      </c>
      <c r="H16" s="167">
        <f t="shared" si="3"/>
        <v>1.2372006811735958</v>
      </c>
      <c r="I16" s="167">
        <f t="shared" si="3"/>
        <v>1.1134806130562362</v>
      </c>
      <c r="J16" s="168">
        <f t="shared" si="3"/>
        <v>36.441568000000004</v>
      </c>
      <c r="K16" s="168">
        <f t="shared" si="3"/>
        <v>32.797411199999999</v>
      </c>
      <c r="L16" s="169">
        <f t="shared" ca="1" si="3"/>
        <v>834.95849068305154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Tilleul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Séquoia toujours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4" zoomScale="80" zoomScaleNormal="80" workbookViewId="0">
      <selection activeCell="C90" sqref="C9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2277.6722244002817</v>
      </c>
      <c r="U10" s="178">
        <f>'Données projet'!D9</f>
        <v>3.1280000000000001</v>
      </c>
      <c r="V10" s="177">
        <f>U10*T10</f>
        <v>7124.5587179240811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Tilleul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956.87707953470533</v>
      </c>
      <c r="U11" s="178">
        <f>'Données projet'!D10</f>
        <v>0.18400000000000002</v>
      </c>
      <c r="V11" s="177">
        <f t="shared" ref="V11" si="0">U11*T11</f>
        <v>176.0653826343858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2995.3378412684365</v>
      </c>
      <c r="U12" s="178">
        <f>'Données projet'!D11</f>
        <v>0.18400000000000002</v>
      </c>
      <c r="V12" s="177">
        <f t="shared" ref="V12:V19" si="1">U12*T12</f>
        <v>551.14216279339234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1065.7796401783098</v>
      </c>
      <c r="U13" s="178">
        <f>'Données projet'!D12</f>
        <v>0.1104</v>
      </c>
      <c r="V13" s="177">
        <f t="shared" si="1"/>
        <v>117.6620722756854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Séquoia toujours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3064.131052106281</v>
      </c>
      <c r="U14" s="178">
        <f>'Données projet'!D13</f>
        <v>3.6799999999999999E-2</v>
      </c>
      <c r="V14" s="177">
        <f t="shared" si="1"/>
        <v>112.76002271751113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4484*(1+12.8%)</f>
        <v>5057.9520000000002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452*(1+12.8%)</f>
        <v>509.85600000000005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452*(1+12.8%)</f>
        <v>509.85600000000005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f>13*(1+12.8%)</f>
        <v>14.664000000000001</v>
      </c>
      <c r="D23" s="182">
        <f>B23*C23</f>
        <v>117.31200000000001</v>
      </c>
      <c r="E23" s="193">
        <f>75+(D23*12%)</f>
        <v>89.077439999999996</v>
      </c>
      <c r="F23" s="230"/>
      <c r="H23" s="190">
        <v>5</v>
      </c>
      <c r="I23" s="191">
        <f>452*(1+12.8%)</f>
        <v>509.85600000000005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-14597.487611856537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f>35*(1+12.8%)</f>
        <v>39.480000000000004</v>
      </c>
      <c r="D24" s="182">
        <f t="shared" ref="D24:D42" si="2">B24*C24</f>
        <v>829.08</v>
      </c>
      <c r="E24" s="193">
        <f t="shared" ref="E24:E42" si="3">75+(D24*12%)</f>
        <v>174.4896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23140.539120798108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21</v>
      </c>
      <c r="C25" s="193">
        <f>40*(1+12.8%)</f>
        <v>45.120000000000005</v>
      </c>
      <c r="D25" s="182">
        <f t="shared" si="2"/>
        <v>947.5200000000001</v>
      </c>
      <c r="E25" s="193">
        <f t="shared" si="3"/>
        <v>188.70240000000001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288</v>
      </c>
      <c r="Q25" s="234"/>
      <c r="R25" s="23"/>
      <c r="S25" s="186" t="s">
        <v>266</v>
      </c>
      <c r="T25" s="303">
        <f ca="1">T23-T24</f>
        <v>-37738.026732654645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21</v>
      </c>
      <c r="C26" s="193">
        <f>40*(1+12.8%)</f>
        <v>45.120000000000005</v>
      </c>
      <c r="D26" s="182">
        <f t="shared" si="2"/>
        <v>947.5200000000001</v>
      </c>
      <c r="E26" s="193">
        <f t="shared" si="3"/>
        <v>188.70240000000001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45</v>
      </c>
      <c r="B27" s="181">
        <f>'Données projet'!D40</f>
        <v>21</v>
      </c>
      <c r="C27" s="193">
        <f>70*(1+12.8%)</f>
        <v>78.960000000000008</v>
      </c>
      <c r="D27" s="182">
        <f t="shared" si="2"/>
        <v>1658.16</v>
      </c>
      <c r="E27" s="193">
        <f t="shared" si="3"/>
        <v>273.97919999999999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50</v>
      </c>
      <c r="B28" s="181">
        <f>'Données projet'!D41</f>
        <v>21</v>
      </c>
      <c r="C28" s="193">
        <f>70*(1+12.8%)</f>
        <v>78.960000000000008</v>
      </c>
      <c r="D28" s="182">
        <f t="shared" si="2"/>
        <v>1658.16</v>
      </c>
      <c r="E28" s="193">
        <f t="shared" si="3"/>
        <v>273.97919999999999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55</v>
      </c>
      <c r="B29" s="181">
        <f>'Données projet'!D42</f>
        <v>21</v>
      </c>
      <c r="C29" s="193">
        <f>90*(1+12.8%)</f>
        <v>101.52000000000001</v>
      </c>
      <c r="D29" s="182">
        <f t="shared" si="2"/>
        <v>2131.92</v>
      </c>
      <c r="E29" s="193">
        <f t="shared" si="3"/>
        <v>330.8304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60</v>
      </c>
      <c r="B30" s="181">
        <f>'Données projet'!D43</f>
        <v>21</v>
      </c>
      <c r="C30" s="193">
        <f t="shared" ref="C30:C31" si="4">90*(1+12.8%)</f>
        <v>101.52000000000001</v>
      </c>
      <c r="D30" s="182">
        <f t="shared" si="2"/>
        <v>2131.92</v>
      </c>
      <c r="E30" s="193">
        <f t="shared" si="3"/>
        <v>330.8304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6288.189978477747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65</v>
      </c>
      <c r="B31" s="181">
        <f>'Données projet'!D44</f>
        <v>21</v>
      </c>
      <c r="C31" s="193">
        <f t="shared" si="4"/>
        <v>101.52000000000001</v>
      </c>
      <c r="D31" s="182">
        <f t="shared" si="2"/>
        <v>2131.92</v>
      </c>
      <c r="E31" s="193">
        <f t="shared" si="3"/>
        <v>330.8304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70</v>
      </c>
      <c r="B32" s="181">
        <f>'Données projet'!D45</f>
        <v>21</v>
      </c>
      <c r="C32" s="193">
        <f>200*(1+12.8%)</f>
        <v>225.60000000000002</v>
      </c>
      <c r="D32" s="182">
        <f t="shared" si="2"/>
        <v>4737.6000000000004</v>
      </c>
      <c r="E32" s="193">
        <f t="shared" si="3"/>
        <v>643.51200000000006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75</v>
      </c>
      <c r="B33" s="181">
        <f>'Données projet'!D46</f>
        <v>21</v>
      </c>
      <c r="C33" s="193">
        <f t="shared" ref="C33:C34" si="5">200*(1+12.8%)</f>
        <v>225.60000000000002</v>
      </c>
      <c r="D33" s="182">
        <f t="shared" si="2"/>
        <v>4737.6000000000004</v>
      </c>
      <c r="E33" s="193">
        <f t="shared" si="3"/>
        <v>643.51200000000006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6">$P$25/(1+$M$4)^O33</f>
        <v>288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80</v>
      </c>
      <c r="B34" s="181">
        <f>'Données projet'!D47</f>
        <v>21</v>
      </c>
      <c r="C34" s="193">
        <f t="shared" si="5"/>
        <v>225.60000000000002</v>
      </c>
      <c r="D34" s="182">
        <f t="shared" si="2"/>
        <v>4737.6000000000004</v>
      </c>
      <c r="E34" s="193">
        <f t="shared" si="3"/>
        <v>643.51200000000006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6"/>
        <v>275.59808612440196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85</v>
      </c>
      <c r="B35" s="181">
        <f>'Données projet'!D48</f>
        <v>21</v>
      </c>
      <c r="C35" s="193">
        <f>250*(1+12.8%)</f>
        <v>282</v>
      </c>
      <c r="D35" s="182">
        <f t="shared" si="2"/>
        <v>5922</v>
      </c>
      <c r="E35" s="193">
        <f t="shared" si="3"/>
        <v>785.64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6"/>
        <v>263.73022595636553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90</v>
      </c>
      <c r="B36" s="181">
        <f>'Données projet'!D49</f>
        <v>21</v>
      </c>
      <c r="C36" s="193">
        <f>300*(1+12.8%)</f>
        <v>338.40000000000003</v>
      </c>
      <c r="D36" s="182">
        <f t="shared" si="2"/>
        <v>7106.4000000000005</v>
      </c>
      <c r="E36" s="193">
        <f t="shared" si="3"/>
        <v>927.76800000000003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6"/>
        <v>252.3734219678139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95</v>
      </c>
      <c r="B37" s="181">
        <f>'Données projet'!D50</f>
        <v>21</v>
      </c>
      <c r="C37" s="193">
        <f t="shared" ref="C37:C39" si="7">300*(1+12.8%)</f>
        <v>338.40000000000003</v>
      </c>
      <c r="D37" s="182">
        <f t="shared" si="2"/>
        <v>7106.4000000000005</v>
      </c>
      <c r="E37" s="193">
        <f t="shared" si="3"/>
        <v>927.76800000000003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6"/>
        <v>241.50566695484588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100</v>
      </c>
      <c r="B38" s="181">
        <f>'Données projet'!D51</f>
        <v>21</v>
      </c>
      <c r="C38" s="193">
        <f t="shared" si="7"/>
        <v>338.40000000000003</v>
      </c>
      <c r="D38" s="182">
        <f t="shared" si="2"/>
        <v>7106.4000000000005</v>
      </c>
      <c r="E38" s="193">
        <f t="shared" si="3"/>
        <v>927.76800000000003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6"/>
        <v>231.10590139219701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105</v>
      </c>
      <c r="B39" s="181">
        <f>'Données projet'!D52</f>
        <v>20</v>
      </c>
      <c r="C39" s="193">
        <f t="shared" si="7"/>
        <v>338.40000000000003</v>
      </c>
      <c r="D39" s="182">
        <f t="shared" si="2"/>
        <v>6768.0000000000009</v>
      </c>
      <c r="E39" s="193">
        <f t="shared" si="3"/>
        <v>887.16000000000008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6"/>
        <v>221.15397262411204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110</v>
      </c>
      <c r="B40" s="181">
        <f>'Données projet'!D53</f>
        <v>19</v>
      </c>
      <c r="C40" s="193">
        <f>400*(1+12.8%)</f>
        <v>451.20000000000005</v>
      </c>
      <c r="D40" s="182">
        <f t="shared" si="2"/>
        <v>8572.8000000000011</v>
      </c>
      <c r="E40" s="193">
        <f t="shared" si="3"/>
        <v>1103.7360000000001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6"/>
        <v>211.6305958125474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115</v>
      </c>
      <c r="B41" s="181">
        <f>'Données projet'!D54</f>
        <v>18</v>
      </c>
      <c r="C41" s="193">
        <f t="shared" ref="C41:C42" si="8">400*(1+12.8%)</f>
        <v>451.20000000000005</v>
      </c>
      <c r="D41" s="182">
        <f t="shared" si="2"/>
        <v>8121.6</v>
      </c>
      <c r="E41" s="193">
        <f t="shared" si="3"/>
        <v>1049.5920000000001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6"/>
        <v>202.51731656703106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120</v>
      </c>
      <c r="B42" s="181">
        <f>'Données projet'!D55</f>
        <v>17</v>
      </c>
      <c r="C42" s="193">
        <f t="shared" si="8"/>
        <v>451.20000000000005</v>
      </c>
      <c r="D42" s="182">
        <f t="shared" si="2"/>
        <v>7670.4000000000005</v>
      </c>
      <c r="E42" s="193">
        <f t="shared" si="3"/>
        <v>995.44799999999998</v>
      </c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6"/>
        <v>193.7964751837618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6"/>
        <v>185.45117242465247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6"/>
        <v>177.46523677000235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Tilleul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6"/>
        <v>169.823193081342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6"/>
        <v>162.51023261372438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6"/>
        <v>155.51218431935354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6"/>
        <v>148.81548738694116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6"/>
        <v>142.40716496358013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6"/>
        <v>136.27479900821064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6"/>
        <v>130.4065062279528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6"/>
        <v>124.79091505067254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6"/>
        <v>119.41714358916035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11</v>
      </c>
      <c r="C54" s="191">
        <f>7.6*(1+12.8%)</f>
        <v>8.5728000000000009</v>
      </c>
      <c r="D54" s="179">
        <f>B54*C54</f>
        <v>94.30080000000001</v>
      </c>
      <c r="E54" s="193">
        <f>75+(D54*12%)</f>
        <v>86.316096000000002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6"/>
        <v>114.27477855422042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16</v>
      </c>
      <c r="C55" s="191">
        <f>13.2*(1+12.8%)</f>
        <v>14.889600000000002</v>
      </c>
      <c r="D55" s="179">
        <f t="shared" ref="D55:D73" si="9">B55*C55</f>
        <v>238.23360000000002</v>
      </c>
      <c r="E55" s="193">
        <f t="shared" ref="E55:E65" si="10">75+(D55*12%)</f>
        <v>103.588032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6"/>
        <v>109.35385507580905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25</v>
      </c>
      <c r="B56" s="181">
        <f>'Données projet'!D64</f>
        <v>20</v>
      </c>
      <c r="C56" s="191">
        <f>18.8*(1+12.8%)</f>
        <v>21.206400000000002</v>
      </c>
      <c r="D56" s="179">
        <f t="shared" si="9"/>
        <v>424.12800000000004</v>
      </c>
      <c r="E56" s="193">
        <f t="shared" si="10"/>
        <v>125.89536000000001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6"/>
        <v>104.64483739311871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21</v>
      </c>
      <c r="C57" s="191">
        <f>30.28*(1+12.8%)</f>
        <v>34.155840000000005</v>
      </c>
      <c r="D57" s="179">
        <f t="shared" si="9"/>
        <v>717.27264000000014</v>
      </c>
      <c r="E57" s="193">
        <f t="shared" si="10"/>
        <v>161.07271680000002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6"/>
        <v>100.13860037619017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35</v>
      </c>
      <c r="B58" s="181">
        <f>'Données projet'!D66</f>
        <v>22</v>
      </c>
      <c r="C58" s="191">
        <f t="shared" ref="C58:C59" si="11">30.28*(1+12.8%)</f>
        <v>34.155840000000005</v>
      </c>
      <c r="D58" s="179">
        <f t="shared" si="9"/>
        <v>751.42848000000015</v>
      </c>
      <c r="E58" s="193">
        <f t="shared" si="10"/>
        <v>165.17141760000001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6"/>
        <v>95.826411843244188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22</v>
      </c>
      <c r="C59" s="191">
        <f t="shared" si="11"/>
        <v>34.155840000000005</v>
      </c>
      <c r="D59" s="179">
        <f t="shared" si="9"/>
        <v>751.42848000000015</v>
      </c>
      <c r="E59" s="193">
        <f t="shared" si="10"/>
        <v>165.17141760000001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6"/>
        <v>91.699915639468145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45</v>
      </c>
      <c r="B60" s="181">
        <f>'Données projet'!D68</f>
        <v>22</v>
      </c>
      <c r="C60" s="191">
        <f>40*(1+12.8%)</f>
        <v>45.120000000000005</v>
      </c>
      <c r="D60" s="179">
        <f t="shared" si="9"/>
        <v>992.6400000000001</v>
      </c>
      <c r="E60" s="193">
        <f t="shared" si="10"/>
        <v>194.11680000000001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6"/>
        <v>87.751115444467118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50</v>
      </c>
      <c r="B61" s="181">
        <f>'Données projet'!D69</f>
        <v>22</v>
      </c>
      <c r="C61" s="191">
        <f>40*(1+12.8%)</f>
        <v>45.120000000000005</v>
      </c>
      <c r="D61" s="179">
        <f t="shared" si="9"/>
        <v>992.6400000000001</v>
      </c>
      <c r="E61" s="193">
        <f t="shared" si="10"/>
        <v>194.11680000000001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6"/>
        <v>83.972359277002056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55</v>
      </c>
      <c r="B62" s="181">
        <f>'Données projet'!D70</f>
        <v>21</v>
      </c>
      <c r="C62" s="191">
        <f>55*(1+12.8%)</f>
        <v>62.040000000000006</v>
      </c>
      <c r="D62" s="179">
        <f t="shared" si="9"/>
        <v>1302.8400000000001</v>
      </c>
      <c r="E62" s="193">
        <f t="shared" si="10"/>
        <v>231.3408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6"/>
        <v>80.356324666987589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60</v>
      </c>
      <c r="B63" s="181">
        <f>'Données projet'!D71</f>
        <v>20</v>
      </c>
      <c r="C63" s="191">
        <f>55*(1+12.8%)</f>
        <v>62.040000000000006</v>
      </c>
      <c r="D63" s="179">
        <f t="shared" si="9"/>
        <v>1240.8000000000002</v>
      </c>
      <c r="E63" s="193">
        <f t="shared" si="10"/>
        <v>223.89600000000002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6"/>
        <v>76.896004466016862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65</v>
      </c>
      <c r="B64" s="181">
        <f>'Données projet'!D72</f>
        <v>20</v>
      </c>
      <c r="C64" s="191">
        <f>60*(1+12.8%)</f>
        <v>67.680000000000007</v>
      </c>
      <c r="D64" s="179">
        <f t="shared" si="9"/>
        <v>1353.6000000000001</v>
      </c>
      <c r="E64" s="193">
        <f t="shared" si="10"/>
        <v>237.43200000000002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6"/>
        <v>73.584693268915643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70</v>
      </c>
      <c r="B65" s="181">
        <f>'Données projet'!D73</f>
        <v>19</v>
      </c>
      <c r="C65" s="191">
        <f>60*(1+12.8%)</f>
        <v>67.680000000000007</v>
      </c>
      <c r="D65" s="179">
        <f t="shared" si="9"/>
        <v>1285.92</v>
      </c>
      <c r="E65" s="193">
        <f t="shared" si="10"/>
        <v>229.31040000000002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12">$P$25/(1+$M$4)^O65</f>
        <v>70.415974420015004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9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12"/>
        <v>67.383707578961747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9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12"/>
        <v>64.482016821972962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9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12"/>
        <v>61.705279255476526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9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12"/>
        <v>59.048114120073237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9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12"/>
        <v>56.505372363706449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9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12"/>
        <v>54.072126663833934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9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12"/>
        <v>51.743661879266924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9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12"/>
        <v>49.515465913174104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12"/>
        <v>47.383220969544602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12"/>
        <v>45.342795186167088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12"/>
        <v>43.390234627911092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12"/>
        <v>41.521755624795304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12"/>
        <v>39.733737439995508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12"/>
        <v>38.022715253584224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12"/>
        <v>36.385373448405957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12"/>
        <v>34.818539185077483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12"/>
        <v>33.319176253662661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12"/>
        <v>31.884379190107818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12"/>
        <v>30.511367646036192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28</v>
      </c>
      <c r="B85" s="181">
        <f>'Données projet'!D88</f>
        <v>63</v>
      </c>
      <c r="C85" s="191">
        <f>8*(1+12.8%)</f>
        <v>9.0240000000000009</v>
      </c>
      <c r="D85" s="179">
        <f>B85*C85</f>
        <v>568.51200000000006</v>
      </c>
      <c r="E85" s="193">
        <f>75+(D85*12%)</f>
        <v>143.22144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12"/>
        <v>29.197481000991576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35</v>
      </c>
      <c r="B86" s="181">
        <f>'Données projet'!D89</f>
        <v>72</v>
      </c>
      <c r="C86" s="191">
        <f>30*(1+12.8%)</f>
        <v>33.840000000000003</v>
      </c>
      <c r="D86" s="179">
        <f>B86*C86</f>
        <v>2436.4800000000005</v>
      </c>
      <c r="E86" s="193">
        <f t="shared" ref="E86:E90" si="13">75+(D86*12%)</f>
        <v>367.37760000000003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12"/>
        <v>27.940173206690503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42</v>
      </c>
      <c r="B87" s="181">
        <f>'Données projet'!D90</f>
        <v>79</v>
      </c>
      <c r="C87" s="191">
        <f>50*(1+12.8%)</f>
        <v>56.400000000000006</v>
      </c>
      <c r="D87" s="179">
        <f>B87*C87</f>
        <v>4455.6000000000004</v>
      </c>
      <c r="E87" s="193">
        <f t="shared" si="13"/>
        <v>609.67200000000003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12"/>
        <v>26.737007853292358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49</v>
      </c>
      <c r="B88" s="181">
        <f>'Données projet'!D91</f>
        <v>85</v>
      </c>
      <c r="C88" s="191">
        <f>70*(1+12.8%)</f>
        <v>78.960000000000008</v>
      </c>
      <c r="D88" s="179">
        <f>B88*C88</f>
        <v>6711.6</v>
      </c>
      <c r="E88" s="193">
        <f t="shared" si="13"/>
        <v>880.39200000000005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12"/>
        <v>25.585653448126653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56</v>
      </c>
      <c r="B89" s="181">
        <f>'Données projet'!D92</f>
        <v>84</v>
      </c>
      <c r="C89" s="191">
        <f>95*(1+12.8%)</f>
        <v>107.16000000000001</v>
      </c>
      <c r="D89" s="179">
        <f>B89*C89</f>
        <v>9001.44</v>
      </c>
      <c r="E89" s="193">
        <f t="shared" si="13"/>
        <v>1155.1728000000001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12"/>
        <v>24.483878897728861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63</v>
      </c>
      <c r="B90" s="181">
        <f>'Données projet'!D93</f>
        <v>87</v>
      </c>
      <c r="C90" s="191">
        <f>90*(1+12.8%)</f>
        <v>101.52000000000001</v>
      </c>
      <c r="D90" s="179">
        <f t="shared" ref="D90:D104" si="14">B90*C90</f>
        <v>8832.2400000000016</v>
      </c>
      <c r="E90" s="193">
        <f t="shared" si="13"/>
        <v>1134.8688000000002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12"/>
        <v>23.429549184429536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14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12"/>
        <v>22.420621229119178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14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12"/>
        <v>21.455139932171463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14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12"/>
        <v>20.531234384853079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14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12"/>
        <v>19.647114243878541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14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12"/>
        <v>18.801066262084735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14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12"/>
        <v>17.991450968502136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14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str">
        <f>IF(O96+1&lt;=MIN('Données projet'!$E$9:$E$18),O96+1,"STOP")</f>
        <v>STOP</v>
      </c>
      <c r="P97" s="185" t="e">
        <f t="shared" ref="P97:P128" si="15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14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5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14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5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14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5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14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5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14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5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14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5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14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5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5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5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5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5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5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5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5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5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5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5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5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11</v>
      </c>
      <c r="C116" s="191">
        <f>7.6*(1+12.8%)</f>
        <v>8.5728000000000009</v>
      </c>
      <c r="D116" s="179">
        <f>B116*C116</f>
        <v>94.30080000000001</v>
      </c>
      <c r="E116" s="193">
        <f>75+(D116*12%)</f>
        <v>86.316096000000002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5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15</v>
      </c>
      <c r="C117" s="191">
        <f>13.2*(1+12.8%)</f>
        <v>14.889600000000002</v>
      </c>
      <c r="D117" s="179">
        <f t="shared" ref="D117:D135" si="16">B117*C117</f>
        <v>223.34400000000002</v>
      </c>
      <c r="E117" s="193">
        <f t="shared" ref="E117:E127" si="17">75+(D117*12%)</f>
        <v>101.80128000000001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5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19</v>
      </c>
      <c r="C118" s="191">
        <f>18.8*(1+12.8%)</f>
        <v>21.206400000000002</v>
      </c>
      <c r="D118" s="179">
        <f t="shared" si="16"/>
        <v>402.92160000000001</v>
      </c>
      <c r="E118" s="193">
        <f t="shared" si="17"/>
        <v>123.35059200000001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5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21</v>
      </c>
      <c r="C119" s="191">
        <f>30.28*(1+12.8%)</f>
        <v>34.155840000000005</v>
      </c>
      <c r="D119" s="179">
        <f t="shared" si="16"/>
        <v>717.27264000000014</v>
      </c>
      <c r="E119" s="193">
        <f t="shared" si="17"/>
        <v>161.07271680000002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5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22</v>
      </c>
      <c r="C120" s="191">
        <f t="shared" ref="C120:C121" si="18">30.28*(1+12.8%)</f>
        <v>34.155840000000005</v>
      </c>
      <c r="D120" s="179">
        <f t="shared" si="16"/>
        <v>751.42848000000015</v>
      </c>
      <c r="E120" s="193">
        <f t="shared" si="17"/>
        <v>165.17141760000001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5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23</v>
      </c>
      <c r="C121" s="191">
        <f t="shared" si="18"/>
        <v>34.155840000000005</v>
      </c>
      <c r="D121" s="179">
        <f t="shared" si="16"/>
        <v>785.58432000000016</v>
      </c>
      <c r="E121" s="193">
        <f t="shared" si="17"/>
        <v>169.2701184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5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24</v>
      </c>
      <c r="C122" s="191">
        <f>40*(1+12.8%)</f>
        <v>45.120000000000005</v>
      </c>
      <c r="D122" s="179">
        <f t="shared" si="16"/>
        <v>1082.8800000000001</v>
      </c>
      <c r="E122" s="193">
        <f t="shared" si="17"/>
        <v>204.94560000000001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5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24</v>
      </c>
      <c r="C123" s="191">
        <f>40*(1+12.8%)</f>
        <v>45.120000000000005</v>
      </c>
      <c r="D123" s="179">
        <f t="shared" si="16"/>
        <v>1082.8800000000001</v>
      </c>
      <c r="E123" s="193">
        <f t="shared" si="17"/>
        <v>204.94560000000001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5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23</v>
      </c>
      <c r="C124" s="191">
        <f>55*(1+12.8%)</f>
        <v>62.040000000000006</v>
      </c>
      <c r="D124" s="179">
        <f t="shared" si="16"/>
        <v>1426.92</v>
      </c>
      <c r="E124" s="193">
        <f t="shared" si="17"/>
        <v>246.2304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5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23</v>
      </c>
      <c r="C125" s="191">
        <f>55*(1+12.8%)</f>
        <v>62.040000000000006</v>
      </c>
      <c r="D125" s="179">
        <f t="shared" si="16"/>
        <v>1426.92</v>
      </c>
      <c r="E125" s="193">
        <f t="shared" si="17"/>
        <v>246.2304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5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23</v>
      </c>
      <c r="C126" s="191">
        <f>60*(1+12.8%)</f>
        <v>67.680000000000007</v>
      </c>
      <c r="D126" s="179">
        <f t="shared" si="16"/>
        <v>1556.64</v>
      </c>
      <c r="E126" s="193">
        <f t="shared" si="17"/>
        <v>261.79680000000002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5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22</v>
      </c>
      <c r="C127" s="191">
        <f>60*(1+12.8%)</f>
        <v>67.680000000000007</v>
      </c>
      <c r="D127" s="179">
        <f t="shared" si="16"/>
        <v>1488.96</v>
      </c>
      <c r="E127" s="193">
        <f t="shared" si="17"/>
        <v>253.67519999999999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5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16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5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6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6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6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6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6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6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6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Séquoia toujours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74</v>
      </c>
      <c r="C147" s="191">
        <f>8*(1+12.8%)</f>
        <v>9.0240000000000009</v>
      </c>
      <c r="D147" s="182">
        <f>B147*C147</f>
        <v>667.77600000000007</v>
      </c>
      <c r="E147" s="193">
        <f>75+(D147*12%)</f>
        <v>155.13312000000002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5">
        <f>'Données projet'!D141</f>
        <v>84</v>
      </c>
      <c r="C148" s="191">
        <f>8*(1+12.8%)</f>
        <v>9.0240000000000009</v>
      </c>
      <c r="D148" s="182">
        <f t="shared" ref="D148:D166" si="20">B148*C148</f>
        <v>758.01600000000008</v>
      </c>
      <c r="E148" s="193">
        <f t="shared" ref="E148:E159" si="21">75+(D148*12%)</f>
        <v>165.96192000000002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5">
        <f>'Données projet'!D142</f>
        <v>84</v>
      </c>
      <c r="C149" s="191">
        <f>16*(1+12.8%)</f>
        <v>18.048000000000002</v>
      </c>
      <c r="D149" s="182">
        <f t="shared" si="20"/>
        <v>1516.0320000000002</v>
      </c>
      <c r="E149" s="193">
        <f t="shared" si="21"/>
        <v>256.92384000000004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5">
        <f>'Données projet'!D143</f>
        <v>84</v>
      </c>
      <c r="C150" s="191">
        <f>30*(1+12.8%)</f>
        <v>33.840000000000003</v>
      </c>
      <c r="D150" s="182">
        <f t="shared" si="20"/>
        <v>2842.5600000000004</v>
      </c>
      <c r="E150" s="193">
        <f t="shared" si="21"/>
        <v>416.10720000000003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5">
        <f>'Données projet'!D144</f>
        <v>84</v>
      </c>
      <c r="C151" s="191">
        <f>40*(1+12.8%)</f>
        <v>45.120000000000005</v>
      </c>
      <c r="D151" s="182">
        <f t="shared" si="20"/>
        <v>3790.0800000000004</v>
      </c>
      <c r="E151" s="193">
        <f t="shared" si="21"/>
        <v>529.80960000000005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5">
        <f>'Données projet'!D145</f>
        <v>69</v>
      </c>
      <c r="C152" s="191">
        <f t="shared" ref="C152:C154" si="22">40*(1+12.8%)</f>
        <v>45.120000000000005</v>
      </c>
      <c r="D152" s="182">
        <f t="shared" si="20"/>
        <v>3113.28</v>
      </c>
      <c r="E152" s="193">
        <f t="shared" si="21"/>
        <v>448.59360000000004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5">
        <f>'Données projet'!D146</f>
        <v>59</v>
      </c>
      <c r="C153" s="191">
        <f t="shared" si="22"/>
        <v>45.120000000000005</v>
      </c>
      <c r="D153" s="182">
        <f t="shared" si="20"/>
        <v>2662.0800000000004</v>
      </c>
      <c r="E153" s="193">
        <f t="shared" si="21"/>
        <v>394.44960000000003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5">
        <f>'Données projet'!D147</f>
        <v>51</v>
      </c>
      <c r="C154" s="191">
        <f t="shared" si="22"/>
        <v>45.120000000000005</v>
      </c>
      <c r="D154" s="182">
        <f t="shared" si="20"/>
        <v>2301.1200000000003</v>
      </c>
      <c r="E154" s="193">
        <f t="shared" si="21"/>
        <v>351.13440000000003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5">
        <f>'Données projet'!D148</f>
        <v>45</v>
      </c>
      <c r="C155" s="191">
        <f>50*(1+12.8%)</f>
        <v>56.400000000000006</v>
      </c>
      <c r="D155" s="182">
        <f t="shared" si="20"/>
        <v>2538.0000000000005</v>
      </c>
      <c r="E155" s="193">
        <f t="shared" si="21"/>
        <v>379.56000000000006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5">
        <f>'Données projet'!D149</f>
        <v>40</v>
      </c>
      <c r="C156" s="191">
        <f t="shared" ref="C156:C157" si="23">50*(1+12.8%)</f>
        <v>56.400000000000006</v>
      </c>
      <c r="D156" s="182">
        <f t="shared" si="20"/>
        <v>2256</v>
      </c>
      <c r="E156" s="193">
        <f t="shared" si="21"/>
        <v>345.71999999999997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5">
        <f>'Données projet'!D150</f>
        <v>35</v>
      </c>
      <c r="C157" s="191">
        <f t="shared" si="23"/>
        <v>56.400000000000006</v>
      </c>
      <c r="D157" s="182">
        <f t="shared" si="20"/>
        <v>1974.0000000000002</v>
      </c>
      <c r="E157" s="193">
        <f t="shared" si="21"/>
        <v>311.88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5">
        <f>'Données projet'!D151</f>
        <v>30</v>
      </c>
      <c r="C158" s="191">
        <f>60*(1+12.8%)</f>
        <v>67.680000000000007</v>
      </c>
      <c r="D158" s="182">
        <f t="shared" si="20"/>
        <v>2030.4</v>
      </c>
      <c r="E158" s="193">
        <f t="shared" si="21"/>
        <v>318.64800000000002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5">
        <f>'Données projet'!D152</f>
        <v>26</v>
      </c>
      <c r="C159" s="191">
        <f>60*(1+12.8%)</f>
        <v>67.680000000000007</v>
      </c>
      <c r="D159" s="182">
        <f t="shared" si="20"/>
        <v>1759.6800000000003</v>
      </c>
      <c r="E159" s="193">
        <f t="shared" si="21"/>
        <v>286.16160000000002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2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2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2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2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2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2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2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24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24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24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24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24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24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24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24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24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24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24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24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24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24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24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24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24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24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24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25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25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25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25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25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25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25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25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25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25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25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25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25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25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25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25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25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25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25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26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26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26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26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26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26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26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26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26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26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26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26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26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26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26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26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26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26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26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27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27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27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27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27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27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27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27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27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27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27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27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27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27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27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27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27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27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27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28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28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28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28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28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28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28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28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28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28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28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28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28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28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28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28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28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28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28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2023-03-23T17:50:49Z</dcterms:modified>
</cp:coreProperties>
</file>